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ComDev\HOUSING DEVELOPMENT\NH_Block_A\04_Financing\4.3_CDLAC_CTCAC\2_CDLAC Apps\24_0827_PSH II\"/>
    </mc:Choice>
  </mc:AlternateContent>
  <xr:revisionPtr revIDLastSave="0" documentId="13_ncr:1_{9CE84B3C-7693-4937-9908-0F979A0639D5}" xr6:coauthVersionLast="47" xr6:coauthVersionMax="47" xr10:uidLastSave="{00000000-0000-0000-0000-000000000000}"/>
  <bookViews>
    <workbookView xWindow="28680" yWindow="-120" windowWidth="29040" windowHeight="15720" tabRatio="847"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19" i="3" l="1"/>
  <c r="K718" i="3"/>
  <c r="K720" i="3"/>
  <c r="K721" i="3"/>
  <c r="AG448" i="3"/>
  <c r="AG446" i="3"/>
  <c r="AG443" i="3"/>
  <c r="AG442" i="3"/>
  <c r="C631" i="3" l="1"/>
  <c r="B189" i="20" l="1"/>
  <c r="B190" i="20"/>
  <c r="B188" i="20"/>
  <c r="C7" i="7" l="1"/>
  <c r="C5" i="7"/>
  <c r="S69" i="4"/>
  <c r="S65" i="4"/>
  <c r="S52" i="4"/>
  <c r="S51" i="4"/>
  <c r="S50" i="4"/>
  <c r="E95" i="4"/>
  <c r="E91" i="4"/>
  <c r="E87" i="4"/>
  <c r="E74" i="4"/>
  <c r="E73" i="4"/>
  <c r="E72" i="4"/>
  <c r="E68" i="4"/>
  <c r="E67" i="4"/>
  <c r="E66" i="4"/>
  <c r="E61" i="4"/>
  <c r="E60" i="4"/>
  <c r="E59" i="4"/>
  <c r="E57" i="4"/>
  <c r="E53" i="4"/>
  <c r="E48" i="4"/>
  <c r="E47" i="4"/>
  <c r="E7" i="4"/>
  <c r="E5" i="4"/>
  <c r="C36" i="4"/>
  <c r="C94" i="4"/>
  <c r="C93" i="4"/>
  <c r="C92" i="4"/>
  <c r="C90" i="4"/>
  <c r="C89" i="4"/>
  <c r="C88" i="4"/>
  <c r="C86" i="4"/>
  <c r="C85" i="4"/>
  <c r="C84" i="4"/>
  <c r="C80" i="4"/>
  <c r="C79" i="4"/>
  <c r="C76" i="4"/>
  <c r="C75" i="4"/>
  <c r="AC886" i="3" s="1"/>
  <c r="C65" i="4"/>
  <c r="C69" i="4"/>
  <c r="C58" i="4"/>
  <c r="C56" i="4"/>
  <c r="C52" i="4"/>
  <c r="C51" i="4"/>
  <c r="C50" i="4"/>
  <c r="C43" i="4"/>
  <c r="C41" i="4"/>
  <c r="C40" i="4"/>
  <c r="C37" i="4"/>
  <c r="C35" i="4"/>
  <c r="G35" i="4" s="1"/>
  <c r="C32" i="4"/>
  <c r="C33" i="4" s="1"/>
  <c r="G33" i="4" s="1"/>
  <c r="C31" i="4"/>
  <c r="G31" i="4" s="1"/>
  <c r="C29" i="4"/>
  <c r="C6" i="4"/>
  <c r="C13" i="4"/>
  <c r="C4" i="4"/>
  <c r="AC890" i="3"/>
  <c r="AC889" i="3"/>
  <c r="AC888" i="3"/>
  <c r="F6" i="8"/>
  <c r="F4" i="8"/>
  <c r="T720" i="3"/>
  <c r="T721" i="3" s="1"/>
  <c r="T718" i="3"/>
  <c r="T719" i="3" s="1"/>
  <c r="O721" i="3"/>
  <c r="O720" i="3"/>
  <c r="O719" i="3"/>
  <c r="O718" i="3"/>
  <c r="AO633" i="3"/>
  <c r="L30" i="4" s="1"/>
  <c r="AO630" i="3"/>
  <c r="AD190" i="20" s="1"/>
  <c r="AO631" i="3"/>
  <c r="AD191" i="20" s="1"/>
  <c r="AO629" i="3"/>
  <c r="AD189" i="20" s="1"/>
  <c r="C630" i="3"/>
  <c r="B191" i="20"/>
  <c r="C629" i="3"/>
  <c r="AO628" i="3"/>
  <c r="AD188" i="20" s="1"/>
  <c r="AO627" i="3"/>
  <c r="F30" i="4" s="1"/>
  <c r="AF627" i="3"/>
  <c r="W627" i="3"/>
  <c r="AM560" i="3"/>
  <c r="AM558" i="3"/>
  <c r="AM557" i="3"/>
  <c r="AM556" i="3"/>
  <c r="AA948" i="3" l="1"/>
  <c r="AA947" i="3"/>
  <c r="I30" i="4"/>
  <c r="J29" i="4"/>
  <c r="H30" i="4"/>
  <c r="AA940" i="3"/>
  <c r="AA941" i="3"/>
  <c r="G32" i="4"/>
  <c r="W554" i="3"/>
  <c r="W555" i="3" s="1"/>
  <c r="W866" i="3"/>
  <c r="W863" i="3"/>
  <c r="W857" i="3"/>
  <c r="W854" i="3"/>
  <c r="AG829" i="3"/>
  <c r="AC829" i="3"/>
  <c r="Y829" i="3"/>
  <c r="U829" i="3"/>
  <c r="Q829" i="3"/>
  <c r="M829" i="3"/>
  <c r="AG827" i="3"/>
  <c r="AC827" i="3"/>
  <c r="Y827" i="3"/>
  <c r="U827" i="3"/>
  <c r="Q827" i="3"/>
  <c r="M827" i="3"/>
  <c r="AG825" i="3"/>
  <c r="AC825" i="3"/>
  <c r="Y825" i="3"/>
  <c r="U825" i="3"/>
  <c r="Q825" i="3"/>
  <c r="M825" i="3"/>
  <c r="G721" i="3"/>
  <c r="G720" i="3"/>
  <c r="G719" i="3"/>
  <c r="G718"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5" i="8"/>
  <c r="I5"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E26" i="13" s="1"/>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S36" i="4" s="1"/>
  <c r="E36" i="13" s="1"/>
  <c r="B66" i="4"/>
  <c r="B67" i="4"/>
  <c r="B68" i="4"/>
  <c r="B69" i="4"/>
  <c r="E69" i="4" s="1"/>
  <c r="E70" i="4" s="1"/>
  <c r="R66" i="4"/>
  <c r="R67" i="4"/>
  <c r="R68" i="4"/>
  <c r="A104" i="11"/>
  <c r="C101" i="11"/>
  <c r="C102" i="11"/>
  <c r="C103" i="11"/>
  <c r="C104" i="11"/>
  <c r="B101" i="11"/>
  <c r="D101" i="11" s="1"/>
  <c r="B102" i="11"/>
  <c r="B103" i="11"/>
  <c r="B104" i="11"/>
  <c r="C85" i="11"/>
  <c r="C86" i="11"/>
  <c r="C87" i="11"/>
  <c r="C88" i="11"/>
  <c r="D88" i="11" s="1"/>
  <c r="C89" i="11"/>
  <c r="C90" i="11"/>
  <c r="C91" i="11"/>
  <c r="C92" i="11"/>
  <c r="C93" i="11"/>
  <c r="C94" i="11"/>
  <c r="C95" i="11"/>
  <c r="C96" i="11"/>
  <c r="D96" i="11" s="1"/>
  <c r="B85" i="11"/>
  <c r="B86" i="11"/>
  <c r="B87" i="11"/>
  <c r="B88" i="11"/>
  <c r="B89" i="11"/>
  <c r="B90" i="11"/>
  <c r="B91" i="11"/>
  <c r="B92" i="11"/>
  <c r="D92" i="11" s="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D24" i="11" s="1"/>
  <c r="C25" i="11"/>
  <c r="D25" i="11" s="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B59" i="4"/>
  <c r="C80" i="11"/>
  <c r="C81" i="11"/>
  <c r="D81" i="11" s="1"/>
  <c r="B80" i="11"/>
  <c r="B81" i="11"/>
  <c r="I96" i="13"/>
  <c r="J96" i="13"/>
  <c r="J81" i="13"/>
  <c r="I81" i="13"/>
  <c r="G81" i="13"/>
  <c r="F81" i="13"/>
  <c r="D81" i="13"/>
  <c r="C81" i="13"/>
  <c r="H80" i="13"/>
  <c r="B80" i="13"/>
  <c r="S70" i="4"/>
  <c r="E70" i="13" s="1"/>
  <c r="D81" i="4"/>
  <c r="F81" i="4"/>
  <c r="G81" i="4"/>
  <c r="H81" i="4"/>
  <c r="I81" i="4"/>
  <c r="J81" i="4"/>
  <c r="K81" i="4"/>
  <c r="L81" i="4"/>
  <c r="M81" i="4"/>
  <c r="N81" i="4"/>
  <c r="O81" i="4"/>
  <c r="P81" i="4"/>
  <c r="Q81" i="4"/>
  <c r="T81" i="4"/>
  <c r="H81" i="13"/>
  <c r="C81" i="4"/>
  <c r="B81" i="13" s="1"/>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7" i="13"/>
  <c r="E65" i="13"/>
  <c r="E53" i="13"/>
  <c r="E52" i="13"/>
  <c r="E51" i="13"/>
  <c r="E50" i="13"/>
  <c r="E48" i="13"/>
  <c r="E47"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9" i="13"/>
  <c r="B76" i="13"/>
  <c r="B75" i="13"/>
  <c r="B74" i="13"/>
  <c r="B73" i="13"/>
  <c r="B72" i="13"/>
  <c r="B65" i="13"/>
  <c r="B61" i="13"/>
  <c r="B60" i="13"/>
  <c r="B59" i="13"/>
  <c r="B58" i="13"/>
  <c r="B57" i="13"/>
  <c r="B56" i="13"/>
  <c r="B53" i="13"/>
  <c r="B52" i="13"/>
  <c r="B51" i="13"/>
  <c r="B50" i="13"/>
  <c r="B48" i="13"/>
  <c r="B47" i="13"/>
  <c r="B43" i="13"/>
  <c r="C42" i="4"/>
  <c r="B42" i="4" s="1"/>
  <c r="B42" i="13"/>
  <c r="B41" i="13"/>
  <c r="B40" i="13"/>
  <c r="B37" i="13"/>
  <c r="B35" i="13"/>
  <c r="B33" i="13"/>
  <c r="B32" i="13"/>
  <c r="B31"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G63" i="13" s="1"/>
  <c r="G97" i="13" s="1"/>
  <c r="G105" i="13" s="1"/>
  <c r="G107" i="13" s="1"/>
  <c r="D26" i="13"/>
  <c r="C26" i="13"/>
  <c r="J11" i="13"/>
  <c r="D11" i="13"/>
  <c r="C11" i="13"/>
  <c r="C8" i="13"/>
  <c r="D8" i="13"/>
  <c r="D12" i="13" s="1"/>
  <c r="T104" i="4"/>
  <c r="H104" i="13"/>
  <c r="R103" i="4"/>
  <c r="R102" i="4"/>
  <c r="R101" i="4"/>
  <c r="R95" i="4"/>
  <c r="R87" i="4"/>
  <c r="R72" i="4"/>
  <c r="R73" i="4"/>
  <c r="R74" i="4"/>
  <c r="R61" i="4"/>
  <c r="R60" i="4"/>
  <c r="R59" i="4"/>
  <c r="R57" i="4"/>
  <c r="R53" i="4"/>
  <c r="R48" i="4"/>
  <c r="R47" i="4"/>
  <c r="R27" i="4"/>
  <c r="R25" i="4"/>
  <c r="R23" i="4"/>
  <c r="R22" i="4"/>
  <c r="R21" i="4"/>
  <c r="R20" i="4"/>
  <c r="R19" i="4"/>
  <c r="R18" i="4"/>
  <c r="R17" i="4"/>
  <c r="R15" i="4"/>
  <c r="R14" i="4"/>
  <c r="R9" i="4"/>
  <c r="R11" i="4"/>
  <c r="R7" i="4"/>
  <c r="R5" i="4"/>
  <c r="B5" i="11"/>
  <c r="C5" i="11"/>
  <c r="D5" i="11" s="1"/>
  <c r="B6" i="11"/>
  <c r="C6" i="11"/>
  <c r="D6" i="11" s="1"/>
  <c r="B7" i="11"/>
  <c r="C7" i="11"/>
  <c r="C8" i="11"/>
  <c r="B8" i="11"/>
  <c r="B10" i="11"/>
  <c r="B11" i="11"/>
  <c r="C10" i="11"/>
  <c r="C11" i="11"/>
  <c r="D11" i="11" s="1"/>
  <c r="B14" i="11"/>
  <c r="C14" i="11"/>
  <c r="D14" i="11" s="1"/>
  <c r="B15" i="11"/>
  <c r="C15" i="11"/>
  <c r="D15" i="11" s="1"/>
  <c r="B16" i="11"/>
  <c r="C16" i="11"/>
  <c r="B18" i="11"/>
  <c r="C18" i="11"/>
  <c r="D18" i="11" s="1"/>
  <c r="B19" i="11"/>
  <c r="C19" i="11"/>
  <c r="D19" i="11" s="1"/>
  <c r="B20" i="11"/>
  <c r="C20" i="11"/>
  <c r="B21" i="11"/>
  <c r="C21" i="11"/>
  <c r="B22" i="11"/>
  <c r="C22" i="11"/>
  <c r="B23" i="11"/>
  <c r="C23" i="11"/>
  <c r="B24" i="11"/>
  <c r="B28" i="11"/>
  <c r="C28" i="11"/>
  <c r="D28" i="11" s="1"/>
  <c r="B30" i="11"/>
  <c r="C30" i="11"/>
  <c r="B41" i="11"/>
  <c r="C41" i="11"/>
  <c r="C42" i="11"/>
  <c r="B42" i="11"/>
  <c r="B44" i="11"/>
  <c r="C44" i="11"/>
  <c r="B48" i="11"/>
  <c r="B49" i="11"/>
  <c r="B51" i="11"/>
  <c r="B52" i="11"/>
  <c r="B53" i="11"/>
  <c r="C48" i="11"/>
  <c r="D48" i="11" s="1"/>
  <c r="C49" i="11"/>
  <c r="D49" i="11" s="1"/>
  <c r="C51" i="11"/>
  <c r="C52" i="11"/>
  <c r="C53" i="11"/>
  <c r="B57" i="11"/>
  <c r="C57" i="11"/>
  <c r="C63" i="11" s="1"/>
  <c r="B58" i="11"/>
  <c r="C58" i="11"/>
  <c r="D58" i="11" s="1"/>
  <c r="B59" i="11"/>
  <c r="C59" i="11"/>
  <c r="D59" i="11" s="1"/>
  <c r="B60" i="11"/>
  <c r="C60" i="11"/>
  <c r="D60" i="11" s="1"/>
  <c r="B61" i="11"/>
  <c r="C61" i="11"/>
  <c r="B62" i="11"/>
  <c r="C62" i="11"/>
  <c r="D62" i="11" s="1"/>
  <c r="B66" i="11"/>
  <c r="C66" i="11"/>
  <c r="D66" i="11" s="1"/>
  <c r="B73" i="11"/>
  <c r="C73" i="11"/>
  <c r="B74" i="11"/>
  <c r="C74" i="11"/>
  <c r="B75" i="11"/>
  <c r="C75" i="11"/>
  <c r="B76" i="11"/>
  <c r="C76" i="11"/>
  <c r="D76" i="11" s="1"/>
  <c r="B77" i="11"/>
  <c r="C77" i="11"/>
  <c r="A4" i="8"/>
  <c r="D4" i="8"/>
  <c r="I4" i="8" s="1"/>
  <c r="A5" i="8"/>
  <c r="D5" i="8"/>
  <c r="A6" i="8"/>
  <c r="D6" i="8"/>
  <c r="I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T38" i="4"/>
  <c r="H38" i="13"/>
  <c r="T42" i="4"/>
  <c r="H42" i="13"/>
  <c r="T54" i="4"/>
  <c r="H54" i="13"/>
  <c r="T70" i="4"/>
  <c r="H70" i="13"/>
  <c r="T96" i="4"/>
  <c r="H96" i="13"/>
  <c r="C11" i="4"/>
  <c r="C62" i="4"/>
  <c r="B62" i="13" s="1"/>
  <c r="C77" i="4"/>
  <c r="B77" i="13"/>
  <c r="D8" i="4"/>
  <c r="D11" i="4"/>
  <c r="B11" i="4" s="1"/>
  <c r="D26" i="4"/>
  <c r="D38" i="4"/>
  <c r="D42" i="4"/>
  <c r="D54" i="4"/>
  <c r="D62" i="4"/>
  <c r="D77" i="4"/>
  <c r="D96" i="4"/>
  <c r="D104" i="4"/>
  <c r="F2" i="4"/>
  <c r="G2" i="4"/>
  <c r="H2" i="4"/>
  <c r="I2" i="4"/>
  <c r="J2" i="4"/>
  <c r="K2" i="4"/>
  <c r="L2" i="4"/>
  <c r="M2" i="4"/>
  <c r="N2" i="4"/>
  <c r="O2" i="4"/>
  <c r="P2" i="4"/>
  <c r="Q2" i="4"/>
  <c r="B4" i="4"/>
  <c r="E4" i="4" s="1"/>
  <c r="R4" i="4" s="1"/>
  <c r="R8" i="4" s="1"/>
  <c r="R12" i="4" s="1"/>
  <c r="B5" i="4"/>
  <c r="B6" i="4"/>
  <c r="E6" i="4" s="1"/>
  <c r="R6" i="4" s="1"/>
  <c r="B7" i="4"/>
  <c r="F8" i="4"/>
  <c r="F12" i="4" s="1"/>
  <c r="G8" i="4"/>
  <c r="G12" i="4" s="1"/>
  <c r="G11" i="4"/>
  <c r="H8" i="4"/>
  <c r="H11" i="4"/>
  <c r="I8" i="4"/>
  <c r="I11" i="4"/>
  <c r="J8" i="4"/>
  <c r="J11" i="4"/>
  <c r="J12" i="4" s="1"/>
  <c r="J26" i="4"/>
  <c r="J38" i="4"/>
  <c r="J42" i="4"/>
  <c r="J54" i="4"/>
  <c r="J62" i="4"/>
  <c r="J70" i="4"/>
  <c r="J77" i="4"/>
  <c r="J96" i="4"/>
  <c r="J104" i="4"/>
  <c r="K8" i="4"/>
  <c r="K11" i="4"/>
  <c r="L8" i="4"/>
  <c r="L12" i="4" s="1"/>
  <c r="L11" i="4"/>
  <c r="M8" i="4"/>
  <c r="M11" i="4"/>
  <c r="M12" i="4" s="1"/>
  <c r="N8" i="4"/>
  <c r="N12" i="4" s="1"/>
  <c r="O8" i="4"/>
  <c r="Q8" i="4"/>
  <c r="Q11" i="4"/>
  <c r="B9" i="4"/>
  <c r="B10" i="4"/>
  <c r="E11" i="4"/>
  <c r="F11" i="4"/>
  <c r="F26" i="4"/>
  <c r="F38" i="4"/>
  <c r="F63" i="4" s="1"/>
  <c r="F97" i="4" s="1"/>
  <c r="F105" i="4" s="1"/>
  <c r="F42" i="4"/>
  <c r="F54" i="4"/>
  <c r="F62" i="4"/>
  <c r="N11" i="4"/>
  <c r="O11" i="4"/>
  <c r="B13" i="4"/>
  <c r="E13" i="4" s="1"/>
  <c r="R13" i="4" s="1"/>
  <c r="B14" i="4"/>
  <c r="B15" i="4"/>
  <c r="AD199" i="20" s="1"/>
  <c r="B17" i="4"/>
  <c r="B18" i="4"/>
  <c r="B19" i="4"/>
  <c r="B20" i="4"/>
  <c r="B21" i="4"/>
  <c r="B22" i="4"/>
  <c r="B23" i="4"/>
  <c r="B25" i="4"/>
  <c r="E26" i="4"/>
  <c r="G26" i="4"/>
  <c r="H26" i="4"/>
  <c r="I26" i="4"/>
  <c r="I38" i="4"/>
  <c r="I42" i="4"/>
  <c r="I54" i="4"/>
  <c r="I62" i="4"/>
  <c r="K26" i="4"/>
  <c r="K63" i="4" s="1"/>
  <c r="K97" i="4" s="1"/>
  <c r="L26" i="4"/>
  <c r="M26" i="4"/>
  <c r="M38" i="4"/>
  <c r="M42" i="4"/>
  <c r="M54" i="4"/>
  <c r="M62" i="4"/>
  <c r="M70" i="4"/>
  <c r="M77" i="4"/>
  <c r="M96" i="4"/>
  <c r="M104" i="4"/>
  <c r="N26" i="4"/>
  <c r="N38" i="4"/>
  <c r="N42" i="4"/>
  <c r="N54" i="4"/>
  <c r="N62" i="4"/>
  <c r="N70" i="4"/>
  <c r="N77" i="4"/>
  <c r="N96" i="4"/>
  <c r="N104" i="4"/>
  <c r="O26" i="4"/>
  <c r="P26" i="4"/>
  <c r="Q26" i="4"/>
  <c r="B27" i="4"/>
  <c r="B29" i="4"/>
  <c r="E29" i="4" s="1"/>
  <c r="R29" i="4" s="1"/>
  <c r="S29" i="4" s="1"/>
  <c r="E29" i="13" s="1"/>
  <c r="B31" i="4"/>
  <c r="E31" i="4" s="1"/>
  <c r="R31" i="4" s="1"/>
  <c r="S31" i="4" s="1"/>
  <c r="E31" i="13" s="1"/>
  <c r="B32" i="4"/>
  <c r="E32" i="4" s="1"/>
  <c r="R32" i="4" s="1"/>
  <c r="S32" i="4" s="1"/>
  <c r="E32" i="13" s="1"/>
  <c r="B33" i="4"/>
  <c r="E33" i="4" s="1"/>
  <c r="R33" i="4" s="1"/>
  <c r="S33" i="4" s="1"/>
  <c r="E33" i="13" s="1"/>
  <c r="B35" i="4"/>
  <c r="E35" i="4" s="1"/>
  <c r="R35" i="4" s="1"/>
  <c r="S35" i="4" s="1"/>
  <c r="E35" i="13" s="1"/>
  <c r="B37" i="4"/>
  <c r="E37" i="4" s="1"/>
  <c r="R37" i="4" s="1"/>
  <c r="S37" i="4" s="1"/>
  <c r="E37" i="13" s="1"/>
  <c r="H38" i="4"/>
  <c r="K38" i="4"/>
  <c r="L38" i="4"/>
  <c r="O38" i="4"/>
  <c r="P38" i="4"/>
  <c r="P42" i="4"/>
  <c r="P54" i="4"/>
  <c r="P62" i="4"/>
  <c r="P70" i="4"/>
  <c r="P77" i="4"/>
  <c r="P96" i="4"/>
  <c r="P104" i="4"/>
  <c r="Q38" i="4"/>
  <c r="B40" i="4"/>
  <c r="E40" i="4" s="1"/>
  <c r="R40" i="4" s="1"/>
  <c r="S40" i="4" s="1"/>
  <c r="B41" i="4"/>
  <c r="E41" i="4" s="1"/>
  <c r="R41" i="4" s="1"/>
  <c r="S41" i="4" s="1"/>
  <c r="E41" i="13" s="1"/>
  <c r="G42" i="4"/>
  <c r="H42" i="4"/>
  <c r="K42" i="4"/>
  <c r="L42" i="4"/>
  <c r="O42" i="4"/>
  <c r="Q42" i="4"/>
  <c r="B43" i="4"/>
  <c r="E43" i="4" s="1"/>
  <c r="R43" i="4" s="1"/>
  <c r="S43" i="4" s="1"/>
  <c r="E43" i="13" s="1"/>
  <c r="B47" i="4"/>
  <c r="B48" i="4"/>
  <c r="B50" i="4"/>
  <c r="E50" i="4" s="1"/>
  <c r="R50" i="4" s="1"/>
  <c r="B51" i="4"/>
  <c r="E51" i="4" s="1"/>
  <c r="R51" i="4" s="1"/>
  <c r="B52" i="4"/>
  <c r="E52" i="4" s="1"/>
  <c r="R52" i="4" s="1"/>
  <c r="B53" i="4"/>
  <c r="G54" i="4"/>
  <c r="H54" i="4"/>
  <c r="K54" i="4"/>
  <c r="L54" i="4"/>
  <c r="O54" i="4"/>
  <c r="Q54" i="4"/>
  <c r="B56" i="4"/>
  <c r="E56" i="4" s="1"/>
  <c r="R56" i="4" s="1"/>
  <c r="B57" i="4"/>
  <c r="B58" i="4"/>
  <c r="E58" i="4" s="1"/>
  <c r="R58" i="4" s="1"/>
  <c r="B60" i="4"/>
  <c r="B61" i="4"/>
  <c r="G62" i="4"/>
  <c r="H62" i="4"/>
  <c r="K62" i="4"/>
  <c r="L62" i="4"/>
  <c r="O62" i="4"/>
  <c r="O70" i="4"/>
  <c r="O77" i="4"/>
  <c r="O96" i="4"/>
  <c r="O104" i="4"/>
  <c r="Q62" i="4"/>
  <c r="B65" i="4"/>
  <c r="E65" i="4" s="1"/>
  <c r="R65" i="4" s="1"/>
  <c r="F70" i="4"/>
  <c r="G70" i="4"/>
  <c r="H70" i="4"/>
  <c r="I70" i="4"/>
  <c r="K70" i="4"/>
  <c r="L70" i="4"/>
  <c r="Q70" i="4"/>
  <c r="B72" i="4"/>
  <c r="B73" i="4"/>
  <c r="B74" i="4"/>
  <c r="B75" i="4"/>
  <c r="E75" i="4" s="1"/>
  <c r="R75" i="4" s="1"/>
  <c r="B76" i="4"/>
  <c r="E76" i="4" s="1"/>
  <c r="R76" i="4" s="1"/>
  <c r="F77" i="4"/>
  <c r="G77" i="4"/>
  <c r="H77" i="4"/>
  <c r="I77" i="4"/>
  <c r="K77" i="4"/>
  <c r="L77" i="4"/>
  <c r="Q77" i="4"/>
  <c r="B79" i="4"/>
  <c r="E79" i="4" s="1"/>
  <c r="R79" i="4" s="1"/>
  <c r="B84" i="4"/>
  <c r="E84" i="4" s="1"/>
  <c r="R84" i="4" s="1"/>
  <c r="S84" i="4" s="1"/>
  <c r="B85" i="4"/>
  <c r="E85" i="4" s="1"/>
  <c r="R85" i="4" s="1"/>
  <c r="S85" i="4" s="1"/>
  <c r="E85" i="13" s="1"/>
  <c r="B86" i="4"/>
  <c r="E86" i="4" s="1"/>
  <c r="R86" i="4" s="1"/>
  <c r="S86" i="4" s="1"/>
  <c r="E86" i="13" s="1"/>
  <c r="B87" i="4"/>
  <c r="B88" i="4"/>
  <c r="E88" i="4" s="1"/>
  <c r="R88" i="4" s="1"/>
  <c r="B89" i="4"/>
  <c r="E89" i="4" s="1"/>
  <c r="R89" i="4" s="1"/>
  <c r="S89" i="4" s="1"/>
  <c r="E89" i="13" s="1"/>
  <c r="B90" i="4"/>
  <c r="E90" i="4" s="1"/>
  <c r="R90" i="4" s="1"/>
  <c r="B91" i="4"/>
  <c r="B92" i="4"/>
  <c r="E92" i="4" s="1"/>
  <c r="R92" i="4" s="1"/>
  <c r="S92" i="4" s="1"/>
  <c r="E92" i="13" s="1"/>
  <c r="B93" i="4"/>
  <c r="E93" i="4" s="1"/>
  <c r="R93" i="4" s="1"/>
  <c r="S93" i="4" s="1"/>
  <c r="E93" i="13" s="1"/>
  <c r="B94" i="4"/>
  <c r="E94" i="4" s="1"/>
  <c r="R94" i="4" s="1"/>
  <c r="S94" i="4" s="1"/>
  <c r="E94" i="13" s="1"/>
  <c r="B95" i="4"/>
  <c r="F96" i="4"/>
  <c r="G96" i="4"/>
  <c r="H96" i="4"/>
  <c r="I96" i="4"/>
  <c r="K96" i="4"/>
  <c r="L96" i="4"/>
  <c r="Q96" i="4"/>
  <c r="B101" i="4"/>
  <c r="B102" i="4"/>
  <c r="B103" i="4"/>
  <c r="F104" i="4"/>
  <c r="G104" i="4"/>
  <c r="H104" i="4"/>
  <c r="I104" i="4"/>
  <c r="L104" i="4"/>
  <c r="Q104" i="4"/>
  <c r="F108" i="4"/>
  <c r="G108" i="4"/>
  <c r="H108" i="4"/>
  <c r="I108" i="4"/>
  <c r="J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I12" i="4"/>
  <c r="D10" i="11"/>
  <c r="D61" i="11"/>
  <c r="D20" i="11"/>
  <c r="D8" i="11"/>
  <c r="K12" i="4"/>
  <c r="C12" i="13"/>
  <c r="B78" i="11"/>
  <c r="D22" i="11"/>
  <c r="B11" i="13"/>
  <c r="H12" i="4"/>
  <c r="D23" i="11"/>
  <c r="D73" i="11"/>
  <c r="D74" i="11"/>
  <c r="P63" i="4"/>
  <c r="P97" i="4"/>
  <c r="P105" i="4"/>
  <c r="D75" i="11"/>
  <c r="D21" i="11"/>
  <c r="D16" i="11"/>
  <c r="B12" i="11"/>
  <c r="R26" i="4"/>
  <c r="F63" i="13"/>
  <c r="F97" i="13" s="1"/>
  <c r="F105" i="13" s="1"/>
  <c r="F107" i="13" s="1"/>
  <c r="C12" i="11"/>
  <c r="D12" i="11"/>
  <c r="D86" i="11" l="1"/>
  <c r="B82" i="11"/>
  <c r="R69" i="4"/>
  <c r="B81" i="4"/>
  <c r="R70" i="4"/>
  <c r="B63" i="11"/>
  <c r="D63" i="11" s="1"/>
  <c r="D7" i="11"/>
  <c r="D95" i="11"/>
  <c r="D94" i="11"/>
  <c r="B77" i="4"/>
  <c r="D38" i="11"/>
  <c r="D93" i="11"/>
  <c r="E8" i="4"/>
  <c r="E12" i="4" s="1"/>
  <c r="D53" i="11"/>
  <c r="D52" i="11"/>
  <c r="D34" i="11"/>
  <c r="D51" i="11"/>
  <c r="D33" i="11"/>
  <c r="D32" i="11"/>
  <c r="D57" i="11"/>
  <c r="D85" i="11"/>
  <c r="E40" i="13"/>
  <c r="S42" i="4"/>
  <c r="E42" i="13" s="1"/>
  <c r="E84" i="13"/>
  <c r="S96" i="4"/>
  <c r="E96" i="13" s="1"/>
  <c r="R81" i="4"/>
  <c r="S79" i="4"/>
  <c r="D30" i="11"/>
  <c r="E77" i="4"/>
  <c r="C71" i="11"/>
  <c r="E62" i="4"/>
  <c r="B70" i="13"/>
  <c r="D87" i="11"/>
  <c r="E81" i="4"/>
  <c r="B62" i="4"/>
  <c r="E42" i="4"/>
  <c r="D44" i="11"/>
  <c r="D90" i="11"/>
  <c r="D89" i="11"/>
  <c r="D42" i="11"/>
  <c r="D77" i="11"/>
  <c r="B43" i="11"/>
  <c r="J6" i="8"/>
  <c r="J4" i="8"/>
  <c r="J40" i="8" s="1"/>
  <c r="Z809" i="3" s="1"/>
  <c r="M959" i="3" s="1"/>
  <c r="M960" i="3" s="1"/>
  <c r="R77" i="4"/>
  <c r="R42" i="4"/>
  <c r="R62" i="4"/>
  <c r="H63" i="4"/>
  <c r="H97" i="4" s="1"/>
  <c r="H105" i="4" s="1"/>
  <c r="Q12" i="4"/>
  <c r="Q63" i="4"/>
  <c r="Q97" i="4" s="1"/>
  <c r="Q105" i="4" s="1"/>
  <c r="O63" i="4"/>
  <c r="O97" i="4" s="1"/>
  <c r="O105" i="4" s="1"/>
  <c r="O12" i="4"/>
  <c r="N186" i="27"/>
  <c r="B26" i="4"/>
  <c r="B26" i="13"/>
  <c r="N63" i="4"/>
  <c r="N97" i="4" s="1"/>
  <c r="N105" i="4" s="1"/>
  <c r="C43" i="11"/>
  <c r="D41" i="11"/>
  <c r="B8" i="13"/>
  <c r="B8" i="4"/>
  <c r="N187" i="27" s="1"/>
  <c r="C12" i="4"/>
  <c r="B12" i="13" s="1"/>
  <c r="B71" i="11"/>
  <c r="C9" i="11"/>
  <c r="C63" i="13"/>
  <c r="C97" i="13" s="1"/>
  <c r="C105" i="13" s="1"/>
  <c r="D104" i="11"/>
  <c r="M63" i="4"/>
  <c r="M97" i="4" s="1"/>
  <c r="M105" i="4" s="1"/>
  <c r="D12" i="4"/>
  <c r="D63" i="4"/>
  <c r="D97" i="4" s="1"/>
  <c r="D105" i="4" s="1"/>
  <c r="L63" i="4"/>
  <c r="L97" i="4" s="1"/>
  <c r="L105" i="4" s="1"/>
  <c r="J63" i="4"/>
  <c r="J97" i="4" s="1"/>
  <c r="J105" i="4" s="1"/>
  <c r="H26" i="13"/>
  <c r="T63" i="4"/>
  <c r="I63" i="4"/>
  <c r="I97" i="4" s="1"/>
  <c r="I105" i="4" s="1"/>
  <c r="B9" i="11"/>
  <c r="B13" i="11" s="1"/>
  <c r="D70" i="11"/>
  <c r="D80" i="11"/>
  <c r="D103" i="11"/>
  <c r="D102" i="11"/>
  <c r="C82" i="11"/>
  <c r="D82" i="11" s="1"/>
  <c r="C78" i="11"/>
  <c r="D78" i="11" s="1"/>
  <c r="D91" i="11"/>
  <c r="D36" i="11"/>
  <c r="D63" i="13"/>
  <c r="D97" i="13" s="1"/>
  <c r="D105" i="13" s="1"/>
  <c r="AH721" i="3"/>
  <c r="AH720" i="3"/>
  <c r="AH719" i="3"/>
  <c r="AH718" i="3"/>
  <c r="G67" i="2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Q28" i="21" a="1"/>
  <c r="Q28" i="21" s="1"/>
  <c r="O28" i="21"/>
  <c r="AG445" i="3"/>
  <c r="AD27" i="15" s="1"/>
  <c r="P30" i="21" a="1"/>
  <c r="P30" i="21" s="1"/>
  <c r="DR632" i="3"/>
  <c r="S24" i="21"/>
  <c r="O27" i="21"/>
  <c r="P24" i="21" a="1"/>
  <c r="P24" i="21" s="1"/>
  <c r="O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G53" i="21"/>
  <c r="E24" i="21"/>
  <c r="E22" i="21"/>
  <c r="F22" i="21" s="1"/>
  <c r="G40" i="8"/>
  <c r="I15" i="7"/>
  <c r="E26" i="21"/>
  <c r="E23" i="21"/>
  <c r="F23" i="21" s="1"/>
  <c r="G23" i="21" s="1"/>
  <c r="D71" i="11" l="1"/>
  <c r="AJ610" i="20"/>
  <c r="AK783" i="20" s="1"/>
  <c r="T808" i="20" s="1"/>
  <c r="AF808" i="20" s="1"/>
  <c r="G62" i="21"/>
  <c r="D43" i="11"/>
  <c r="S81" i="4"/>
  <c r="E81" i="13" s="1"/>
  <c r="E79" i="13"/>
  <c r="B12" i="4"/>
  <c r="AS349" i="20"/>
  <c r="N193" i="27"/>
  <c r="D9" i="11"/>
  <c r="C13" i="11"/>
  <c r="D13" i="11" s="1"/>
  <c r="T97" i="4"/>
  <c r="H63" i="13"/>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T105" i="4" l="1"/>
  <c r="H97" i="13"/>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T107" i="4" l="1"/>
  <c r="H107" i="13" s="1"/>
  <c r="AD11" i="15" s="1"/>
  <c r="AD23" i="15" s="1"/>
  <c r="AD26" i="15" s="1"/>
  <c r="AD28" i="15" s="1"/>
  <c r="H105" i="13"/>
  <c r="G38" i="21"/>
  <c r="G40" i="21" s="1"/>
  <c r="E10" i="21" s="1"/>
  <c r="AP694" i="20"/>
  <c r="AP695" i="20"/>
  <c r="I4" i="7"/>
  <c r="I5" i="7" s="1"/>
  <c r="K9" i="7"/>
  <c r="E11" i="7"/>
  <c r="E37" i="7" s="1"/>
  <c r="E49" i="7" s="1"/>
  <c r="AJ991" i="3"/>
  <c r="AJ1028" i="3" s="1"/>
  <c r="E132" i="20"/>
  <c r="E133" i="20" s="1"/>
  <c r="AK137" i="20" s="1"/>
  <c r="T796" i="20" s="1"/>
  <c r="AF796" i="20" s="1"/>
  <c r="AB990" i="3"/>
  <c r="CS660" i="3"/>
  <c r="U362" i="20" s="1"/>
  <c r="P421" i="3"/>
  <c r="I6" i="7"/>
  <c r="G7" i="7"/>
  <c r="G11" i="7" s="1"/>
  <c r="G37" i="7" s="1"/>
  <c r="M22" i="7"/>
  <c r="M35" i="7" s="1"/>
  <c r="O15" i="7"/>
  <c r="M9" i="7"/>
  <c r="O8" i="7"/>
  <c r="G25" i="21"/>
  <c r="F24" i="21"/>
  <c r="AZ846" i="3" l="1"/>
  <c r="AZ843" i="3"/>
  <c r="AJ993" i="3"/>
  <c r="AJ1052" i="3" s="1"/>
  <c r="AJ1012" i="3"/>
  <c r="B1059" i="3"/>
  <c r="AJ1048" i="3"/>
  <c r="AP542" i="20" s="1"/>
  <c r="AP539" i="20"/>
  <c r="K4" i="7"/>
  <c r="M4" i="7" s="1"/>
  <c r="E45" i="7"/>
  <c r="E48" i="7" s="1"/>
  <c r="G45" i="7"/>
  <c r="G49" i="7"/>
  <c r="K6" i="7"/>
  <c r="I7" i="7"/>
  <c r="I11" i="7" s="1"/>
  <c r="I37" i="7" s="1"/>
  <c r="G24" i="21"/>
  <c r="F27" i="21"/>
  <c r="G27" i="21"/>
  <c r="O22" i="7"/>
  <c r="O35" i="7" s="1"/>
  <c r="Q15" i="7"/>
  <c r="O9" i="7"/>
  <c r="Q8" i="7"/>
  <c r="AZ851" i="3" l="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E97" i="20"/>
  <c r="E100" i="20" s="1"/>
  <c r="AM554" i="3" l="1"/>
  <c r="AM555" i="3"/>
  <c r="AM559" i="3"/>
  <c r="AO632" i="3"/>
  <c r="K108" i="4" s="1"/>
  <c r="AO640" i="3"/>
  <c r="E108" i="4" s="1"/>
  <c r="AE699" i="3"/>
  <c r="AA917" i="3"/>
  <c r="AB50" i="15"/>
  <c r="AB72" i="15"/>
  <c r="B46" i="11"/>
  <c r="B49" i="13"/>
  <c r="E49" i="13"/>
  <c r="C45" i="4"/>
  <c r="C54" i="4" s="1"/>
  <c r="S45" i="4"/>
  <c r="E45" i="13" s="1"/>
  <c r="C46" i="4"/>
  <c r="C47" i="11" s="1"/>
  <c r="S46" i="4"/>
  <c r="E46" i="13" s="1"/>
  <c r="B49" i="4"/>
  <c r="E49" i="4" s="1"/>
  <c r="R49" i="4" s="1"/>
  <c r="C49" i="4"/>
  <c r="B50" i="11" s="1"/>
  <c r="S49" i="4"/>
  <c r="C83" i="4"/>
  <c r="B83" i="13" s="1"/>
  <c r="C99" i="4"/>
  <c r="B99" i="13" s="1"/>
  <c r="K99" i="4"/>
  <c r="C104" i="4"/>
  <c r="B104" i="4" s="1"/>
  <c r="K104" i="4"/>
  <c r="K105" i="4" s="1"/>
  <c r="I9" i="21"/>
  <c r="B100" i="11" l="1"/>
  <c r="B105" i="11" s="1"/>
  <c r="AO639" i="3"/>
  <c r="C50" i="11"/>
  <c r="D50" i="11" s="1"/>
  <c r="AM566" i="3"/>
  <c r="C100" i="11"/>
  <c r="C46" i="11"/>
  <c r="C55" i="11" s="1"/>
  <c r="B54" i="4"/>
  <c r="B54" i="13"/>
  <c r="B46" i="4"/>
  <c r="E46" i="4" s="1"/>
  <c r="R46" i="4" s="1"/>
  <c r="B47" i="11"/>
  <c r="B55" i="11" s="1"/>
  <c r="D55" i="11" s="1"/>
  <c r="D46" i="11"/>
  <c r="S54" i="4"/>
  <c r="E54" i="13" s="1"/>
  <c r="C84" i="11"/>
  <c r="B83" i="4"/>
  <c r="E83" i="4" s="1"/>
  <c r="B46" i="13"/>
  <c r="B104" i="13"/>
  <c r="B45" i="13"/>
  <c r="B99" i="4"/>
  <c r="E99" i="4" s="1"/>
  <c r="B45" i="4"/>
  <c r="E45" i="4" s="1"/>
  <c r="B84" i="11"/>
  <c r="B97" i="11" s="1"/>
  <c r="C96" i="4"/>
  <c r="C105" i="11" l="1"/>
  <c r="D105" i="11" s="1"/>
  <c r="D100" i="11"/>
  <c r="AB48" i="15"/>
  <c r="AO641" i="3"/>
  <c r="B96" i="13"/>
  <c r="B96" i="4"/>
  <c r="E96" i="4"/>
  <c r="R83" i="4"/>
  <c r="R96" i="4" s="1"/>
  <c r="D47" i="11"/>
  <c r="E54" i="4"/>
  <c r="R45" i="4"/>
  <c r="R54" i="4" s="1"/>
  <c r="R99" i="4"/>
  <c r="E104" i="4"/>
  <c r="C97" i="11"/>
  <c r="D97" i="11" s="1"/>
  <c r="D84" i="11"/>
  <c r="S99" i="4" l="1"/>
  <c r="R104" i="4"/>
  <c r="S104" i="4" l="1"/>
  <c r="E104" i="13" s="1"/>
  <c r="E99" i="13"/>
  <c r="M26" i="3"/>
  <c r="M27" i="3"/>
  <c r="P204" i="3"/>
  <c r="P205" i="3"/>
  <c r="AC454" i="3"/>
  <c r="AC455" i="3"/>
  <c r="AC456" i="3"/>
  <c r="F457" i="3"/>
  <c r="T11" i="15"/>
  <c r="T23" i="15"/>
  <c r="T26" i="15"/>
  <c r="T28" i="15"/>
  <c r="T29" i="15"/>
  <c r="Y38" i="15"/>
  <c r="AD38" i="15"/>
  <c r="Y40" i="15"/>
  <c r="AD40" i="15"/>
  <c r="Y41" i="15"/>
  <c r="AB47" i="15"/>
  <c r="AB49" i="15"/>
  <c r="AB54" i="15"/>
  <c r="AB55" i="15"/>
  <c r="AB56" i="15"/>
  <c r="AB57" i="15"/>
  <c r="AB59" i="15"/>
  <c r="Y64" i="15"/>
  <c r="Y68" i="15"/>
  <c r="Y69" i="15"/>
  <c r="AB77" i="15"/>
  <c r="AB78" i="15"/>
  <c r="AB79" i="15"/>
  <c r="AB81" i="15"/>
  <c r="J82" i="15"/>
  <c r="N183" i="27"/>
  <c r="N184" i="27"/>
  <c r="N194" i="27"/>
  <c r="AB255" i="20"/>
  <c r="AG257" i="20"/>
  <c r="AG258" i="20"/>
  <c r="AG259" i="20"/>
  <c r="AK262" i="20"/>
  <c r="AF540" i="20"/>
  <c r="AF542" i="20"/>
  <c r="AK548" i="20"/>
  <c r="T801" i="20"/>
  <c r="AF801" i="20"/>
  <c r="T807" i="20"/>
  <c r="AF807" i="20"/>
  <c r="AF810" i="20"/>
  <c r="B31" i="11"/>
  <c r="C31" i="11"/>
  <c r="D31" i="11"/>
  <c r="B35" i="11"/>
  <c r="C35" i="11"/>
  <c r="D35" i="11"/>
  <c r="B39" i="11"/>
  <c r="C39" i="11"/>
  <c r="D39" i="11"/>
  <c r="B64" i="11"/>
  <c r="C64" i="11"/>
  <c r="D64" i="11"/>
  <c r="B98" i="11"/>
  <c r="C98" i="11"/>
  <c r="D98" i="11"/>
  <c r="B106" i="11"/>
  <c r="C106" i="11"/>
  <c r="D106" i="11"/>
  <c r="B30" i="13"/>
  <c r="E30" i="13"/>
  <c r="B34" i="13"/>
  <c r="E34" i="13"/>
  <c r="B38" i="13"/>
  <c r="E38" i="13"/>
  <c r="B63" i="13"/>
  <c r="E63" i="13"/>
  <c r="B97" i="13"/>
  <c r="E97" i="13"/>
  <c r="B105" i="13"/>
  <c r="E105" i="13"/>
  <c r="E107" i="13"/>
  <c r="B30" i="4"/>
  <c r="C30" i="4"/>
  <c r="E30" i="4"/>
  <c r="G30" i="4"/>
  <c r="R30" i="4"/>
  <c r="S30" i="4"/>
  <c r="B34" i="4"/>
  <c r="C34" i="4"/>
  <c r="E34" i="4"/>
  <c r="G34" i="4"/>
  <c r="R34" i="4"/>
  <c r="S34" i="4"/>
  <c r="B38" i="4"/>
  <c r="C38" i="4"/>
  <c r="E38" i="4"/>
  <c r="G38" i="4"/>
  <c r="R38" i="4"/>
  <c r="S38" i="4"/>
  <c r="B63" i="4"/>
  <c r="C63" i="4"/>
  <c r="E63" i="4"/>
  <c r="G63" i="4"/>
  <c r="R63" i="4"/>
  <c r="S63" i="4"/>
  <c r="B97" i="4"/>
  <c r="C97" i="4"/>
  <c r="E97" i="4"/>
  <c r="G97" i="4"/>
  <c r="R97" i="4"/>
  <c r="S97" i="4"/>
  <c r="B105" i="4"/>
  <c r="C105" i="4"/>
  <c r="E105" i="4"/>
  <c r="G105" i="4"/>
  <c r="R105" i="4"/>
  <c r="S105" i="4"/>
  <c r="S107" i="4"/>
  <c r="H4" i="21"/>
  <c r="H5" i="21"/>
  <c r="I10" i="21"/>
  <c r="I11" i="21"/>
  <c r="I1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<sst xmlns="http://schemas.openxmlformats.org/spreadsheetml/2006/main" count="5359" uniqueCount="2803">
  <si>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</si>
  <si>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</si>
  <si>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</si>
  <si>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</si>
  <si>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</si>
  <si>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</si>
  <si>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</si>
  <si>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</si>
  <si>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</si>
  <si>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</si>
  <si>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</si>
  <si>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</si>
  <si>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</si>
  <si>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</si>
  <si>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</si>
  <si>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</si>
  <si>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</si>
  <si>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</si>
  <si>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</si>
  <si>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</si>
  <si>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</si>
  <si>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</si>
  <si>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</si>
  <si>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</si>
  <si>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</si>
  <si>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</si>
  <si>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</si>
  <si>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</si>
  <si>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</si>
  <si>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</si>
  <si>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</si>
  <si>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</si>
  <si>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</si>
  <si>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</si>
  <si>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</si>
  <si>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</si>
  <si>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</si>
  <si>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</si>
  <si>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</si>
  <si>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</si>
  <si>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</si>
  <si>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</si>
  <si>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</si>
  <si>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</si>
  <si>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</si>
  <si>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</si>
  <si>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</si>
  <si>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</si>
  <si>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</si>
  <si>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</si>
  <si>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</si>
  <si>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</si>
  <si>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</si>
  <si>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</si>
  <si>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</si>
  <si>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</si>
  <si>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</si>
  <si>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</si>
  <si>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</si>
  <si>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</si>
  <si>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</si>
  <si>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</si>
  <si>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</si>
  <si>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</si>
  <si>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</si>
  <si>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</si>
  <si>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</si>
  <si>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</si>
  <si>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</si>
  <si>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</si>
  <si>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</si>
  <si>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</si>
  <si>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</si>
  <si>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</si>
  <si>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</si>
  <si>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</si>
  <si>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</si>
  <si>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</si>
  <si>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</si>
  <si>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</si>
  <si>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</si>
  <si>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</si>
  <si>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</si>
  <si>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</si>
  <si>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</si>
  <si>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</si>
  <si>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</si>
  <si>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</si>
  <si>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</si>
  <si>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</si>
  <si>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</si>
  <si>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</si>
  <si>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</si>
  <si>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</si>
  <si>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</si>
  <si>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</si>
  <si>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</si>
  <si>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</si>
  <si>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</si>
  <si>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</si>
  <si>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</si>
  <si>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</si>
  <si>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</si>
  <si>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</si>
  <si>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</si>
  <si>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</si>
  <si>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</si>
  <si>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</si>
  <si>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</si>
  <si>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</si>
  <si>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</si>
  <si>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</si>
  <si>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</si>
  <si>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</si>
  <si>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</si>
  <si>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</si>
  <si>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</si>
  <si>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</si>
  <si>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</si>
  <si>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</si>
  <si>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</si>
  <si>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</si>
  <si>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</si>
  <si>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</si>
  <si>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</si>
  <si>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</si>
  <si>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</si>
  <si>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</si>
  <si>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</si>
  <si>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</si>
  <si>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</si>
  <si>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</si>
  <si>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</si>
  <si>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</si>
  <si>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</si>
  <si>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</si>
  <si>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</si>
  <si>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</si>
  <si>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</si>
  <si>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</si>
  <si>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</si>
  <si>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</si>
  <si>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</si>
  <si>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</si>
  <si>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</si>
  <si>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</si>
  <si>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</si>
  <si>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</si>
  <si>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</si>
  <si>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</si>
  <si>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</si>
  <si>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</si>
  <si>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</si>
  <si>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</si>
  <si>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</si>
  <si>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</si>
  <si>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</si>
  <si>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</si>
  <si>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</si>
  <si>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</si>
  <si>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</si>
  <si>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</si>
  <si>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</si>
  <si>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</si>
  <si>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</si>
  <si>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</si>
  <si>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</si>
  <si>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</si>
  <si>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</si>
  <si>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</si>
  <si>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</si>
  <si>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</si>
  <si>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</si>
  <si>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</si>
  <si>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</si>
  <si>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</si>
  <si>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</si>
  <si>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</si>
  <si>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</si>
  <si>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</si>
  <si>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</si>
  <si>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</si>
  <si>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</si>
  <si>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</si>
  <si>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</si>
  <si>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</si>
  <si>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</si>
  <si>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</si>
  <si>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</si>
  <si>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</si>
  <si>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</si>
  <si>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</si>
  <si>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</si>
  <si>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</si>
  <si>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</si>
  <si>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</si>
  <si>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</si>
  <si>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</si>
  <si>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</si>
  <si>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</si>
  <si>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</si>
  <si>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</si>
  <si>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</si>
  <si>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</si>
  <si>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</si>
  <si>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</si>
  <si>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</si>
  <si>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</si>
  <si>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</si>
  <si>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</si>
  <si>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</si>
  <si>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</si>
  <si>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</si>
  <si>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</si>
  <si>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</si>
  <si>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</si>
  <si>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</si>
  <si>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</si>
  <si>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</si>
  <si>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</si>
  <si>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</si>
  <si>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</si>
  <si>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</si>
  <si>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</si>
  <si>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</si>
  <si>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</si>
  <si>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</si>
  <si>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</si>
  <si>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</si>
  <si>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</si>
  <si>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</si>
  <si>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</si>
  <si>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</si>
  <si>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</si>
  <si>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</si>
  <si>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</si>
  <si>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</si>
  <si>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</si>
  <si>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</si>
  <si>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</si>
  <si>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</si>
  <si>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</si>
  <si>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</si>
  <si>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</si>
  <si>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</si>
  <si>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</si>
  <si>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</si>
  <si>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</si>
  <si>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</si>
  <si>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</si>
  <si>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</si>
  <si>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</si>
  <si>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</si>
  <si>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</si>
  <si>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</si>
  <si>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</si>
  <si>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</si>
  <si>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</si>
  <si>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</si>
  <si>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</si>
  <si>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</si>
  <si>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</si>
  <si>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</si>
  <si>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</si>
  <si>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</si>
  <si>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</si>
  <si>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</si>
  <si>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</si>
  <si>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</si>
  <si>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</si>
  <si>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</si>
  <si>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</si>
  <si>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</si>
  <si>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</si>
  <si>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</si>
  <si>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</si>
  <si>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</si>
  <si>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</si>
  <si>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</si>
  <si>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</si>
  <si>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</si>
  <si>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</si>
  <si>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</si>
  <si>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</si>
  <si>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</si>
  <si>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</si>
  <si>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</si>
  <si>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</si>
  <si>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</si>
  <si>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</si>
  <si>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</si>
  <si>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</si>
  <si>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</si>
  <si>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</si>
  <si>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</si>
  <si>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</si>
  <si>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</si>
  <si>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</si>
  <si>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</si>
  <si>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</si>
  <si>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</si>
  <si>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</si>
  <si>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</si>
  <si>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</si>
  <si>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</si>
  <si>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</si>
  <si>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</si>
  <si>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</si>
  <si>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</si>
  <si>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</si>
  <si>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</si>
  <si>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</si>
  <si>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</si>
  <si>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</si>
  <si>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</si>
  <si>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</si>
  <si>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</si>
  <si>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</si>
  <si>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</si>
  <si>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</si>
  <si>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</si>
  <si>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</si>
  <si>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</si>
  <si>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</si>
  <si>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</si>
  <si>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</si>
  <si>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</si>
  <si>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</si>
  <si>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</si>
  <si>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</si>
  <si>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</si>
  <si>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</si>
  <si>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</si>
  <si>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</si>
  <si>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</si>
  <si>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</si>
  <si>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</si>
  <si>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</si>
  <si>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</si>
  <si>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</si>
  <si>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</si>
  <si>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</si>
  <si>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</si>
  <si>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</si>
  <si>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</si>
  <si>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</si>
  <si>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</si>
  <si>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</si>
  <si>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</si>
  <si>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</si>
  <si>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</si>
  <si>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</si>
  <si>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</si>
  <si>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</si>
  <si>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</si>
  <si>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</si>
  <si>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</si>
  <si>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</si>
  <si>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</si>
  <si>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</si>
  <si>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</si>
  <si>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</si>
  <si>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</si>
  <si>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</si>
  <si>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</si>
  <si>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</si>
  <si>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</si>
  <si>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</si>
  <si>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</si>
  <si>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</si>
  <si>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</si>
  <si>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</si>
  <si>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</si>
  <si>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</si>
  <si>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</si>
  <si>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</si>
  <si>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</si>
  <si>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</si>
  <si>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</si>
  <si>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</si>
  <si>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</si>
  <si>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</si>
  <si>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</si>
  <si>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</si>
  <si>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</si>
  <si>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</si>
  <si>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</si>
  <si>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</si>
  <si>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</si>
  <si>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</si>
  <si>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</si>
  <si>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</si>
  <si>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</si>
  <si>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</si>
  <si>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</si>
  <si>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</si>
  <si>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</si>
  <si>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</si>
  <si>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</si>
  <si>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</si>
  <si>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</si>
  <si>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</si>
  <si>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</si>
  <si>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</si>
  <si>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</si>
  <si>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</si>
  <si>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</si>
  <si>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</si>
  <si>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</si>
  <si>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</si>
  <si>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</si>
  <si>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</si>
  <si>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</si>
  <si>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</si>
  <si>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</si>
  <si>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</si>
  <si>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</si>
  <si>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</si>
  <si>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</si>
  <si>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</si>
  <si>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</si>
  <si>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</si>
  <si>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</si>
  <si>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</si>
  <si>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</si>
  <si>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</si>
  <si>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</si>
  <si>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</si>
  <si>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</si>
  <si>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</si>
  <si>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</si>
  <si>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</si>
  <si>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</si>
  <si>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</si>
  <si>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</si>
  <si>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</si>
  <si>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</si>
  <si>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</si>
  <si>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</si>
  <si>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</si>
  <si>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</si>
  <si>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</si>
  <si>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</si>
  <si>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</si>
  <si>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</si>
  <si>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</si>
  <si>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</si>
  <si>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</si>
  <si>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</si>
  <si>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</si>
  <si>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</si>
  <si>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</si>
  <si>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</si>
  <si>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</si>
  <si>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</si>
  <si>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</si>
  <si>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</si>
  <si>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</si>
  <si>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</si>
  <si>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</si>
  <si>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</si>
  <si>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</si>
  <si>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</si>
  <si>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</si>
  <si>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</si>
  <si>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</si>
  <si>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</si>
  <si>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</si>
  <si>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</si>
  <si>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</si>
  <si>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</si>
  <si>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</si>
  <si>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</si>
  <si>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</si>
  <si>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</si>
  <si>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</si>
  <si>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</si>
  <si>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</si>
  <si>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</si>
  <si>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</si>
  <si>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</si>
  <si>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</si>
  <si>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</si>
  <si>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</si>
  <si>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</si>
  <si>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</si>
  <si>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</si>
  <si>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</si>
  <si>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</si>
  <si>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</si>
  <si>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</si>
  <si>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</si>
  <si>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</si>
  <si>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</si>
  <si>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</si>
  <si>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</si>
  <si>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</si>
  <si>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</si>
  <si>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</si>
  <si>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</si>
  <si>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</si>
  <si>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</si>
  <si>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</si>
  <si>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</si>
  <si>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</si>
  <si>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</si>
  <si>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</si>
  <si>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</si>
  <si>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</si>
  <si>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</si>
  <si>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</si>
  <si>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</si>
  <si>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</si>
  <si>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</si>
  <si>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</si>
  <si>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</si>
  <si>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</si>
  <si>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</si>
  <si>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</si>
  <si>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</si>
  <si>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</si>
  <si>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</si>
  <si>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</si>
  <si>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</si>
  <si>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</si>
  <si>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</si>
  <si>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</si>
  <si>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</si>
  <si>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</si>
  <si>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</si>
  <si>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</si>
  <si>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</si>
  <si>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</si>
  <si>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</si>
  <si>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</si>
  <si>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</si>
  <si>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</si>
  <si>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</si>
  <si>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</si>
  <si>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</si>
  <si>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</si>
  <si>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</si>
  <si>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</si>
  <si>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</si>
  <si>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</si>
  <si>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</si>
  <si>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</si>
  <si>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</si>
  <si>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</si>
  <si>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</si>
  <si>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</si>
  <si>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</si>
  <si>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</si>
  <si>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</si>
  <si>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</si>
  <si>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</si>
  <si>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</si>
  <si>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</si>
  <si>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</si>
  <si>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</si>
  <si>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</si>
  <si>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</si>
  <si>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</si>
  <si>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</si>
  <si>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</si>
  <si>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</si>
  <si>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</si>
  <si>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</si>
  <si>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</si>
  <si>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</si>
  <si>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</si>
  <si>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</si>
  <si>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</si>
  <si>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</si>
  <si>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</si>
  <si>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</si>
  <si>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</si>
  <si>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</si>
  <si>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</si>
  <si>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</si>
  <si>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</si>
  <si>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</si>
  <si>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</si>
  <si>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</si>
  <si>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</si>
  <si>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</si>
  <si>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</si>
  <si>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</si>
  <si>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</si>
  <si>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</si>
  <si>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</si>
  <si>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</si>
  <si>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</si>
  <si>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</si>
  <si>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</si>
  <si>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</si>
  <si>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</si>
  <si>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</si>
  <si>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</si>
  <si>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</si>
  <si>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</si>
  <si>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</si>
  <si>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</si>
  <si>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</si>
  <si>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</si>
  <si>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</si>
  <si>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</si>
  <si>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</si>
  <si>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</si>
  <si>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</si>
  <si>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</si>
  <si>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</si>
  <si>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</si>
  <si>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</si>
  <si>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</si>
  <si>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</si>
  <si>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</si>
  <si>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</si>
  <si>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</si>
  <si>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</si>
  <si>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</si>
  <si>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</si>
  <si>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</si>
  <si>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</si>
  <si>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</si>
  <si>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</si>
  <si>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</si>
  <si>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</si>
  <si>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</si>
  <si>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</si>
  <si>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</si>
  <si>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</si>
  <si>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</si>
  <si>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</si>
  <si>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</si>
  <si>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</si>
  <si>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</si>
  <si>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</si>
  <si>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</si>
  <si>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</si>
  <si>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</si>
  <si>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</si>
  <si>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</si>
  <si>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</si>
  <si>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</si>
  <si>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</si>
  <si>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</si>
  <si>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</si>
  <si>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</si>
  <si>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</si>
  <si>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</si>
  <si>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</si>
  <si>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</si>
  <si>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</si>
  <si>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</si>
  <si>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</si>
  <si>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</si>
  <si>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</si>
  <si>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</si>
  <si>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</si>
  <si>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</si>
  <si>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</si>
  <si>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</si>
  <si>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</si>
  <si>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</si>
  <si>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</si>
  <si>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</si>
  <si>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</si>
  <si>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</si>
  <si>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</si>
  <si>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</si>
  <si>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</si>
  <si>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</si>
  <si>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</si>
  <si>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</si>
  <si>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</si>
  <si>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</si>
  <si>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</si>
  <si>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</si>
  <si>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</si>
  <si>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</si>
  <si>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</si>
  <si>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</si>
  <si>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</si>
  <si>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</si>
  <si>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</si>
  <si>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</si>
  <si>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</si>
  <si>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</si>
  <si>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</si>
  <si>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</si>
  <si>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</si>
  <si>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</si>
  <si>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</si>
  <si>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</si>
  <si>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</si>
  <si>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</si>
  <si>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</si>
  <si>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</si>
  <si>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</si>
  <si>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</si>
  <si>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</si>
  <si>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</si>
  <si>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</si>
  <si>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</si>
  <si>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</si>
  <si>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</si>
  <si>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</si>
  <si>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</si>
  <si>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</si>
  <si>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</si>
  <si>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</si>
  <si>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</si>
  <si>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</si>
  <si>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</si>
  <si>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</si>
  <si>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</si>
  <si>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</si>
  <si>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</si>
  <si>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</si>
  <si>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</si>
  <si>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</si>
  <si>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</si>
  <si>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</si>
  <si>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</si>
  <si>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</si>
  <si>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</si>
  <si>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</si>
  <si>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</si>
  <si>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</si>
  <si>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</si>
  <si>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</si>
  <si>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</si>
  <si>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</si>
  <si>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</si>
  <si>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</si>
  <si>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</si>
  <si>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</si>
  <si>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</si>
  <si>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</si>
  <si>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</si>
  <si>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</si>
  <si>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</si>
  <si>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</si>
  <si>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</si>
  <si>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</si>
  <si>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</si>
  <si>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</si>
  <si>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</si>
  <si>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</si>
  <si>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</si>
  <si>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</si>
  <si>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</si>
  <si>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</si>
  <si>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</si>
  <si>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</si>
  <si>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</si>
  <si>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</si>
  <si>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</si>
  <si>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</si>
  <si>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</si>
  <si>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</si>
  <si>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</si>
  <si>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</si>
  <si>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</si>
  <si>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</si>
  <si>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</si>
  <si>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</si>
  <si>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</si>
  <si>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</si>
  <si>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</si>
  <si>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</si>
  <si>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</si>
  <si>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</si>
  <si>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</si>
  <si>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</si>
  <si>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</si>
  <si>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</si>
  <si>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</si>
  <si>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</si>
  <si>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</si>
  <si>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</si>
  <si>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</si>
  <si>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</si>
  <si>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</si>
  <si>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</si>
  <si>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</si>
  <si>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</si>
  <si>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</si>
  <si>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</si>
  <si>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</si>
  <si>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</si>
  <si>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</si>
  <si>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</si>
  <si>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</si>
  <si>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</si>
  <si>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</si>
  <si>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</si>
  <si>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</si>
  <si>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</si>
  <si>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</si>
  <si>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</si>
  <si>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</si>
  <si>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</si>
  <si>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</si>
  <si>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</si>
  <si>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</si>
  <si>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</si>
  <si>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</si>
  <si>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</si>
  <si>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</si>
  <si>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</si>
  <si>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</si>
  <si>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</si>
  <si>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</si>
  <si>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</si>
  <si>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</si>
  <si>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</si>
  <si>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</si>
  <si>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</si>
  <si>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</si>
  <si>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</si>
  <si>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</si>
  <si>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</si>
  <si>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</si>
  <si>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</si>
  <si>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</si>
  <si>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</si>
  <si>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</si>
  <si>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</si>
  <si>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</si>
  <si>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</si>
  <si>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</si>
  <si>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</si>
  <si>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</si>
  <si>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</si>
  <si>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</si>
  <si>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</si>
  <si>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</si>
  <si>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</si>
  <si>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</si>
  <si>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</si>
  <si>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</si>
  <si>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</si>
  <si>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</si>
  <si>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</si>
  <si>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</si>
  <si>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</si>
  <si>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</si>
  <si>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</si>
  <si>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</si>
  <si>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</si>
  <si>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</si>
  <si>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</si>
  <si>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</si>
  <si>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</si>
  <si>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</si>
  <si>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</si>
  <si>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</si>
  <si>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</si>
  <si>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</si>
  <si>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</si>
  <si>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</si>
  <si>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</si>
  <si>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</si>
  <si>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</si>
  <si>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</si>
  <si>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</si>
  <si>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</si>
  <si>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</si>
  <si>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</si>
  <si>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</si>
  <si>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</si>
  <si>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</si>
  <si>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</si>
  <si>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</si>
  <si>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</si>
  <si>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</si>
  <si>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</si>
  <si>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</si>
  <si>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</si>
  <si>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</si>
  <si>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</si>
  <si>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</si>
  <si>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</si>
  <si>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</si>
  <si>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</si>
  <si>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</si>
  <si>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</si>
  <si>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</si>
  <si>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</si>
  <si>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</si>
  <si>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</si>
  <si>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</si>
  <si>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</si>
  <si>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</si>
  <si>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</si>
  <si>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</si>
  <si>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</si>
  <si>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</si>
  <si>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</si>
  <si>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</si>
  <si>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</si>
  <si>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</si>
  <si>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</si>
  <si>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</si>
  <si>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</si>
  <si>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</si>
  <si>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</si>
  <si>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</si>
  <si>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</si>
  <si>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</si>
  <si>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</si>
  <si>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</si>
  <si>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</si>
  <si>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</si>
  <si>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</si>
  <si>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</si>
  <si>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</si>
  <si>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</si>
  <si>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</si>
  <si>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</si>
  <si>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</si>
  <si>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</si>
  <si>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</si>
  <si>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</si>
  <si>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</si>
  <si>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</si>
  <si>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</si>
  <si>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</si>
  <si>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</si>
  <si>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</si>
  <si>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</si>
  <si>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</si>
  <si>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</si>
  <si>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</si>
  <si>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</si>
  <si>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</si>
  <si>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</si>
  <si>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</si>
  <si>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</si>
  <si>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</si>
  <si>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</si>
  <si>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</si>
  <si>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</si>
  <si>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</si>
  <si>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</si>
  <si>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</si>
  <si>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</si>
  <si>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</si>
  <si>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</si>
  <si>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</si>
  <si>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</si>
  <si>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</si>
  <si>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</si>
  <si>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</si>
  <si>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</si>
  <si>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</si>
  <si>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</si>
  <si>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</si>
  <si>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</si>
  <si>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</si>
  <si>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</si>
  <si>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</si>
  <si>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</si>
  <si>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</si>
  <si>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</si>
  <si>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</si>
  <si>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</si>
  <si>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</si>
  <si>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</si>
  <si>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</si>
  <si>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</si>
  <si>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</si>
  <si>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</si>
  <si>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</si>
  <si>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</si>
  <si>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</si>
  <si>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</si>
  <si>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</si>
  <si>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</si>
  <si>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</si>
  <si>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</si>
  <si>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</si>
  <si>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</si>
  <si>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</si>
  <si>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</si>
  <si>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</si>
  <si>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</si>
  <si>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</si>
  <si>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</si>
  <si>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</si>
  <si>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</si>
  <si>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</si>
  <si>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</si>
  <si>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</si>
  <si>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</si>
  <si>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</si>
  <si>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</si>
  <si>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</si>
  <si>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</si>
  <si>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</si>
  <si>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</si>
  <si>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</si>
  <si>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</si>
  <si>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</si>
  <si>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</si>
  <si>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</si>
  <si>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</si>
  <si>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</si>
  <si>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</si>
  <si>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</si>
  <si>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</si>
  <si>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</si>
  <si>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</si>
  <si>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</si>
  <si>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</si>
  <si>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</si>
  <si>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</si>
  <si>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</si>
  <si>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</si>
  <si>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</si>
  <si>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</si>
  <si>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</si>
  <si>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</si>
  <si>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</si>
  <si>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</si>
  <si>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</si>
  <si>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</si>
  <si>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</si>
  <si>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</si>
  <si>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</si>
  <si>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</si>
  <si>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</si>
  <si>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</si>
  <si>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</si>
  <si>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</si>
  <si>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</si>
  <si>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</si>
  <si>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</si>
  <si>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</si>
  <si>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</si>
  <si>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</si>
  <si>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</si>
  <si>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</si>
  <si>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</si>
  <si>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</si>
  <si>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</si>
  <si>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</si>
  <si>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</si>
  <si>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</si>
  <si>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</si>
  <si>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</si>
  <si>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</si>
  <si>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</si>
  <si>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</si>
  <si>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</si>
  <si>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</si>
  <si>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</si>
  <si>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</si>
  <si>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</si>
  <si>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</si>
  <si>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</si>
  <si>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</si>
  <si>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</si>
  <si>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</si>
  <si>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</si>
  <si>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</si>
  <si>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</si>
  <si>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</si>
  <si>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</si>
  <si>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</si>
  <si>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</si>
  <si>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</si>
  <si>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</si>
  <si>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</si>
  <si>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</si>
  <si>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</si>
  <si>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</si>
  <si>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</si>
  <si>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</si>
  <si>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</si>
  <si>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</si>
  <si>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</si>
  <si>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</si>
  <si>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</si>
  <si>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</si>
  <si>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</si>
  <si>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</si>
  <si>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</si>
  <si>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</si>
  <si>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</si>
  <si>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</si>
  <si>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</si>
  <si>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</si>
  <si>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</si>
  <si>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</si>
  <si>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</si>
  <si>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</si>
  <si>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</si>
  <si>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</si>
  <si>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</si>
  <si>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</si>
  <si>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</si>
  <si>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</si>
  <si>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</si>
  <si>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</si>
  <si>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</si>
  <si>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</si>
  <si>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</si>
  <si>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</si>
  <si>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</si>
  <si>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</si>
  <si>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</si>
  <si>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</si>
  <si>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</si>
  <si>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</si>
  <si>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</si>
  <si>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</si>
  <si>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</si>
  <si>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</si>
  <si>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</si>
  <si>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</si>
  <si>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</si>
  <si>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</si>
  <si>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</si>
  <si>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</si>
  <si>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</si>
  <si>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</si>
  <si>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</si>
  <si>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</si>
  <si>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</si>
  <si>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</si>
  <si>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</si>
  <si>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</si>
  <si>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</si>
  <si>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</si>
  <si>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</si>
  <si>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</si>
  <si>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</si>
  <si>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</si>
  <si>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</si>
  <si>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</si>
  <si>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</si>
  <si>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</si>
  <si>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</si>
  <si>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</si>
  <si>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</si>
  <si>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</si>
  <si>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</si>
  <si>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</si>
  <si>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</si>
  <si>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</si>
  <si>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</si>
  <si>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</si>
  <si>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</si>
  <si>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</si>
  <si>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</si>
  <si>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</si>
  <si>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</si>
  <si>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</si>
  <si>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</si>
  <si>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</si>
  <si>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</si>
  <si>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</si>
  <si>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</si>
  <si>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</si>
  <si>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</si>
  <si>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</si>
  <si>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</si>
  <si>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</si>
  <si>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</si>
  <si>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</si>
  <si>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</si>
  <si>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</si>
  <si>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</si>
  <si>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</si>
  <si>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</si>
  <si>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</si>
  <si>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</si>
  <si>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</si>
  <si>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</si>
  <si>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</si>
  <si>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</si>
  <si>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</si>
  <si>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</si>
  <si>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</si>
  <si>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</si>
  <si>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</si>
  <si>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</si>
  <si>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</si>
  <si>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</si>
  <si>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</si>
  <si>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</si>
  <si>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</si>
  <si>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</si>
  <si>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</si>
  <si>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</si>
  <si>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</si>
  <si>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</si>
  <si>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</si>
  <si>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</si>
  <si>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</si>
  <si>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</si>
  <si>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</si>
  <si>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</si>
  <si>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</si>
  <si>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</si>
  <si>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</si>
  <si>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</si>
  <si>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</si>
  <si>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</si>
  <si>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</si>
  <si>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</si>
  <si>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</si>
  <si>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</si>
  <si>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</si>
  <si>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</si>
  <si>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</si>
  <si>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</si>
  <si>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</si>
  <si>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</si>
  <si>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</si>
  <si>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</si>
  <si>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</si>
  <si>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</si>
  <si>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</si>
  <si>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</si>
  <si>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</si>
  <si>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</si>
  <si>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</si>
  <si>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</si>
  <si>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</si>
  <si>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</si>
  <si>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</si>
  <si>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</si>
  <si>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</si>
  <si>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</si>
  <si>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</si>
  <si>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</si>
  <si>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</si>
  <si>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</si>
  <si>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</si>
  <si>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</si>
  <si>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</si>
  <si>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</si>
  <si>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</si>
  <si>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</si>
  <si>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</si>
  <si>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</si>
  <si>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</si>
  <si>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</si>
  <si>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</si>
  <si>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</si>
  <si>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</si>
  <si>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</si>
  <si>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</si>
  <si>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</si>
  <si>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</si>
  <si>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</si>
  <si>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</si>
  <si>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</si>
  <si>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</si>
  <si>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</si>
  <si>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</si>
  <si>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</si>
  <si>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</si>
  <si>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</si>
  <si>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</si>
  <si>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</si>
  <si>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</si>
  <si>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</si>
  <si>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</si>
  <si>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</si>
  <si>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</si>
  <si>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</si>
  <si>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</si>
  <si>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</si>
  <si>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</si>
  <si>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</si>
  <si>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</si>
  <si>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</si>
  <si>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</si>
  <si>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</si>
  <si>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</si>
  <si>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</si>
  <si>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</si>
  <si>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</si>
  <si>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</si>
  <si>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</si>
  <si>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</si>
  <si>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</si>
  <si>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</si>
  <si>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</si>
  <si>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</si>
  <si>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</si>
  <si>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</si>
  <si>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</si>
  <si>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</si>
  <si>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</si>
  <si>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</si>
  <si>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</si>
  <si>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</si>
  <si>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</si>
  <si>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</si>
  <si>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</si>
  <si>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</si>
  <si>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</si>
  <si>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</si>
  <si>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</si>
  <si>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</si>
  <si>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</si>
  <si>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</si>
  <si>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</si>
  <si>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</si>
  <si>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</si>
  <si>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</si>
  <si>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</si>
  <si>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</si>
  <si>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</si>
  <si>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</si>
  <si>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</si>
  <si>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</si>
  <si>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</si>
  <si>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</si>
  <si>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</si>
  <si>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</si>
  <si>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</si>
  <si>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</si>
  <si>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</si>
  <si>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</si>
  <si>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</si>
  <si>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</si>
  <si>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</si>
  <si>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</si>
  <si>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</si>
  <si>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</si>
  <si>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</si>
  <si>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</si>
  <si>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</si>
  <si>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</si>
  <si>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</si>
  <si>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</si>
  <si>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</si>
  <si>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</si>
  <si>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</si>
  <si>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</si>
  <si>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</si>
  <si>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</si>
  <si>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</si>
  <si>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</si>
  <si>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</si>
  <si>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</si>
  <si>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</si>
  <si>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</si>
  <si>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</si>
  <si>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</si>
  <si>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</si>
  <si>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</si>
  <si>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</si>
  <si>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</si>
  <si>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</si>
  <si>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</si>
  <si>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</si>
  <si>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</si>
  <si>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</si>
  <si>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</si>
  <si>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</si>
  <si>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</si>
  <si>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</si>
  <si>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</si>
  <si>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</si>
  <si>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</si>
  <si>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</si>
  <si>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</si>
  <si>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</si>
  <si>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</si>
  <si>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</si>
  <si>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</si>
  <si>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</si>
  <si>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</si>
  <si>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</si>
  <si>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</si>
  <si>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</si>
  <si>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</si>
  <si>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</si>
  <si>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</si>
  <si>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</si>
  <si>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</si>
  <si>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</si>
  <si>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</si>
  <si>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</si>
  <si>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</si>
  <si>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</si>
  <si>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</si>
  <si>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</si>
  <si>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</si>
  <si>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</si>
  <si>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</si>
  <si>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</si>
  <si>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</si>
  <si>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</si>
  <si>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</si>
  <si>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</si>
  <si>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</si>
  <si>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</si>
  <si>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</si>
  <si>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</si>
  <si>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</si>
  <si>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</si>
  <si>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</si>
  <si>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</si>
  <si>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</si>
  <si>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</si>
  <si>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</si>
  <si>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</si>
  <si>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</si>
  <si>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</si>
  <si>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</si>
  <si>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</si>
  <si>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</si>
  <si>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</si>
  <si>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</si>
  <si>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</si>
  <si>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</si>
  <si>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</si>
  <si>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</si>
  <si>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</si>
  <si>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</si>
  <si>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</si>
  <si>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</si>
  <si>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</si>
  <si>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</si>
  <si>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</si>
  <si>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</si>
  <si>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</si>
  <si>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</si>
  <si>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</si>
  <si>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</si>
  <si>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</si>
  <si>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</si>
  <si>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</si>
  <si>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</si>
  <si>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</si>
  <si>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</si>
  <si>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</si>
  <si>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</si>
  <si>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</si>
  <si>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</si>
  <si>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</si>
  <si>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</si>
  <si>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</si>
  <si>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</si>
  <si>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</si>
  <si>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</si>
  <si>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</si>
  <si>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</si>
  <si>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</si>
  <si>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</si>
  <si>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</si>
  <si>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</si>
  <si>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</si>
  <si>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</si>
  <si>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</si>
  <si>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</si>
  <si>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</si>
  <si>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</si>
  <si>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</si>
  <si>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</si>
  <si>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</si>
  <si>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</si>
  <si>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</si>
  <si>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</si>
  <si>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</si>
  <si>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</si>
  <si>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</si>
  <si>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</si>
  <si>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</si>
  <si>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</si>
  <si>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</si>
  <si>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</si>
  <si>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</si>
  <si>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</si>
  <si>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</si>
  <si>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</si>
  <si>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</si>
  <si>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</si>
  <si>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</si>
  <si>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</si>
  <si>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</si>
  <si>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</si>
  <si>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</si>
  <si>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</si>
  <si>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</si>
  <si>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</si>
  <si>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</si>
  <si>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</si>
  <si>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</si>
  <si>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</si>
  <si>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</si>
  <si>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</si>
  <si>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</si>
  <si>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</si>
  <si>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</si>
  <si>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</si>
  <si>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</si>
  <si>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</si>
  <si>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</si>
  <si>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</si>
  <si>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</si>
  <si>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</si>
  <si>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</si>
  <si>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</si>
  <si>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</si>
  <si>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</si>
  <si>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</si>
  <si>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</si>
  <si>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</si>
  <si>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</si>
  <si>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</si>
  <si>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</si>
  <si>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</si>
  <si>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</si>
  <si>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</si>
  <si>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</si>
  <si>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</si>
  <si>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</si>
  <si>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</si>
  <si>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</si>
  <si>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</si>
  <si>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</si>
  <si>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</si>
  <si>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</si>
  <si>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</si>
  <si>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</si>
  <si>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</si>
  <si>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</si>
  <si>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</si>
  <si>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</si>
  <si>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</si>
  <si>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</si>
  <si>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</si>
  <si>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</si>
  <si>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</si>
  <si>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</si>
  <si>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</si>
  <si>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</si>
  <si>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</si>
  <si>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</si>
  <si>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</si>
  <si>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</si>
  <si>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</si>
  <si>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</si>
  <si>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</si>
  <si>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</si>
  <si>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</si>
  <si>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</si>
  <si>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</si>
  <si>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</si>
  <si>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</si>
  <si>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</si>
  <si>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</si>
  <si>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</si>
  <si>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</si>
  <si>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</si>
  <si>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</si>
  <si>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</si>
  <si>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</si>
  <si>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</si>
  <si>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</si>
  <si>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</si>
  <si>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</si>
  <si>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</si>
  <si>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</si>
  <si>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</si>
  <si>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</si>
  <si>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</si>
  <si>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</si>
  <si>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</si>
  <si>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</si>
  <si>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</si>
  <si>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</si>
  <si>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</si>
  <si>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</si>
  <si>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</si>
  <si>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</si>
  <si>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</si>
  <si>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</si>
  <si>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</si>
  <si>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</si>
  <si>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</si>
  <si>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</si>
  <si>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</si>
  <si>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</si>
  <si>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</si>
  <si>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</si>
  <si>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</si>
  <si>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</si>
  <si>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</si>
  <si>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</si>
  <si>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</si>
  <si>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</si>
  <si>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</si>
  <si>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</si>
  <si>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</si>
  <si>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</si>
  <si>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</si>
  <si>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</si>
  <si>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</si>
  <si>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</si>
  <si>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</si>
  <si>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</si>
  <si>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</si>
  <si>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</si>
  <si>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</si>
  <si>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</si>
  <si>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</si>
  <si>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</si>
  <si>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</si>
  <si>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</si>
  <si>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</si>
  <si>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</si>
  <si>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</si>
  <si>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</si>
  <si>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</si>
  <si>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</si>
  <si>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</si>
  <si>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</si>
  <si>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</si>
  <si>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</si>
  <si>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</si>
  <si>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</si>
  <si>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</si>
  <si>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</si>
  <si>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</si>
  <si>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</si>
  <si>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</si>
  <si>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</si>
  <si>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</si>
  <si>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</si>
  <si>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</si>
  <si>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</si>
  <si>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</si>
  <si>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</si>
  <si>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</si>
  <si>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</si>
  <si>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</si>
  <si>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</si>
  <si>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</si>
  <si>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</si>
  <si>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</si>
  <si>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</si>
  <si>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</si>
  <si>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</si>
  <si>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</si>
  <si>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</si>
  <si>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</si>
  <si>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</si>
  <si>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</si>
  <si>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</si>
  <si>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</si>
  <si>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</si>
  <si>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</si>
  <si>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</si>
  <si>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</si>
  <si>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</si>
  <si>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</si>
  <si>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</si>
  <si>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</si>
  <si>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</si>
  <si>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</si>
  <si>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</si>
  <si>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</si>
  <si>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</si>
  <si>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</si>
  <si>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</si>
  <si>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</si>
  <si>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</si>
  <si>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</si>
  <si>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</si>
  <si>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</si>
  <si>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</si>
  <si>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</si>
  <si>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</si>
  <si>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</si>
  <si>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</si>
  <si>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</si>
  <si>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</si>
  <si>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</si>
  <si>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</si>
  <si>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</si>
  <si>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</si>
  <si>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</si>
  <si>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</si>
  <si>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</si>
  <si>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</si>
  <si>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</si>
  <si>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</si>
  <si>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</si>
  <si>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</si>
  <si>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</si>
  <si>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</si>
  <si>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</si>
  <si>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</si>
  <si>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</si>
  <si>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</si>
  <si>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</si>
  <si>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</si>
  <si>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</si>
  <si>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</si>
  <si>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</si>
  <si>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</si>
  <si>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</si>
  <si>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</si>
  <si>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</si>
  <si>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</si>
  <si>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</si>
  <si>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</si>
  <si>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</si>
  <si>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</si>
  <si>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</si>
  <si>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</si>
  <si>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</si>
  <si>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</si>
  <si>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</si>
  <si>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</si>
  <si>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</si>
  <si>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</si>
  <si>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</si>
  <si>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</si>
  <si>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</si>
  <si>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</si>
  <si>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</si>
  <si>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</si>
  <si>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</si>
  <si>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</si>
  <si>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</si>
  <si>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</si>
  <si>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</si>
  <si>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</si>
  <si>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</si>
  <si>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</si>
  <si>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</si>
  <si>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</si>
  <si>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</si>
  <si>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</si>
  <si>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</si>
  <si>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</si>
  <si>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</si>
  <si>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</si>
  <si>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</si>
  <si>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</si>
  <si>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</si>
  <si>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</si>
  <si>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</si>
  <si>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</si>
  <si>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</si>
  <si>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</si>
  <si>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</si>
  <si>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</si>
  <si>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</si>
  <si>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</si>
  <si>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</si>
  <si>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</si>
  <si>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</si>
  <si>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</si>
  <si>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</si>
  <si>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</si>
  <si>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</si>
  <si>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</si>
  <si>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</si>
  <si>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</si>
  <si>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</si>
  <si>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</si>
  <si>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</si>
  <si>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</si>
  <si>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</si>
  <si>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</si>
  <si>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</si>
  <si>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</si>
  <si>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</si>
  <si>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</si>
  <si>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</si>
  <si>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</si>
  <si>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</si>
  <si>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</si>
  <si>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</si>
  <si>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</si>
  <si>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</si>
  <si>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</si>
  <si>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</si>
  <si>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</si>
  <si>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</si>
  <si>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</si>
  <si>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</si>
  <si>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</si>
  <si>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</si>
  <si>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</si>
  <si>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</si>
  <si>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</si>
  <si>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</si>
  <si>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</si>
  <si>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</si>
  <si>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</si>
  <si>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</si>
  <si>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</si>
  <si>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</si>
  <si>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</si>
  <si>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</si>
  <si>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</si>
  <si>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</si>
  <si>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</si>
  <si>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</si>
  <si>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</si>
  <si>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</si>
  <si>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</si>
  <si>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</si>
  <si>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</si>
  <si>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</si>
  <si>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</si>
  <si>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</si>
  <si>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</si>
  <si>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</si>
  <si>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</si>
  <si>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</si>
  <si>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</si>
  <si>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</si>
  <si>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</si>
  <si>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</si>
  <si>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</si>
  <si>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</si>
  <si>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</si>
  <si>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</si>
  <si>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</si>
  <si>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</si>
  <si>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</si>
  <si>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</si>
  <si>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</si>
  <si>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</si>
  <si>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</si>
  <si>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</si>
  <si>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</si>
  <si>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</si>
  <si>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</si>
  <si>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</si>
  <si>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</si>
  <si>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</si>
  <si>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</si>
  <si>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</si>
  <si>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</si>
  <si>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</si>
  <si>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</si>
  <si>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</si>
  <si>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</si>
  <si>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</si>
  <si>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</si>
  <si>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</si>
  <si>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</si>
  <si>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</si>
  <si>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</si>
  <si>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</si>
  <si>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</si>
  <si>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</si>
  <si>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</si>
  <si>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</si>
  <si>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</si>
  <si>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</si>
  <si>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</si>
  <si>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</si>
  <si>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</si>
  <si>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</si>
  <si>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</si>
  <si>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</si>
  <si>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</si>
  <si>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</si>
  <si>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</si>
  <si>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</si>
  <si>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</si>
  <si>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</si>
  <si>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</si>
  <si>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</si>
  <si>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</si>
  <si>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</si>
  <si>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</si>
  <si>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</si>
  <si>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</si>
  <si>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</si>
  <si>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</si>
  <si>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</si>
  <si>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</si>
  <si>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</si>
  <si>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</si>
  <si>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</si>
  <si>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</si>
  <si>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</si>
  <si>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</si>
  <si>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</si>
  <si>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</si>
  <si>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</si>
  <si>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</si>
  <si>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</si>
  <si>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</si>
  <si>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</si>
  <si>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</si>
  <si>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</si>
  <si>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</si>
  <si>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</si>
  <si>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</si>
  <si>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</si>
  <si>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</si>
  <si>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</si>
  <si>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</si>
  <si>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</si>
  <si>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</si>
  <si>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</si>
  <si>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</si>
  <si>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</si>
  <si>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</si>
  <si>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</si>
  <si>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</si>
  <si>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</si>
  <si>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</si>
  <si>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</si>
  <si>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</si>
  <si>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</si>
  <si>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</si>
  <si>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</si>
  <si>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</si>
  <si>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</si>
  <si>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</si>
  <si>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</si>
  <si>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</si>
  <si>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</si>
  <si>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</si>
  <si>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</si>
  <si>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</si>
  <si>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</si>
  <si>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</si>
  <si>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</si>
  <si>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</si>
  <si>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</si>
  <si>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</si>
  <si>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</si>
  <si>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</si>
  <si>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</si>
  <si>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</si>
  <si>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</si>
  <si>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</si>
  <si>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</si>
  <si>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</si>
  <si>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</si>
  <si>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</si>
  <si>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</si>
  <si>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</si>
  <si>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</si>
  <si>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</si>
  <si>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</si>
  <si>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</si>
  <si>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</si>
  <si>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</si>
  <si>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</si>
  <si>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</si>
  <si>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</si>
  <si>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</si>
  <si>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</si>
  <si>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</si>
  <si>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</si>
  <si>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</si>
  <si>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</si>
  <si>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</si>
  <si>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</si>
  <si>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</si>
  <si>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</si>
  <si>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</si>
  <si>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</si>
  <si>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</si>
  <si>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</si>
  <si>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</si>
  <si>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</si>
  <si>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</si>
  <si>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</si>
  <si>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</si>
  <si>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</si>
  <si>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</si>
  <si>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</si>
  <si>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</si>
  <si>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</si>
  <si>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</si>
  <si>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</si>
  <si>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</si>
  <si>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</si>
  <si>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</si>
  <si>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</si>
  <si>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</si>
  <si>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</si>
  <si>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</si>
  <si>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</si>
  <si>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</si>
  <si>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</si>
  <si>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</si>
  <si>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</si>
  <si>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</si>
  <si>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</si>
  <si>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</si>
  <si>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</si>
  <si>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</si>
  <si>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</si>
  <si>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</si>
  <si>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</si>
  <si>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</si>
  <si>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</si>
  <si>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</si>
  <si>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</si>
  <si>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</si>
  <si>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</si>
  <si>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</si>
  <si>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</si>
  <si>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</si>
  <si>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</si>
  <si>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</si>
  <si>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</si>
  <si>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</si>
  <si>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</si>
  <si>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</si>
  <si>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</si>
  <si>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</si>
  <si>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</si>
  <si>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</si>
  <si>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</si>
  <si>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</si>
  <si>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</si>
  <si>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</si>
  <si>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</si>
  <si>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</si>
  <si>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</si>
  <si>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</si>
  <si>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</si>
  <si>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</si>
  <si>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</si>
  <si>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</si>
  <si>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</si>
  <si>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</si>
  <si>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</si>
  <si>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</si>
  <si>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</si>
  <si>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</si>
  <si>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</si>
  <si>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</si>
  <si>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</si>
  <si>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</si>
  <si>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</si>
  <si>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</si>
  <si>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</si>
  <si>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</si>
  <si>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</si>
  <si>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</si>
  <si>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</si>
  <si>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</si>
  <si>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</si>
  <si>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</si>
  <si>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</si>
  <si>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</si>
  <si>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</si>
  <si>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</si>
  <si>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</si>
  <si>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</si>
  <si>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</si>
  <si>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</si>
  <si>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</si>
  <si>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</si>
  <si>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</si>
  <si>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</si>
  <si>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</si>
  <si>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</si>
  <si>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</si>
  <si>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</si>
  <si>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</si>
  <si>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</si>
  <si>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</si>
  <si>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</si>
  <si>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</si>
  <si>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</si>
  <si>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</si>
  <si>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</si>
  <si>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</si>
  <si>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</si>
  <si>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</si>
  <si>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</si>
  <si>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</si>
  <si>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</si>
  <si>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</si>
  <si>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</si>
  <si>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</si>
  <si>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</si>
  <si>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</si>
  <si>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</si>
  <si>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</si>
  <si>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</si>
  <si>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</si>
  <si>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</si>
  <si>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</si>
  <si>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</si>
  <si>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</si>
  <si>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</si>
  <si>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</si>
  <si>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</si>
  <si>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</si>
  <si>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</si>
  <si>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</si>
  <si>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</si>
  <si>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</si>
  <si>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</si>
  <si>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</si>
  <si>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</si>
  <si>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</si>
  <si>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</si>
  <si>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</si>
  <si>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</si>
  <si>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</si>
  <si>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</si>
  <si>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</si>
  <si>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</si>
  <si>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</si>
  <si>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</si>
  <si>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</si>
  <si>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</si>
  <si>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</si>
  <si>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</si>
  <si>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</si>
  <si>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</si>
  <si>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</si>
  <si>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</si>
  <si>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</si>
  <si>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</si>
  <si>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</si>
  <si>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</si>
  <si>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</si>
  <si>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</si>
  <si>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</si>
  <si>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</si>
  <si>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</si>
  <si>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</si>
  <si>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</si>
  <si>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</si>
  <si>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</si>
  <si>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</si>
  <si>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</si>
  <si>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</si>
  <si>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</si>
  <si>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</si>
  <si>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</si>
  <si>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</si>
  <si>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</si>
  <si>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</si>
  <si>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</si>
  <si>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</si>
  <si>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</si>
  <si>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</si>
  <si>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</si>
  <si>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</si>
  <si>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</si>
  <si>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</si>
  <si>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</si>
  <si>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</si>
  <si>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</si>
  <si>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</si>
  <si>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</si>
  <si>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</si>
  <si>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</si>
  <si>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</si>
  <si>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</si>
  <si>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</si>
  <si>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</si>
  <si>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</si>
  <si>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</si>
  <si>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</si>
  <si>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</si>
  <si>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</si>
  <si>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</si>
  <si>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</si>
  <si>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</si>
  <si>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</si>
  <si>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</si>
  <si>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</si>
  <si>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</si>
  <si>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</si>
  <si>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</si>
  <si>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</si>
  <si>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</si>
  <si>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</si>
  <si>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</si>
  <si>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</si>
  <si>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</si>
  <si>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</si>
  <si>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</si>
  <si>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</si>
  <si>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</si>
  <si>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</si>
  <si>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</si>
  <si>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</si>
  <si>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</si>
  <si>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</si>
  <si>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</si>
  <si>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</si>
  <si>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</si>
  <si>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</si>
  <si>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</si>
  <si>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</si>
  <si>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</si>
  <si>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</si>
  <si>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</si>
  <si>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</si>
  <si>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</si>
  <si>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</si>
  <si>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</si>
  <si>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</si>
  <si>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</si>
  <si>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</si>
  <si>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</si>
  <si>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</si>
  <si>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</si>
  <si>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</si>
  <si>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</si>
  <si>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</si>
  <si>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</si>
  <si>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</si>
  <si>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</si>
  <si>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</si>
  <si>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</si>
  <si>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</si>
  <si>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</si>
  <si>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</si>
  <si>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</si>
  <si>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</si>
  <si>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</si>
  <si>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</si>
  <si>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</si>
  <si>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</si>
  <si>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</si>
  <si>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</si>
  <si>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</si>
  <si>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</si>
  <si>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</si>
  <si>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</si>
  <si>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</si>
  <si>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</si>
  <si>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</si>
  <si>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</si>
  <si>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</si>
  <si>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</si>
  <si>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</si>
  <si>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</si>
  <si>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</si>
  <si>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</si>
  <si>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</si>
  <si>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</si>
  <si>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</si>
  <si>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</si>
  <si>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</si>
  <si>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</si>
  <si>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</si>
  <si>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</si>
  <si>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</si>
  <si>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</si>
  <si>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</si>
  <si>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</si>
  <si>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</si>
  <si>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</si>
  <si>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</si>
  <si>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</si>
  <si>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</si>
  <si>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</si>
  <si>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</si>
  <si>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</si>
  <si>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</si>
  <si>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</si>
  <si>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</si>
  <si>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</si>
  <si>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</si>
  <si>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</si>
  <si>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</si>
  <si>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</si>
  <si>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</si>
  <si>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</si>
  <si>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</si>
  <si>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</si>
  <si>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</si>
  <si>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</si>
  <si>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</si>
  <si>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</si>
  <si>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</si>
  <si>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</si>
  <si>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</si>
  <si>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</si>
  <si>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</si>
  <si>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</si>
  <si>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</si>
  <si>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</si>
  <si>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</si>
  <si>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</si>
  <si>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</si>
  <si>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</si>
  <si>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</si>
  <si>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</si>
  <si>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</si>
  <si>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</si>
  <si>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</si>
  <si>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</si>
  <si>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</si>
  <si>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</si>
  <si>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</si>
  <si>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</si>
  <si>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</si>
  <si>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</si>
  <si>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</si>
  <si>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</si>
  <si>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</si>
  <si>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</si>
  <si>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</si>
  <si>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</si>
  <si>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</si>
  <si>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</si>
  <si>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</si>
  <si>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</si>
  <si>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</si>
  <si>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</si>
  <si>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</si>
  <si>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</si>
  <si>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</si>
  <si>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</si>
  <si>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</si>
  <si>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</si>
  <si>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</si>
  <si>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</si>
  <si>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</si>
  <si>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</si>
  <si>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</si>
  <si>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</si>
  <si>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</si>
  <si>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</si>
  <si>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</si>
  <si>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</si>
  <si>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</si>
  <si>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</si>
  <si>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</si>
  <si>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</si>
  <si>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</si>
  <si>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</si>
  <si>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</si>
  <si>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</si>
  <si>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</si>
  <si>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</si>
  <si>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</si>
  <si>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</si>
  <si>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</si>
  <si>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</si>
  <si>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</si>
  <si>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</si>
  <si>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</si>
  <si>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</si>
  <si>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</si>
  <si>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</si>
  <si>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</si>
  <si>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</si>
  <si>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</si>
  <si>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</si>
  <si>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</si>
  <si>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</si>
  <si>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</si>
  <si>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</si>
  <si>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</si>
  <si>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</si>
  <si>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</si>
  <si>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</si>
  <si>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</si>
  <si>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</si>
  <si>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</si>
  <si>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</si>
  <si>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</si>
  <si>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</si>
  <si>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</si>
  <si>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</si>
  <si>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</si>
  <si>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</si>
  <si>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</si>
  <si>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</si>
  <si>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</si>
  <si>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</si>
  <si>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</si>
  <si>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</si>
  <si>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</si>
  <si>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</si>
  <si>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</si>
  <si>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</si>
  <si>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</si>
  <si>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</si>
  <si>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</si>
  <si>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</si>
  <si>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</si>
  <si>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</si>
  <si>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</si>
  <si>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</si>
  <si>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</si>
  <si>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</si>
  <si>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</si>
  <si>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</si>
  <si>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</si>
  <si>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</si>
  <si>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</si>
  <si>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</si>
  <si>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</si>
  <si>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</si>
  <si>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</si>
  <si>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</si>
  <si>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</si>
  <si>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</si>
  <si>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</si>
  <si>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</si>
  <si>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</si>
  <si>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</si>
  <si>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</si>
  <si>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</si>
  <si>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</si>
  <si>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</si>
  <si>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</si>
  <si>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</si>
  <si>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</si>
  <si>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</si>
  <si>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</si>
  <si>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</si>
  <si>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</si>
  <si>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</si>
  <si>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</si>
  <si>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</si>
  <si>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</si>
  <si>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</si>
  <si>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</si>
  <si>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</si>
  <si>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</si>
  <si>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</si>
  <si>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</si>
  <si>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</si>
  <si>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</si>
  <si>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</si>
  <si>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</si>
  <si>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</si>
  <si>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</si>
  <si>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</si>
  <si>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</si>
  <si>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</si>
  <si>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</si>
  <si>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</si>
  <si>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</si>
  <si>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</si>
  <si>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</si>
  <si>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</si>
  <si>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</si>
  <si>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</si>
  <si>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</si>
  <si>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</si>
  <si>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</si>
  <si>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</si>
  <si>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</si>
  <si>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</si>
  <si>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</si>
  <si>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</si>
  <si>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</si>
  <si>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</si>
  <si>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</si>
  <si>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</si>
  <si>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</si>
  <si>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</si>
  <si>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</si>
  <si>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</si>
  <si>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</si>
  <si>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</si>
  <si>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</si>
  <si>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</si>
  <si>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</si>
  <si>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</si>
  <si>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</si>
  <si>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</si>
  <si>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</si>
  <si>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</si>
  <si>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</si>
  <si>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</si>
  <si>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</si>
  <si>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</si>
  <si>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</si>
  <si>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</si>
  <si>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</si>
  <si>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</si>
  <si>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</si>
  <si>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</si>
  <si>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</si>
  <si>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</si>
  <si>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</si>
  <si>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</si>
  <si>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</si>
  <si>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</si>
  <si>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</si>
  <si>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</si>
  <si>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</si>
  <si>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</si>
  <si>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</si>
  <si>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</si>
  <si>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</si>
  <si>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</si>
  <si>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</si>
  <si>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</si>
  <si>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</si>
  <si>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</si>
  <si>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</si>
  <si>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</si>
  <si>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</si>
  <si>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</si>
  <si>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</si>
  <si>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</si>
  <si>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</si>
  <si>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</si>
  <si>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</si>
  <si>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</si>
  <si>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</si>
  <si>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</si>
  <si>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</si>
  <si>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</si>
  <si>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</si>
  <si>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</si>
  <si>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</si>
  <si>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</si>
  <si>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</si>
  <si>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</si>
  <si>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</si>
  <si>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</si>
  <si>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</si>
  <si>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</si>
  <si>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</si>
  <si>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</si>
  <si>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</si>
  <si>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</si>
  <si>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</si>
  <si>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</si>
  <si>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</si>
  <si>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</si>
  <si>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</si>
  <si>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</si>
  <si>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</si>
  <si>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</si>
  <si>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</si>
  <si>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</si>
  <si>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</si>
  <si>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</si>
  <si>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</si>
  <si>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</si>
  <si>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</si>
  <si>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</si>
  <si>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</si>
  <si>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</si>
  <si>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</si>
  <si>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</si>
  <si>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</si>
  <si>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</si>
  <si>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</si>
  <si>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</si>
  <si>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</si>
  <si>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</si>
  <si>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</si>
  <si>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</si>
  <si>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</si>
  <si>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</si>
  <si>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</si>
  <si>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</si>
  <si>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</si>
  <si>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</si>
  <si>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</si>
  <si>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</si>
  <si>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</si>
  <si>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</si>
  <si>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</si>
  <si>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</si>
  <si>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</si>
  <si>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</si>
  <si>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</si>
  <si>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</si>
  <si>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</si>
  <si>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</si>
  <si>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</si>
  <si>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</si>
  <si>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</si>
  <si>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</si>
  <si>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</si>
  <si>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</si>
  <si>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</si>
  <si>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</si>
  <si>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</si>
  <si>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</si>
  <si>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</si>
  <si>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</si>
  <si>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</si>
  <si>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</si>
  <si>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</si>
  <si>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</si>
  <si>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</si>
  <si>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</si>
  <si>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</si>
  <si>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</si>
  <si>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</si>
  <si>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</si>
  <si>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</si>
  <si>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</si>
  <si>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</si>
  <si>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</si>
  <si>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</si>
  <si>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</si>
  <si>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</si>
  <si>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</si>
  <si>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</si>
  <si>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</si>
  <si>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</si>
  <si>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</si>
  <si>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</si>
  <si>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</si>
  <si>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</si>
  <si>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</si>
  <si>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</si>
  <si>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</si>
  <si>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</si>
  <si>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</si>
  <si>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</si>
  <si>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</si>
  <si>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</si>
  <si>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</si>
  <si>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</si>
  <si>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</si>
  <si>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</si>
  <si>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</si>
  <si>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</si>
  <si>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</si>
  <si>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</si>
  <si>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</si>
  <si>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</si>
  <si>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Island City Development </t>
  </si>
  <si>
    <t>North Housing PSH II</t>
  </si>
  <si>
    <t>City of Alameda</t>
  </si>
  <si>
    <t>Jennifer Ott</t>
  </si>
  <si>
    <t>2263 Santa Clara Avenue, Room 300</t>
  </si>
  <si>
    <t>510-747-4700</t>
  </si>
  <si>
    <t>manager@alamedaca.gov</t>
  </si>
  <si>
    <t>Corner of Mosley Avenue and Mabuhay Street</t>
  </si>
  <si>
    <t>520 Mosley Avenue</t>
  </si>
  <si>
    <t>74-1384-1 (formerly a portion 74-905-12-9)</t>
  </si>
  <si>
    <t>40%/60%</t>
  </si>
  <si>
    <t>701 Atlantic Avenue</t>
  </si>
  <si>
    <t>CA</t>
  </si>
  <si>
    <t>Vanessa Cooper</t>
  </si>
  <si>
    <t>510-747-4300</t>
  </si>
  <si>
    <t>510-522-7848</t>
  </si>
  <si>
    <t>vcooper@alamedahsg.org</t>
  </si>
  <si>
    <t>Housing Authority of the City of Alameda</t>
  </si>
  <si>
    <t>ICD Mosley LLC</t>
  </si>
  <si>
    <t>Managing GP</t>
  </si>
  <si>
    <t>Island City Development</t>
  </si>
  <si>
    <t>Tony Weng</t>
  </si>
  <si>
    <t>510-747-4339</t>
  </si>
  <si>
    <t>tweng@alamedahsg.org</t>
  </si>
  <si>
    <t>Applicant, Developer, General Partner</t>
  </si>
  <si>
    <t>Alameda, CA, 94501</t>
  </si>
  <si>
    <t>HKIT Architects, Inc.</t>
  </si>
  <si>
    <t>538 Ninth Street Suite 240</t>
  </si>
  <si>
    <t>Oakland, CA, 94607</t>
  </si>
  <si>
    <t>Paul McElwee</t>
  </si>
  <si>
    <t>510-625-9800</t>
  </si>
  <si>
    <t>pmcelwee@hkit.com</t>
  </si>
  <si>
    <t>Gubb &amp; Barshay LLP</t>
  </si>
  <si>
    <t>235 Montgomery Street, Suite 1110</t>
  </si>
  <si>
    <t>San Francisco, CA, 94104</t>
  </si>
  <si>
    <t>Henry Loh</t>
  </si>
  <si>
    <t>415-354-3618</t>
  </si>
  <si>
    <t>hloh@gubbandbarshay.com</t>
  </si>
  <si>
    <t>J.H.Fitzmaurice, Inc.</t>
  </si>
  <si>
    <t>2857 Hannah Street</t>
  </si>
  <si>
    <t>Oakland, CA, 94608</t>
  </si>
  <si>
    <t>Mohammad Hakimi</t>
  </si>
  <si>
    <t>510-444-7561</t>
  </si>
  <si>
    <t>mh@jhfoak.com</t>
  </si>
  <si>
    <t>Sage Green Development, LLC</t>
  </si>
  <si>
    <t>2478 Martin Luther King Jr. Way</t>
  </si>
  <si>
    <t>Berkeley, CA, 94704</t>
  </si>
  <si>
    <t>Lisa Marshall</t>
  </si>
  <si>
    <t>510-644-9894</t>
  </si>
  <si>
    <t>lisa@sagegreen.us</t>
  </si>
  <si>
    <t>Novogradac &amp; Company LLC</t>
  </si>
  <si>
    <t>1160 Battery St. East Buidling, 4th Floor</t>
  </si>
  <si>
    <t>San Francisco, CA, 94111</t>
  </si>
  <si>
    <t>Melissa Chung</t>
  </si>
  <si>
    <t>415-356-7906</t>
  </si>
  <si>
    <t>melissa.chung@novoco.com</t>
  </si>
  <si>
    <t>TBD</t>
  </si>
  <si>
    <t xml:space="preserve">Community Economics, Inc. </t>
  </si>
  <si>
    <t>538 9th Street, Suite 200</t>
  </si>
  <si>
    <t>Elissa Dennis</t>
  </si>
  <si>
    <t>510-832-8300</t>
  </si>
  <si>
    <t>510-832-2227</t>
  </si>
  <si>
    <t>elissa@commuityeconomics.org</t>
  </si>
  <si>
    <t>Kinetic Valuation Group</t>
  </si>
  <si>
    <t>3901 S 147th Street, Suite 144</t>
  </si>
  <si>
    <t>Omaha, NE, 68144</t>
  </si>
  <si>
    <t>Jay Wortmann</t>
  </si>
  <si>
    <t>402-202-0771</t>
  </si>
  <si>
    <t>jay@kvgteam.com</t>
  </si>
  <si>
    <t>Real Estate Valuation Services</t>
  </si>
  <si>
    <t>840 Olive Avenue #3</t>
  </si>
  <si>
    <t>South San Francisco</t>
  </si>
  <si>
    <t>Joe Napoliello</t>
  </si>
  <si>
    <t>415-309-6728</t>
  </si>
  <si>
    <t>joe@jnval.com</t>
  </si>
  <si>
    <t>California Municipal Finance Authority</t>
  </si>
  <si>
    <t>2111 Palomar Airport Road, Suite 320</t>
  </si>
  <si>
    <t>Carlsbad, CA,  92011</t>
  </si>
  <si>
    <t>Anthony Stubbs</t>
  </si>
  <si>
    <t>760-930-1333</t>
  </si>
  <si>
    <t>760-683-3390</t>
  </si>
  <si>
    <t>astubbs@cmfa-ca.com</t>
  </si>
  <si>
    <t>800 Iron Point Road</t>
  </si>
  <si>
    <t>Folsom, CA 95630</t>
  </si>
  <si>
    <t>Curtis Tumbaga</t>
  </si>
  <si>
    <t>916-357-5300</t>
  </si>
  <si>
    <t>curtis.tumbaga@fpimgt.com</t>
  </si>
  <si>
    <t>Vacant Land.</t>
  </si>
  <si>
    <t>Executive Director</t>
  </si>
  <si>
    <t>(510) 747-4300</t>
  </si>
  <si>
    <t>Residual Receipts</t>
  </si>
  <si>
    <t>Secured by both Leasehold &amp; Fee Interests</t>
  </si>
  <si>
    <t>Inner City Infill Site</t>
  </si>
  <si>
    <t>New construction of a 4-story wood-framed apartment building on vacant land.</t>
  </si>
  <si>
    <t xml:space="preserve">Mobility Acessible units as required per regulations. </t>
  </si>
  <si>
    <t>R4-PD, Medium Density Residential with Multi-Family Overlay</t>
  </si>
  <si>
    <t>45 ft Height Limit, Proposed 44 Ft Building</t>
  </si>
  <si>
    <t>NA-PD</t>
  </si>
  <si>
    <t>57 to be shared within the Planned Development</t>
  </si>
  <si>
    <t>75% CD</t>
  </si>
  <si>
    <t>Alameda Affordable Housing Trust Fund</t>
  </si>
  <si>
    <t xml:space="preserve">City of Alameda PLHA </t>
  </si>
  <si>
    <t>See TCAC ED approval re Managers Unit Waiver</t>
  </si>
  <si>
    <t>30 yrs from start</t>
  </si>
  <si>
    <t>Office equipment, postage, bookkeeping, tel/answering services, travel, training, bank fees, and computer charges</t>
  </si>
  <si>
    <t>Payroll taxes, Workers Comp, Health Ins, Benefits</t>
  </si>
  <si>
    <t xml:space="preserve">misc. maintenance </t>
  </si>
  <si>
    <t>Annual partnership tax returns</t>
  </si>
  <si>
    <t>Alameda Affordable Housing Corporation (AAHTF)</t>
  </si>
  <si>
    <t>City of Alameda  PLHA</t>
  </si>
  <si>
    <t>Section 8</t>
  </si>
  <si>
    <t>Project-based vouchers (PBVs)</t>
  </si>
  <si>
    <t xml:space="preserve">Section 8 Project Based Vouchers </t>
  </si>
  <si>
    <t>Variable</t>
  </si>
  <si>
    <t>City of Alameda PLHA</t>
  </si>
  <si>
    <t>Fixed</t>
  </si>
  <si>
    <t>pv system</t>
  </si>
  <si>
    <t>HCD transition reserve pool fee</t>
  </si>
  <si>
    <t>prevailing wage monitoring</t>
  </si>
  <si>
    <t>security during construction</t>
  </si>
  <si>
    <t>SOFR</t>
  </si>
  <si>
    <t>owner legal</t>
  </si>
  <si>
    <t>August</t>
  </si>
  <si>
    <t xml:space="preserve">President </t>
  </si>
  <si>
    <t>US Bank - Taxable construction loan</t>
  </si>
  <si>
    <t>US Bank - Tax Exempt construction loan</t>
  </si>
  <si>
    <t>LP Equity during construction</t>
  </si>
  <si>
    <t>GP Equity</t>
  </si>
  <si>
    <t>1307 Washington Ave., Suite 300</t>
  </si>
  <si>
    <t>St. Louis</t>
  </si>
  <si>
    <t>Joshua Evju</t>
  </si>
  <si>
    <t>314-662-7533</t>
  </si>
  <si>
    <t>Construction Loan</t>
  </si>
  <si>
    <t xml:space="preserve">Alameda  </t>
  </si>
  <si>
    <t>Investor Equity</t>
  </si>
  <si>
    <t>General Partner Equity</t>
  </si>
  <si>
    <t>333 Bush Street #2700</t>
  </si>
  <si>
    <t xml:space="preserve">San Francisco </t>
  </si>
  <si>
    <t>Eric Cicourel</t>
  </si>
  <si>
    <t>415-616-1000</t>
  </si>
  <si>
    <t>Deferred Loan</t>
  </si>
  <si>
    <t>2263 Santa Clara Avenue, Room 320</t>
  </si>
  <si>
    <t>Amy Wooldridge</t>
  </si>
  <si>
    <t>510-747-6890</t>
  </si>
  <si>
    <t>Residual Receipts Loan</t>
  </si>
  <si>
    <t>US Bank - Perm Loan</t>
  </si>
  <si>
    <t>Mortgage</t>
  </si>
  <si>
    <t>HCD National Housing Trust Fund</t>
  </si>
  <si>
    <t>2020 West El Camino Avenue, Suite 500</t>
  </si>
  <si>
    <t>Gustavo Velasquez</t>
  </si>
  <si>
    <t>916-263-2771</t>
  </si>
  <si>
    <t>Island City Development -GP Equity</t>
  </si>
  <si>
    <t>Island City Development -Deferred Developer Fee</t>
  </si>
  <si>
    <t>ICD Mosley LLC ( Island City Development is the sole member of the GP)</t>
  </si>
  <si>
    <t>1 bedroom</t>
  </si>
  <si>
    <t>Alameda, CA 94501</t>
  </si>
  <si>
    <t>Federal Home Loan Bank - AHP</t>
  </si>
  <si>
    <t>5 BR</t>
  </si>
  <si>
    <t>FPI Management, Inc.</t>
  </si>
  <si>
    <t>Section 8 Project Based Vouchers and HCD</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</si>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</sst>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182" fontId="22" fillId="43" borderId="11" xfId="8722" applyNumberFormat="1" applyFont="1" applyFill="1" applyBorder="1" applyAlignment="1" applyProtection="1">
      <alignment horizontal="center" vertical="center" wrapText="1"/>
      <protection locked="0"/>
    </xf>
    <xf numFmtId="0" fontId="0" fillId="43" borderId="4" xfId="0" applyFill="1" applyBorder="1" applyAlignment="1" applyProtection="1">
      <alignment horizontal="center"/>
      <protection locked="0"/>
    </xf>
    <xf numFmtId="0" fontId="14" fillId="0" borderId="0" xfId="0" applyFont="1" applyAlignment="1">
      <alignment horizontal="left" vertical="top" wrapText="1"/>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43"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1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0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23"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23" fillId="0" borderId="3" xfId="0" applyFont="1" applyBorder="1" applyAlignment="1">
      <alignment horizontal="center"/>
    </xf>
    <xf numFmtId="0" fontId="23" fillId="0" borderId="5" xfId="0" applyFont="1" applyBorder="1" applyAlignment="1">
      <alignment horizont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3" fillId="5" borderId="11" xfId="0" applyNumberFormat="1"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3" fillId="5" borderId="4" xfId="0" applyFont="1"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168" fontId="23"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0" fillId="0" borderId="0" xfId="0" applyNumberFormat="1" applyFont="1" applyAlignment="1">
      <alignment horizontal="center" vertical="center" wrapText="1"/>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0" fontId="0" fillId="0" borderId="12" xfId="0" applyBorder="1" applyAlignment="1">
      <alignment horizontal="center"/>
    </xf>
    <xf numFmtId="0" fontId="21" fillId="0" borderId="9" xfId="0" applyFont="1" applyBorder="1" applyAlignment="1">
      <alignment horizontal="center"/>
    </xf>
    <xf numFmtId="0" fontId="21" fillId="0" borderId="6" xfId="0" applyFont="1" applyBorder="1" applyAlignment="1">
      <alignment horizontal="center"/>
    </xf>
    <xf numFmtId="0" fontId="2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4" fillId="5" borderId="6" xfId="0" applyFont="1" applyFill="1" applyBorder="1" applyAlignment="1" applyProtection="1">
      <alignment horizontal="left"/>
      <protection locked="0"/>
    </xf>
    <xf numFmtId="168" fontId="23" fillId="5" borderId="6" xfId="0" applyNumberFormat="1" applyFont="1" applyFill="1" applyBorder="1" applyAlignment="1" applyProtection="1">
      <alignment horizontal="right"/>
      <protection locked="0"/>
    </xf>
    <xf numFmtId="0" fontId="14" fillId="5" borderId="6" xfId="0" applyFont="1" applyFill="1" applyBorder="1" applyAlignment="1" applyProtection="1">
      <alignment horizontal="center"/>
      <protection locked="0"/>
    </xf>
    <xf numFmtId="166" fontId="23" fillId="5" borderId="4" xfId="0" applyNumberFormat="1" applyFont="1" applyFill="1" applyBorder="1" applyAlignment="1" applyProtection="1">
      <alignment horizontal="left"/>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3" fillId="0" borderId="11" xfId="0" applyNumberFormat="1" applyFont="1" applyBorder="1" applyAlignment="1">
      <alignment horizontal="center"/>
    </xf>
    <xf numFmtId="0" fontId="14" fillId="5" borderId="4" xfId="0" applyFont="1" applyFill="1" applyBorder="1" applyAlignment="1" applyProtection="1">
      <alignment horizontal="left"/>
      <protection locked="0"/>
    </xf>
    <xf numFmtId="0" fontId="22" fillId="43" borderId="6" xfId="0" applyFont="1" applyFill="1" applyBorder="1" applyAlignment="1" applyProtection="1">
      <alignment horizontal="left"/>
      <protection locked="0"/>
    </xf>
    <xf numFmtId="1" fontId="23" fillId="5" borderId="6" xfId="0" applyNumberFormat="1" applyFont="1" applyFill="1" applyBorder="1" applyAlignment="1" applyProtection="1">
      <alignment horizontal="right"/>
      <protection locked="0"/>
    </xf>
    <xf numFmtId="0" fontId="14" fillId="5" borderId="4" xfId="0" applyFont="1" applyFill="1" applyBorder="1" applyAlignment="1" applyProtection="1">
      <alignment horizontal="center"/>
      <protection locked="0"/>
    </xf>
    <xf numFmtId="1" fontId="23" fillId="5" borderId="11" xfId="0" quotePrefix="1" applyNumberFormat="1"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21" fillId="0" borderId="10" xfId="0" applyFont="1" applyBorder="1" applyAlignment="1">
      <alignment horizontal="center"/>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4" xfId="0" applyFont="1" applyBorder="1" applyAlignment="1">
      <alignment horizontal="center"/>
    </xf>
    <xf numFmtId="0" fontId="21" fillId="0" borderId="5" xfId="0" applyFont="1" applyBorder="1" applyAlignment="1">
      <alignment horizontal="center"/>
    </xf>
    <xf numFmtId="0" fontId="14" fillId="5" borderId="11" xfId="0" applyFont="1" applyFill="1" applyBorder="1" applyAlignment="1" applyProtection="1">
      <alignment vertical="center" wrapText="1"/>
      <protection locked="0"/>
    </xf>
    <xf numFmtId="0" fontId="21" fillId="0" borderId="3" xfId="0" applyFont="1"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23" fillId="0" borderId="1" xfId="0" applyFont="1" applyBorder="1" applyAlignment="1">
      <alignment horizontal="center" vertical="top" wrapText="1"/>
    </xf>
    <xf numFmtId="0" fontId="14" fillId="0" borderId="11" xfId="543" applyBorder="1" applyAlignment="1">
      <alignment horizontal="center"/>
    </xf>
    <xf numFmtId="0" fontId="0" fillId="0" borderId="6" xfId="0" applyBorder="1" applyAlignment="1">
      <alignment horizontal="left"/>
    </xf>
    <xf numFmtId="0" fontId="23" fillId="0" borderId="4"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4" fillId="43" borderId="4" xfId="0" applyFont="1" applyFill="1" applyBorder="1" applyAlignment="1" applyProtection="1">
      <alignment horizontal="left" wrapText="1"/>
      <protection locked="0"/>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66" fontId="23" fillId="5" borderId="6" xfId="0" applyNumberFormat="1" applyFont="1"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14" fillId="5" borderId="4"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23" fillId="5" borderId="6" xfId="0" applyFont="1" applyFill="1" applyBorder="1" applyAlignment="1" applyProtection="1">
      <alignment horizontal="left" wrapText="1"/>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23"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0" fillId="0" borderId="0" xfId="0" applyAlignment="1">
      <alignment wrapText="1"/>
    </xf>
    <xf numFmtId="0" fontId="23" fillId="0" borderId="0" xfId="0" applyFont="1" applyAlignment="1">
      <alignment horizontal="left" vertical="top" wrapText="1"/>
    </xf>
    <xf numFmtId="0" fontId="167" fillId="0" borderId="0" xfId="0" applyFont="1" applyAlignment="1" applyProtection="1">
      <alignment horizontal="left" vertical="top" wrapText="1"/>
      <protection locked="0"/>
    </xf>
    <xf numFmtId="166" fontId="14" fillId="5" borderId="4" xfId="0" applyNumberFormat="1" applyFont="1" applyFill="1" applyBorder="1" applyAlignment="1" applyProtection="1">
      <alignment horizontal="left"/>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23" fillId="0" borderId="6" xfId="0" applyFont="1" applyBorder="1" applyAlignment="1">
      <alignment horizontal="left" wrapText="1"/>
    </xf>
    <xf numFmtId="0" fontId="14" fillId="43" borderId="6" xfId="0" applyFont="1" applyFill="1" applyBorder="1" applyAlignment="1" applyProtection="1">
      <alignment vertical="center"/>
      <protection locked="0"/>
    </xf>
    <xf numFmtId="168" fontId="23" fillId="0" borderId="6" xfId="0" applyNumberFormat="1" applyFont="1" applyBorder="1" applyAlignment="1">
      <alignment horizontal="center"/>
    </xf>
    <xf numFmtId="0" fontId="22" fillId="0" borderId="0" xfId="0" applyFont="1" applyAlignment="1">
      <alignment horizontal="center"/>
    </xf>
    <xf numFmtId="0" fontId="0" fillId="5" borderId="6" xfId="0" applyFill="1" applyBorder="1" applyProtection="1">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21"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168" fontId="0" fillId="5" borderId="11" xfId="0" applyNumberFormat="1" applyFill="1" applyBorder="1" applyProtection="1">
      <protection locked="0"/>
    </xf>
    <xf numFmtId="0" fontId="21"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4" fillId="0" borderId="0" xfId="543" applyAlignment="1">
      <alignment horizontal="center"/>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9" fontId="14" fillId="0" borderId="0" xfId="543" applyNumberFormat="1" applyAlignment="1">
      <alignment horizontal="center" vertical="center"/>
    </xf>
    <xf numFmtId="2" fontId="14"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4" fillId="0" borderId="3" xfId="0" applyFont="1" applyBorder="1"/>
    <xf numFmtId="0" fontId="14" fillId="0" borderId="4" xfId="0" applyFont="1" applyBorder="1"/>
    <xf numFmtId="0" fontId="14" fillId="0" borderId="5" xfId="0" applyFont="1" applyBorder="1"/>
    <xf numFmtId="171" fontId="14" fillId="0" borderId="0" xfId="543" applyNumberFormat="1" applyAlignment="1">
      <alignment horizontal="center"/>
    </xf>
    <xf numFmtId="171" fontId="14" fillId="0" borderId="0" xfId="543" applyNumberFormat="1" applyAlignment="1">
      <alignment horizontal="right"/>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168" fontId="14"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14" fillId="5" borderId="4" xfId="0" applyFont="1" applyFill="1" applyBorder="1" applyAlignment="1" applyProtection="1">
      <alignment wrapText="1"/>
      <protection locked="0"/>
    </xf>
    <xf numFmtId="0" fontId="23" fillId="5" borderId="4" xfId="0" applyFont="1" applyFill="1" applyBorder="1" applyAlignment="1" applyProtection="1">
      <alignmen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0" borderId="11" xfId="0" applyFont="1" applyBorder="1" applyAlignment="1">
      <alignment horizontal="center" vertical="center" wrapText="1"/>
    </xf>
    <xf numFmtId="0" fontId="14" fillId="5" borderId="11" xfId="0" applyFont="1" applyFill="1" applyBorder="1" applyAlignment="1" applyProtection="1">
      <alignment horizontal="left" wrapText="1"/>
      <protection locked="0"/>
    </xf>
    <xf numFmtId="0" fontId="21" fillId="0" borderId="11" xfId="0" applyFont="1" applyBorder="1" applyAlignment="1">
      <alignment horizontal="center" vertical="center"/>
    </xf>
    <xf numFmtId="0" fontId="21" fillId="0" borderId="6" xfId="0" applyFont="1" applyBorder="1" applyAlignment="1">
      <alignment horizontal="right"/>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180" fontId="0" fillId="0" borderId="6" xfId="0" applyNumberFormat="1" applyBorder="1" applyAlignment="1">
      <alignment horizontal="center"/>
    </xf>
    <xf numFmtId="0" fontId="23" fillId="0" borderId="11" xfId="0" applyFont="1" applyBorder="1" applyAlignment="1">
      <alignment horizontal="center"/>
    </xf>
    <xf numFmtId="0" fontId="23"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3" fontId="0" fillId="5" borderId="3"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20" fillId="3" borderId="0" xfId="0" applyFont="1" applyFill="1" applyAlignment="1">
      <alignment horizontal="center" vertical="center"/>
    </xf>
    <xf numFmtId="0" fontId="21" fillId="0" borderId="2" xfId="0" applyFont="1" applyBorder="1" applyAlignment="1">
      <alignment horizontal="center" wrapText="1"/>
    </xf>
    <xf numFmtId="0" fontId="21" fillId="0" borderId="7" xfId="0" applyFont="1" applyBorder="1" applyAlignment="1">
      <alignment horizontal="center" wrapText="1"/>
    </xf>
    <xf numFmtId="0" fontId="23" fillId="0" borderId="11" xfId="0" applyFont="1" applyBorder="1" applyAlignment="1">
      <alignment horizontal="center" vertical="top" wrapText="1"/>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0" fontId="14" fillId="43" borderId="11" xfId="0" applyFont="1" applyFill="1" applyBorder="1" applyAlignment="1" applyProtection="1">
      <alignment horizontal="center"/>
      <protection locked="0"/>
    </xf>
    <xf numFmtId="0" fontId="23" fillId="0" borderId="3" xfId="0" applyFont="1" applyBorder="1" applyAlignment="1">
      <alignment horizontal="left"/>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0" borderId="3" xfId="543" applyFont="1" applyBorder="1" applyAlignment="1">
      <alignment horizontal="center"/>
    </xf>
    <xf numFmtId="0" fontId="33" fillId="0" borderId="5" xfId="543" applyFont="1" applyBorder="1" applyAlignment="1">
      <alignment horizontal="center"/>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21" fillId="0" borderId="1"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9" fontId="0" fillId="5" borderId="3" xfId="0" applyNumberFormat="1" applyFill="1" applyBorder="1" applyAlignment="1" applyProtection="1">
      <alignment horizontal="right"/>
      <protection locked="0"/>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22" fillId="5" borderId="3" xfId="543" applyFont="1" applyFill="1" applyBorder="1" applyAlignment="1" applyProtection="1">
      <alignment horizontal="center"/>
      <protection locked="0"/>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172" fontId="21" fillId="0" borderId="1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21" fillId="0" borderId="9" xfId="0" applyFont="1" applyBorder="1" applyAlignment="1">
      <alignment horizontal="right"/>
    </xf>
    <xf numFmtId="0" fontId="21" fillId="0" borderId="10" xfId="0" applyFont="1" applyBorder="1" applyAlignment="1">
      <alignment horizontal="right"/>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14" fillId="5" borderId="6" xfId="0" applyFont="1" applyFill="1" applyBorder="1" applyAlignment="1" applyProtection="1">
      <alignment horizontal="left" wrapText="1"/>
      <protection locked="0"/>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3" fontId="42" fillId="10" borderId="0" xfId="543" applyNumberFormat="1" applyFont="1" applyFill="1" applyAlignment="1">
      <alignment horizontal="left" vertical="center" wrapText="1"/>
    </xf>
    <xf numFmtId="0" fontId="21" fillId="0" borderId="0" xfId="0" applyFont="1" applyAlignment="1">
      <alignment horizontal="center" vertical="center"/>
    </xf>
    <xf numFmtId="0" fontId="23" fillId="0" borderId="2" xfId="0" applyFont="1" applyBorder="1" applyAlignment="1">
      <alignment horizontal="left" vertical="top" wrapText="1"/>
    </xf>
    <xf numFmtId="177" fontId="23" fillId="5" borderId="6" xfId="0" applyNumberFormat="1" applyFont="1" applyFill="1" applyBorder="1" applyAlignment="1" applyProtection="1">
      <alignment horizontal="left" vertical="top" wrapText="1"/>
      <protection locked="0"/>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23" fillId="0" borderId="6" xfId="0" applyFont="1" applyBorder="1" applyAlignment="1">
      <alignment vertical="top" wrapText="1"/>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2" xfId="0" applyFont="1" applyBorder="1" applyAlignment="1">
      <alignment vertical="top" wrapText="1"/>
    </xf>
    <xf numFmtId="0" fontId="51" fillId="0" borderId="0" xfId="0" applyFont="1" applyAlignment="1">
      <alignmen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4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2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18" fillId="5" borderId="55" xfId="4495" applyFill="1" applyBorder="1" applyAlignment="1" applyProtection="1">
      <alignment horizontal="center"/>
      <protection locked="0"/>
    </xf>
    <xf numFmtId="0" fontId="11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16" fillId="0" borderId="4" xfId="1192" applyFont="1" applyBorder="1" applyAlignment="1">
      <alignment horizontal="left"/>
    </xf>
    <xf numFmtId="0" fontId="14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5" borderId="50" xfId="4495" applyFill="1" applyBorder="1" applyAlignment="1">
      <alignment horizontal="center"/>
    </xf>
    <xf numFmtId="0" fontId="118" fillId="5" borderId="51" xfId="4495" applyFill="1" applyBorder="1" applyAlignment="1">
      <alignment horizontal="center"/>
    </xf>
    <xf numFmtId="0" fontId="118" fillId="0" borderId="53" xfId="4495" applyBorder="1" applyAlignment="1">
      <alignment horizontal="center"/>
    </xf>
    <xf numFmtId="0" fontId="118" fillId="0" borderId="0" xfId="4495"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51" fillId="0" borderId="51" xfId="4495" applyFont="1" applyBorder="1" applyAlignment="1">
      <alignment horizontal="left" wrapText="1"/>
    </xf>
    <xf numFmtId="0" fontId="51" fillId="0" borderId="0" xfId="4495" applyFont="1" applyAlignment="1">
      <alignment horizontal="left" wrapText="1"/>
    </xf>
    <xf numFmtId="0" fontId="21" fillId="0" borderId="54" xfId="4495" applyFont="1" applyBorder="1" applyAlignment="1">
      <alignment horizontal="center" vertical="top"/>
    </xf>
    <xf numFmtId="0" fontId="12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1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51"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0" fontId="120" fillId="5" borderId="6" xfId="4496" applyFont="1" applyFill="1" applyBorder="1" applyAlignment="1" applyProtection="1">
      <alignment horizontal="center"/>
      <protection locked="0"/>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165" fontId="120" fillId="0" borderId="60"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0" fontId="96" fillId="0" borderId="11" xfId="4496" applyFont="1" applyBorder="1" applyAlignment="1">
      <alignment horizontal="left" indent="1"/>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134" fillId="3" borderId="0" xfId="1192" applyNumberFormat="1" applyFont="1" applyFill="1" applyAlignment="1">
      <alignment horizontal="center" vertical="center"/>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0" fontId="96" fillId="0" borderId="11" xfId="4496" applyFont="1" applyBorder="1"/>
    <xf numFmtId="0" fontId="96" fillId="0" borderId="91" xfId="4496" applyFont="1" applyBorder="1"/>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46" fillId="49" borderId="89" xfId="8726" applyFont="1" applyFill="1" applyBorder="1" applyAlignment="1" applyProtection="1">
      <alignment horizontal="left"/>
      <protection locked="0"/>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41"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44" fontId="176" fillId="49" borderId="11" xfId="700"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182" fontId="2" fillId="49" borderId="11" xfId="700" applyNumberFormat="1"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44" fontId="2"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0" fontId="163" fillId="49" borderId="11" xfId="8726" applyFont="1" applyFill="1" applyBorder="1" applyAlignment="1" applyProtection="1">
      <alignment horizontal="left"/>
      <protection locked="0"/>
    </xf>
    <xf numFmtId="168" fontId="161" fillId="49" borderId="11" xfId="700" applyNumberFormat="1"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44" fontId="2" fillId="49" borderId="11" xfId="700" applyFont="1"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168" fontId="161" fillId="44" borderId="11" xfId="700" applyNumberFormat="1" applyFont="1" applyFill="1" applyBorder="1" applyAlignment="1">
      <alignment horizontal="left"/>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43" fontId="146" fillId="53" borderId="11" xfId="698" applyFont="1" applyFill="1" applyBorder="1" applyAlignment="1" applyProtection="1">
      <alignment horizontal="left"/>
      <protection hidden="1"/>
    </xf>
    <xf numFmtId="14" fontId="161" fillId="49" borderId="11" xfId="8726" applyNumberFormat="1" applyFont="1" applyFill="1" applyBorder="1" applyAlignment="1" applyProtection="1">
      <alignment horizontal="center"/>
      <protection locked="0"/>
    </xf>
    <xf numFmtId="14" fontId="161" fillId="49" borderId="91" xfId="8726" applyNumberFormat="1" applyFont="1" applyFill="1" applyBorder="1" applyAlignment="1" applyProtection="1">
      <alignment horizontal="center"/>
      <protection locked="0"/>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4" fillId="45" borderId="74" xfId="8726" applyFont="1" applyFill="1" applyBorder="1" applyAlignment="1">
      <alignment horizontal="left"/>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00" fillId="45" borderId="91" xfId="8726" applyFont="1" applyFill="1" applyBorder="1" applyAlignment="1">
      <alignment horizontal="center"/>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57" fillId="49" borderId="11" xfId="8726" applyFont="1" applyFill="1" applyBorder="1" applyAlignment="1" applyProtection="1">
      <alignment horizontal="left"/>
      <protection locked="0"/>
    </xf>
    <xf numFmtId="14" fontId="163"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center"/>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47" fillId="44" borderId="88"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9" fontId="147" fillId="49" borderId="13"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0" fontId="147" fillId="44" borderId="86" xfId="8726"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51"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10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090A22CC-3436-485F-B0AB-B910BFAFDC99}"/>
    <cellStyle name="20% - Accent1 11" xfId="8729" xr:uid="{9726B616-452C-44DF-A419-9B8EC8071512}"/>
    <cellStyle name="20% - Accent1 2" xfId="2" xr:uid="{00000000-0005-0000-0000-000002000000}"/>
    <cellStyle name="20% - Accent1 2 10" xfId="8730" xr:uid="{7F7F0ABF-BDDA-4BB2-BC5B-527DB823BFAC}"/>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2AE442E6-C43A-4712-A759-30F36E73EDD5}"/>
    <cellStyle name="20% - Accent1 2 2 2 2 2 3" xfId="11291" xr:uid="{8669ECA8-CE0C-4C2A-BFBE-6D8C0B77C69B}"/>
    <cellStyle name="20% - Accent1 2 2 2 2 3" xfId="4922" xr:uid="{00000000-0005-0000-0000-000008000000}"/>
    <cellStyle name="20% - Accent1 2 2 2 2 3 2" xfId="13364" xr:uid="{ACD24DDF-72C5-4DF9-A3CA-8C5F9BAA0578}"/>
    <cellStyle name="20% - Accent1 2 2 2 2 4" xfId="9146" xr:uid="{912BEC74-6E6C-452C-9A13-382D5E1D5735}"/>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C19AF9E6-39F2-4A0F-BAE5-07D198A4314F}"/>
    <cellStyle name="20% - Accent1 2 2 2 3 2 3" xfId="11704" xr:uid="{D30327CE-C101-4E54-BE26-6606EF55C703}"/>
    <cellStyle name="20% - Accent1 2 2 2 3 3" xfId="5335" xr:uid="{00000000-0005-0000-0000-00000C000000}"/>
    <cellStyle name="20% - Accent1 2 2 2 3 3 2" xfId="13777" xr:uid="{8A7A35A5-1DEA-4816-A902-ED0D625A151D}"/>
    <cellStyle name="20% - Accent1 2 2 2 3 4" xfId="9559" xr:uid="{9E8C6308-1124-4A01-B8A4-4CA311377D3C}"/>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290E2CE3-04DE-4D92-A24F-CE96DD7BF0F7}"/>
    <cellStyle name="20% - Accent1 2 2 2 4 2 3" xfId="12117" xr:uid="{4ED6AFBB-6556-461F-9418-2FA1F9D85B46}"/>
    <cellStyle name="20% - Accent1 2 2 2 4 3" xfId="5748" xr:uid="{00000000-0005-0000-0000-000010000000}"/>
    <cellStyle name="20% - Accent1 2 2 2 4 3 2" xfId="14190" xr:uid="{CDC94025-F6B0-4A5C-89F1-43BB5DD1B692}"/>
    <cellStyle name="20% - Accent1 2 2 2 4 4" xfId="9972" xr:uid="{4E3B2B98-6C78-4EBE-8FBE-D0584930FB56}"/>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6B29128B-4D94-4966-A28C-BB2464AD1DD7}"/>
    <cellStyle name="20% - Accent1 2 2 2 5 2 3" xfId="12530" xr:uid="{0AA71119-991F-4C95-9C6D-2A5DB7260B6C}"/>
    <cellStyle name="20% - Accent1 2 2 2 5 3" xfId="6161" xr:uid="{00000000-0005-0000-0000-000014000000}"/>
    <cellStyle name="20% - Accent1 2 2 2 5 3 2" xfId="14603" xr:uid="{6C56E60D-2901-4C02-9F31-7251E3AFFB35}"/>
    <cellStyle name="20% - Accent1 2 2 2 5 4" xfId="10385" xr:uid="{34D49439-4E11-4D3F-ACC6-AF190ABF70B4}"/>
    <cellStyle name="20% - Accent1 2 2 2 6" xfId="2267" xr:uid="{00000000-0005-0000-0000-000015000000}"/>
    <cellStyle name="20% - Accent1 2 2 2 6 2" xfId="6574" xr:uid="{00000000-0005-0000-0000-000016000000}"/>
    <cellStyle name="20% - Accent1 2 2 2 6 2 2" xfId="15016" xr:uid="{49CAC478-6A83-436C-A6E3-EB2B4E2497EB}"/>
    <cellStyle name="20% - Accent1 2 2 2 6 3" xfId="10798" xr:uid="{74646D9E-44F7-4248-ABBA-9D4CF97F01BD}"/>
    <cellStyle name="20% - Accent1 2 2 2 7" xfId="4508" xr:uid="{00000000-0005-0000-0000-000017000000}"/>
    <cellStyle name="20% - Accent1 2 2 2 7 2" xfId="12950" xr:uid="{88B4CE86-93A2-4020-95EE-EF3A1857D972}"/>
    <cellStyle name="20% - Accent1 2 2 2 8" xfId="8732" xr:uid="{FB9F3333-FCDA-433B-AF33-2E0EF5F7B154}"/>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4FB77C56-A8BF-4821-9937-95BE453A0FE2}"/>
    <cellStyle name="20% - Accent1 2 2 3 2 3" xfId="11290" xr:uid="{1AE72B70-6909-4D31-89BD-F2A474A3CD0E}"/>
    <cellStyle name="20% - Accent1 2 2 3 3" xfId="4921" xr:uid="{00000000-0005-0000-0000-00001B000000}"/>
    <cellStyle name="20% - Accent1 2 2 3 3 2" xfId="13363" xr:uid="{85CE0289-3EDD-4442-B357-783EF8995961}"/>
    <cellStyle name="20% - Accent1 2 2 3 4" xfId="9145" xr:uid="{0F0377CB-2E48-4897-834B-870F7D6807F4}"/>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A994630D-D42E-4D55-8426-804D99288872}"/>
    <cellStyle name="20% - Accent1 2 2 4 2 3" xfId="11703" xr:uid="{02242316-EEF0-4A67-AE3A-6831416C05EA}"/>
    <cellStyle name="20% - Accent1 2 2 4 3" xfId="5334" xr:uid="{00000000-0005-0000-0000-00001F000000}"/>
    <cellStyle name="20% - Accent1 2 2 4 3 2" xfId="13776" xr:uid="{EFC4F77F-8EBA-474E-925E-B6DC51E1917A}"/>
    <cellStyle name="20% - Accent1 2 2 4 4" xfId="9558" xr:uid="{67343B17-AB85-445C-9B75-BECCC8941F1B}"/>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E06234AB-FC09-4259-919A-69DCEAD731BA}"/>
    <cellStyle name="20% - Accent1 2 2 5 2 3" xfId="12116" xr:uid="{D7D2A6C7-B81C-4A4A-A68D-6C7EF81CC696}"/>
    <cellStyle name="20% - Accent1 2 2 5 3" xfId="5747" xr:uid="{00000000-0005-0000-0000-000023000000}"/>
    <cellStyle name="20% - Accent1 2 2 5 3 2" xfId="14189" xr:uid="{404B5264-45CE-4B8F-9207-1AACE9154F43}"/>
    <cellStyle name="20% - Accent1 2 2 5 4" xfId="9971" xr:uid="{372D5A19-E330-409A-8041-7C2D7A3654B7}"/>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6C895317-7742-42EE-8C31-295FDCC7C261}"/>
    <cellStyle name="20% - Accent1 2 2 6 2 3" xfId="12529" xr:uid="{1F6D3E36-023B-42BA-A63A-088C48B4FE83}"/>
    <cellStyle name="20% - Accent1 2 2 6 3" xfId="6160" xr:uid="{00000000-0005-0000-0000-000027000000}"/>
    <cellStyle name="20% - Accent1 2 2 6 3 2" xfId="14602" xr:uid="{7E230491-11A8-4823-A52F-0D5E0EF84061}"/>
    <cellStyle name="20% - Accent1 2 2 6 4" xfId="10384" xr:uid="{D874FD2B-63CA-48CE-B8FA-9A94A0040985}"/>
    <cellStyle name="20% - Accent1 2 2 7" xfId="2266" xr:uid="{00000000-0005-0000-0000-000028000000}"/>
    <cellStyle name="20% - Accent1 2 2 7 2" xfId="6573" xr:uid="{00000000-0005-0000-0000-000029000000}"/>
    <cellStyle name="20% - Accent1 2 2 7 2 2" xfId="15015" xr:uid="{B7CBB24D-2102-42D3-B430-B38841D46056}"/>
    <cellStyle name="20% - Accent1 2 2 7 3" xfId="10797" xr:uid="{9C06665B-E802-46CD-A846-D24707733A58}"/>
    <cellStyle name="20% - Accent1 2 2 8" xfId="4507" xr:uid="{00000000-0005-0000-0000-00002A000000}"/>
    <cellStyle name="20% - Accent1 2 2 8 2" xfId="12949" xr:uid="{C507C7CC-A5CB-4122-8D2E-00B5D397FBB3}"/>
    <cellStyle name="20% - Accent1 2 2 9" xfId="8731" xr:uid="{8E3BFB14-3237-4DFA-8FC2-6F4D39E9B9CC}"/>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29045C99-3FA8-46F6-8C92-496D6C9F82D3}"/>
    <cellStyle name="20% - Accent1 2 3 2 2 3" xfId="11292" xr:uid="{EF3AB3A8-5D2F-4C9B-9742-2289ABCE7E17}"/>
    <cellStyle name="20% - Accent1 2 3 2 3" xfId="4923" xr:uid="{00000000-0005-0000-0000-00002F000000}"/>
    <cellStyle name="20% - Accent1 2 3 2 3 2" xfId="13365" xr:uid="{DC4F26C3-5C79-49C0-BF7C-B336AA58FB01}"/>
    <cellStyle name="20% - Accent1 2 3 2 4" xfId="9147" xr:uid="{2ACED433-782E-4BF5-80B2-6A1D54481C73}"/>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B2D4E969-7C2A-48BE-B1B7-76B341C0D006}"/>
    <cellStyle name="20% - Accent1 2 3 3 2 3" xfId="11705" xr:uid="{7E618FC6-A0D7-477C-BC6F-B3BBFAB105CA}"/>
    <cellStyle name="20% - Accent1 2 3 3 3" xfId="5336" xr:uid="{00000000-0005-0000-0000-000033000000}"/>
    <cellStyle name="20% - Accent1 2 3 3 3 2" xfId="13778" xr:uid="{3D8C61D7-8FD4-4A48-8CD7-CD416A8C2770}"/>
    <cellStyle name="20% - Accent1 2 3 3 4" xfId="9560" xr:uid="{9B61AED3-6AF9-46AF-AD16-305038C3448D}"/>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22EDBFB1-8A65-40E0-9B49-C12A4D797DCC}"/>
    <cellStyle name="20% - Accent1 2 3 4 2 3" xfId="12118" xr:uid="{B6FDBE66-93A4-40E3-9D4E-AA3F6B4CF63A}"/>
    <cellStyle name="20% - Accent1 2 3 4 3" xfId="5749" xr:uid="{00000000-0005-0000-0000-000037000000}"/>
    <cellStyle name="20% - Accent1 2 3 4 3 2" xfId="14191" xr:uid="{670E4AA8-EF26-4AEE-96A3-D735E896FBD9}"/>
    <cellStyle name="20% - Accent1 2 3 4 4" xfId="9973" xr:uid="{DB29DD82-3415-4AF6-98E2-225547E3BCD9}"/>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C797FB16-9DE2-47F3-B11F-0646855BC6C5}"/>
    <cellStyle name="20% - Accent1 2 3 5 2 3" xfId="12531" xr:uid="{F28D0885-CDBC-4531-9508-F6FD1D6EB540}"/>
    <cellStyle name="20% - Accent1 2 3 5 3" xfId="6162" xr:uid="{00000000-0005-0000-0000-00003B000000}"/>
    <cellStyle name="20% - Accent1 2 3 5 3 2" xfId="14604" xr:uid="{19AA4809-A180-4AC4-B9A0-886AAFF8A9B2}"/>
    <cellStyle name="20% - Accent1 2 3 5 4" xfId="10386" xr:uid="{DE3C9B5F-87D7-44DD-A299-798A9A3CD42A}"/>
    <cellStyle name="20% - Accent1 2 3 6" xfId="2268" xr:uid="{00000000-0005-0000-0000-00003C000000}"/>
    <cellStyle name="20% - Accent1 2 3 6 2" xfId="6575" xr:uid="{00000000-0005-0000-0000-00003D000000}"/>
    <cellStyle name="20% - Accent1 2 3 6 2 2" xfId="15017" xr:uid="{A959365C-566B-45D7-A6C7-6C8C646CA167}"/>
    <cellStyle name="20% - Accent1 2 3 6 3" xfId="10799" xr:uid="{680246B7-C781-4EA6-9BD8-448E30E16C15}"/>
    <cellStyle name="20% - Accent1 2 3 7" xfId="4509" xr:uid="{00000000-0005-0000-0000-00003E000000}"/>
    <cellStyle name="20% - Accent1 2 3 7 2" xfId="12951" xr:uid="{988E1938-7300-4401-B226-B93B9847C060}"/>
    <cellStyle name="20% - Accent1 2 3 8" xfId="8733" xr:uid="{147E3E0F-1F06-48D8-9855-07B835DCF561}"/>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E7CABDA9-22CE-475A-ADC8-F8248493999B}"/>
    <cellStyle name="20% - Accent1 2 4 2 3" xfId="11289" xr:uid="{A3087C7A-758F-4B80-9530-713AE9467FE1}"/>
    <cellStyle name="20% - Accent1 2 4 3" xfId="4920" xr:uid="{00000000-0005-0000-0000-000042000000}"/>
    <cellStyle name="20% - Accent1 2 4 3 2" xfId="13362" xr:uid="{604205B3-30A3-4012-B3B8-B2C0E4C3347D}"/>
    <cellStyle name="20% - Accent1 2 4 4" xfId="9144" xr:uid="{21B71638-E426-409C-AAF5-FB9EA6B37C75}"/>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8DA7974A-3E40-41C6-A0F2-E3EE3507A58E}"/>
    <cellStyle name="20% - Accent1 2 5 2 3" xfId="11702" xr:uid="{9635F6A8-244D-4BDB-8784-EFABD2A9EC59}"/>
    <cellStyle name="20% - Accent1 2 5 3" xfId="5333" xr:uid="{00000000-0005-0000-0000-000046000000}"/>
    <cellStyle name="20% - Accent1 2 5 3 2" xfId="13775" xr:uid="{21BE203C-8ED1-44FE-9642-FD9E3E775217}"/>
    <cellStyle name="20% - Accent1 2 5 4" xfId="9557" xr:uid="{3D1ABAD1-C0B8-4C79-B45D-A7BA6F5B5500}"/>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CE52B12D-C44F-425D-B74B-53F665FB3481}"/>
    <cellStyle name="20% - Accent1 2 6 2 3" xfId="12115" xr:uid="{11714581-58A6-4A34-AC9F-CA34FC27729F}"/>
    <cellStyle name="20% - Accent1 2 6 3" xfId="5746" xr:uid="{00000000-0005-0000-0000-00004A000000}"/>
    <cellStyle name="20% - Accent1 2 6 3 2" xfId="14188" xr:uid="{74156533-8160-43A2-901F-1837DE624F20}"/>
    <cellStyle name="20% - Accent1 2 6 4" xfId="9970" xr:uid="{EBFEDA8A-2903-4C32-991B-373C07A615AE}"/>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3C48DB12-739F-4A18-96B7-04922BC05CBF}"/>
    <cellStyle name="20% - Accent1 2 7 2 3" xfId="12528" xr:uid="{2C18DE72-CAAA-45A4-9BE8-4975F1A75CA0}"/>
    <cellStyle name="20% - Accent1 2 7 3" xfId="6159" xr:uid="{00000000-0005-0000-0000-00004E000000}"/>
    <cellStyle name="20% - Accent1 2 7 3 2" xfId="14601" xr:uid="{73DD923C-A063-4480-B0B8-47DAACC8D4CF}"/>
    <cellStyle name="20% - Accent1 2 7 4" xfId="10383" xr:uid="{AD7DDCDB-C985-49F6-9FB3-3814D0AADF25}"/>
    <cellStyle name="20% - Accent1 2 8" xfId="2265" xr:uid="{00000000-0005-0000-0000-00004F000000}"/>
    <cellStyle name="20% - Accent1 2 8 2" xfId="6572" xr:uid="{00000000-0005-0000-0000-000050000000}"/>
    <cellStyle name="20% - Accent1 2 8 2 2" xfId="15014" xr:uid="{E69E81C9-F5EA-4570-8C8B-DD162CA33858}"/>
    <cellStyle name="20% - Accent1 2 8 3" xfId="10796" xr:uid="{DBDE9B4A-E866-4EF4-AB49-0C6FC1313E7B}"/>
    <cellStyle name="20% - Accent1 2 9" xfId="4506" xr:uid="{00000000-0005-0000-0000-000051000000}"/>
    <cellStyle name="20% - Accent1 2 9 2" xfId="12948" xr:uid="{32B0E50E-544E-4FD7-88BB-B8A04E49A61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A4E3859A-5D1D-40D4-A33B-E71286627199}"/>
    <cellStyle name="20% - Accent1 3 2 2 2 3" xfId="11294" xr:uid="{A88D1C65-F4E6-4EB8-A819-C8FBD8E71F11}"/>
    <cellStyle name="20% - Accent1 3 2 2 3" xfId="4925" xr:uid="{00000000-0005-0000-0000-000057000000}"/>
    <cellStyle name="20% - Accent1 3 2 2 3 2" xfId="13367" xr:uid="{97541403-B20A-4307-BEA5-BC510CA837E4}"/>
    <cellStyle name="20% - Accent1 3 2 2 4" xfId="9149" xr:uid="{388D9610-0B77-4979-99FD-B590418BA304}"/>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FD10E5F0-70A2-4211-AF1A-41653E2C9C4E}"/>
    <cellStyle name="20% - Accent1 3 2 3 2 3" xfId="11707" xr:uid="{29B3BE48-7BD2-4103-8EE3-DBE52F746180}"/>
    <cellStyle name="20% - Accent1 3 2 3 3" xfId="5338" xr:uid="{00000000-0005-0000-0000-00005B000000}"/>
    <cellStyle name="20% - Accent1 3 2 3 3 2" xfId="13780" xr:uid="{2E267E5A-79D6-461B-9D95-2183DE1555FF}"/>
    <cellStyle name="20% - Accent1 3 2 3 4" xfId="9562" xr:uid="{94518837-8012-4979-8FEC-EE85ADDB7069}"/>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B4AB0D96-26D2-452F-81CC-FF6220E0203C}"/>
    <cellStyle name="20% - Accent1 3 2 4 2 3" xfId="12120" xr:uid="{8377E068-93A1-4A88-9954-4150F912154A}"/>
    <cellStyle name="20% - Accent1 3 2 4 3" xfId="5751" xr:uid="{00000000-0005-0000-0000-00005F000000}"/>
    <cellStyle name="20% - Accent1 3 2 4 3 2" xfId="14193" xr:uid="{041573DA-26DF-4069-8E3E-0C1C68FF82BC}"/>
    <cellStyle name="20% - Accent1 3 2 4 4" xfId="9975" xr:uid="{16727EF5-8B81-444B-B39D-1AA0FFBA33B7}"/>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5A56042D-CC87-47BA-AAE8-BA23BB3172BC}"/>
    <cellStyle name="20% - Accent1 3 2 5 2 3" xfId="12533" xr:uid="{B0391196-6D28-4396-A7A0-53265BB422F8}"/>
    <cellStyle name="20% - Accent1 3 2 5 3" xfId="6164" xr:uid="{00000000-0005-0000-0000-000063000000}"/>
    <cellStyle name="20% - Accent1 3 2 5 3 2" xfId="14606" xr:uid="{A2A3BA40-4A5C-4DD6-B843-DF70A24721C2}"/>
    <cellStyle name="20% - Accent1 3 2 5 4" xfId="10388" xr:uid="{04B9EC19-BB00-48DE-93DA-6D75826E560C}"/>
    <cellStyle name="20% - Accent1 3 2 6" xfId="2270" xr:uid="{00000000-0005-0000-0000-000064000000}"/>
    <cellStyle name="20% - Accent1 3 2 6 2" xfId="6577" xr:uid="{00000000-0005-0000-0000-000065000000}"/>
    <cellStyle name="20% - Accent1 3 2 6 2 2" xfId="15019" xr:uid="{D3FD20F5-6319-4F97-8014-61BB18A73A1C}"/>
    <cellStyle name="20% - Accent1 3 2 6 3" xfId="10801" xr:uid="{80E73E5A-063E-4544-951E-D96F62D552E0}"/>
    <cellStyle name="20% - Accent1 3 2 7" xfId="4511" xr:uid="{00000000-0005-0000-0000-000066000000}"/>
    <cellStyle name="20% - Accent1 3 2 7 2" xfId="12953" xr:uid="{D4151FCE-5960-4436-A08A-8AD76A3B53F2}"/>
    <cellStyle name="20% - Accent1 3 2 8" xfId="8735" xr:uid="{CBF90921-EE08-40BC-8161-CF303287CD12}"/>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29A47291-695D-447A-9DD3-04D4B30E4447}"/>
    <cellStyle name="20% - Accent1 3 3 2 3" xfId="11293" xr:uid="{30772EA5-CAEB-4665-A85D-C5A06DD68AFE}"/>
    <cellStyle name="20% - Accent1 3 3 3" xfId="4924" xr:uid="{00000000-0005-0000-0000-00006A000000}"/>
    <cellStyle name="20% - Accent1 3 3 3 2" xfId="13366" xr:uid="{CA5C9D8A-03D8-4A50-A1C9-6E3EA7389AAF}"/>
    <cellStyle name="20% - Accent1 3 3 4" xfId="9148" xr:uid="{9BD8A937-CB44-435E-B35B-EAF305C3DE5F}"/>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F4A6BFB3-133C-4E3E-A482-57496EB7F9B4}"/>
    <cellStyle name="20% - Accent1 3 4 2 3" xfId="11706" xr:uid="{58E6C77C-A808-4B16-B5AD-95D6CA70F492}"/>
    <cellStyle name="20% - Accent1 3 4 3" xfId="5337" xr:uid="{00000000-0005-0000-0000-00006E000000}"/>
    <cellStyle name="20% - Accent1 3 4 3 2" xfId="13779" xr:uid="{95C7F240-9386-489F-8071-1200452F4C52}"/>
    <cellStyle name="20% - Accent1 3 4 4" xfId="9561" xr:uid="{895D9014-43D9-41BB-AD93-B5D44F20CAF8}"/>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F5BF2533-644A-4A83-89F9-C2FA54AD69B2}"/>
    <cellStyle name="20% - Accent1 3 5 2 3" xfId="12119" xr:uid="{679FBBF5-FEB8-4AC5-9E98-6F0E95C608D2}"/>
    <cellStyle name="20% - Accent1 3 5 3" xfId="5750" xr:uid="{00000000-0005-0000-0000-000072000000}"/>
    <cellStyle name="20% - Accent1 3 5 3 2" xfId="14192" xr:uid="{FEA449BD-D6FF-4FB8-A230-D283155DBE01}"/>
    <cellStyle name="20% - Accent1 3 5 4" xfId="9974" xr:uid="{F67618FF-C89A-45ED-9C6E-6184059B00B9}"/>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6000D029-C7B2-4670-9756-F37D528508C4}"/>
    <cellStyle name="20% - Accent1 3 6 2 3" xfId="12532" xr:uid="{005BA1C4-DBE8-4DF0-AE20-58E749BAF593}"/>
    <cellStyle name="20% - Accent1 3 6 3" xfId="6163" xr:uid="{00000000-0005-0000-0000-000076000000}"/>
    <cellStyle name="20% - Accent1 3 6 3 2" xfId="14605" xr:uid="{99C9E66E-8719-4644-9186-6943C774C918}"/>
    <cellStyle name="20% - Accent1 3 6 4" xfId="10387" xr:uid="{632EB252-2138-48B2-9A97-ECAC862830E1}"/>
    <cellStyle name="20% - Accent1 3 7" xfId="2269" xr:uid="{00000000-0005-0000-0000-000077000000}"/>
    <cellStyle name="20% - Accent1 3 7 2" xfId="6576" xr:uid="{00000000-0005-0000-0000-000078000000}"/>
    <cellStyle name="20% - Accent1 3 7 2 2" xfId="15018" xr:uid="{2C45634F-7021-4D35-8836-61BCAA9DE7AB}"/>
    <cellStyle name="20% - Accent1 3 7 3" xfId="10800" xr:uid="{3908A242-C63E-410C-864F-7587F0655758}"/>
    <cellStyle name="20% - Accent1 3 8" xfId="4510" xr:uid="{00000000-0005-0000-0000-000079000000}"/>
    <cellStyle name="20% - Accent1 3 8 2" xfId="12952" xr:uid="{699EF187-88E3-4127-9BA4-B8F34EEBB0D1}"/>
    <cellStyle name="20% - Accent1 3 9" xfId="8734" xr:uid="{4E71F72A-100D-4548-B5D5-8A229B0AD84D}"/>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D2249AA-0E57-40F0-BBC8-5BBAF99F0E60}"/>
    <cellStyle name="20% - Accent1 4 2 2 3" xfId="11295" xr:uid="{F3FF86E4-E5D8-484A-8C41-10EE003F8BD9}"/>
    <cellStyle name="20% - Accent1 4 2 3" xfId="4926" xr:uid="{00000000-0005-0000-0000-00007E000000}"/>
    <cellStyle name="20% - Accent1 4 2 3 2" xfId="13368" xr:uid="{3E4522D6-1BAA-4A83-94E5-9695B83CDB43}"/>
    <cellStyle name="20% - Accent1 4 2 4" xfId="9150" xr:uid="{59DBE003-8206-49E8-BD6F-CEED8286DBEF}"/>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03DB93C3-B235-4398-BE5F-86F017319E1E}"/>
    <cellStyle name="20% - Accent1 4 3 2 3" xfId="11708" xr:uid="{1AC32000-BFBB-4F4A-B6C5-418F4D0D862D}"/>
    <cellStyle name="20% - Accent1 4 3 3" xfId="5339" xr:uid="{00000000-0005-0000-0000-000082000000}"/>
    <cellStyle name="20% - Accent1 4 3 3 2" xfId="13781" xr:uid="{11653C30-E87C-4933-82D3-03FCF246E4E4}"/>
    <cellStyle name="20% - Accent1 4 3 4" xfId="9563" xr:uid="{F75D9931-6446-4429-B3A1-2740698EA9C0}"/>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F7437DC2-700C-4467-A156-7B5AA2E0F813}"/>
    <cellStyle name="20% - Accent1 4 4 2 3" xfId="12121" xr:uid="{39DE1B24-72DB-465C-BE55-C74895786694}"/>
    <cellStyle name="20% - Accent1 4 4 3" xfId="5752" xr:uid="{00000000-0005-0000-0000-000086000000}"/>
    <cellStyle name="20% - Accent1 4 4 3 2" xfId="14194" xr:uid="{973BC0CB-6AED-476E-8830-5E04C6526ABE}"/>
    <cellStyle name="20% - Accent1 4 4 4" xfId="9976" xr:uid="{37AA8A8D-6C7E-42F7-B1E7-D252698AAFDE}"/>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F5A094D2-ACF9-4F47-BFFC-D00F0FE0308D}"/>
    <cellStyle name="20% - Accent1 4 5 2 3" xfId="12534" xr:uid="{628AE3A1-7A68-4C10-86F4-953B96DA0CE3}"/>
    <cellStyle name="20% - Accent1 4 5 3" xfId="6165" xr:uid="{00000000-0005-0000-0000-00008A000000}"/>
    <cellStyle name="20% - Accent1 4 5 3 2" xfId="14607" xr:uid="{45944666-6CD1-4D14-8B0F-1E140773933F}"/>
    <cellStyle name="20% - Accent1 4 5 4" xfId="10389" xr:uid="{0836C4E7-AC80-407E-A5A9-CF6C6E17C5AA}"/>
    <cellStyle name="20% - Accent1 4 6" xfId="2271" xr:uid="{00000000-0005-0000-0000-00008B000000}"/>
    <cellStyle name="20% - Accent1 4 6 2" xfId="6578" xr:uid="{00000000-0005-0000-0000-00008C000000}"/>
    <cellStyle name="20% - Accent1 4 6 2 2" xfId="15020" xr:uid="{F9322281-B12B-42DB-82A6-77CC75625462}"/>
    <cellStyle name="20% - Accent1 4 6 3" xfId="10802" xr:uid="{F7C12E9F-E914-4AE0-9005-FD2FEC12893C}"/>
    <cellStyle name="20% - Accent1 4 7" xfId="4512" xr:uid="{00000000-0005-0000-0000-00008D000000}"/>
    <cellStyle name="20% - Accent1 4 7 2" xfId="12954" xr:uid="{54AC23AC-DE29-49B2-99AA-517ABE56F5D3}"/>
    <cellStyle name="20% - Accent1 4 8" xfId="8736" xr:uid="{D58451CB-9BBC-4AE4-955B-F3EC7BE94B0D}"/>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3F41E662-DC99-48B2-9175-7222605701D2}"/>
    <cellStyle name="20% - Accent1 5 2 3" xfId="11288" xr:uid="{B60C1758-753A-44B8-B140-36918B727CCF}"/>
    <cellStyle name="20% - Accent1 5 3" xfId="4919" xr:uid="{00000000-0005-0000-0000-000091000000}"/>
    <cellStyle name="20% - Accent1 5 3 2" xfId="13361" xr:uid="{07479E82-5CAF-474A-90C2-227955754704}"/>
    <cellStyle name="20% - Accent1 5 4" xfId="9143" xr:uid="{BE022525-634D-4B53-A4F2-398AC28D79D1}"/>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8B59FD7E-26F4-4DF4-8157-7398187A3AAF}"/>
    <cellStyle name="20% - Accent1 6 2 3" xfId="11701" xr:uid="{76D0670F-9155-4537-BF88-5B8AAECB422C}"/>
    <cellStyle name="20% - Accent1 6 3" xfId="5332" xr:uid="{00000000-0005-0000-0000-000095000000}"/>
    <cellStyle name="20% - Accent1 6 3 2" xfId="13774" xr:uid="{FE7A5CBC-801C-41EC-B089-3BF10C288B65}"/>
    <cellStyle name="20% - Accent1 6 4" xfId="9556" xr:uid="{9074A520-EA2D-45A6-BCC3-A17669EBF3D9}"/>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663BC197-16AC-42FE-AFD7-8F43157344A1}"/>
    <cellStyle name="20% - Accent1 7 2 3" xfId="12114" xr:uid="{0FCB65E9-322E-4E66-9986-74988C2FA7A7}"/>
    <cellStyle name="20% - Accent1 7 3" xfId="5745" xr:uid="{00000000-0005-0000-0000-000099000000}"/>
    <cellStyle name="20% - Accent1 7 3 2" xfId="14187" xr:uid="{66E10BB4-B279-410D-BE2C-0391C4EC15C6}"/>
    <cellStyle name="20% - Accent1 7 4" xfId="9969" xr:uid="{5FB891BB-3A33-4001-8DAA-78115EADA5F3}"/>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C57CC311-8869-488D-96FE-DE5033EB3D0C}"/>
    <cellStyle name="20% - Accent1 8 2 3" xfId="12527" xr:uid="{4BEAD59B-5010-4703-B09B-5C3E655172D2}"/>
    <cellStyle name="20% - Accent1 8 3" xfId="6158" xr:uid="{00000000-0005-0000-0000-00009D000000}"/>
    <cellStyle name="20% - Accent1 8 3 2" xfId="14600" xr:uid="{37BEAA69-113F-4F2F-92A6-B58CB72F87A0}"/>
    <cellStyle name="20% - Accent1 8 4" xfId="10382" xr:uid="{3B68B971-5AE9-46E9-A972-93DB85C90482}"/>
    <cellStyle name="20% - Accent1 9" xfId="2264" xr:uid="{00000000-0005-0000-0000-00009E000000}"/>
    <cellStyle name="20% - Accent1 9 2" xfId="6571" xr:uid="{00000000-0005-0000-0000-00009F000000}"/>
    <cellStyle name="20% - Accent1 9 2 2" xfId="15013" xr:uid="{1C29AA25-92F6-424F-AD2A-153C97DFD1B0}"/>
    <cellStyle name="20% - Accent1 9 3" xfId="10795" xr:uid="{E75CECAC-0901-4936-9474-A0A92CA69BF0}"/>
    <cellStyle name="20% - Accent2" xfId="9" builtinId="34" customBuiltin="1"/>
    <cellStyle name="20% - Accent2 10" xfId="4513" xr:uid="{00000000-0005-0000-0000-0000A1000000}"/>
    <cellStyle name="20% - Accent2 10 2" xfId="12955" xr:uid="{D125DDFF-C155-4495-BDE6-1A4BEC4E2A38}"/>
    <cellStyle name="20% - Accent2 11" xfId="8737" xr:uid="{0B53B817-4B44-448D-B33E-C3FC04F38765}"/>
    <cellStyle name="20% - Accent2 2" xfId="10" xr:uid="{00000000-0005-0000-0000-0000A2000000}"/>
    <cellStyle name="20% - Accent2 2 10" xfId="8738" xr:uid="{57387D59-2DA2-4606-A359-E40B591BE883}"/>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63C2A0FF-C77F-4EAA-9C3C-BA98611C68EF}"/>
    <cellStyle name="20% - Accent2 2 2 2 2 2 3" xfId="11299" xr:uid="{3163A0E2-CC0A-4895-A56F-42DAD754A074}"/>
    <cellStyle name="20% - Accent2 2 2 2 2 3" xfId="4930" xr:uid="{00000000-0005-0000-0000-0000A8000000}"/>
    <cellStyle name="20% - Accent2 2 2 2 2 3 2" xfId="13372" xr:uid="{C750750D-A969-4E59-B4EC-B66AEFBBCD82}"/>
    <cellStyle name="20% - Accent2 2 2 2 2 4" xfId="9154" xr:uid="{7E43B1CA-E7DC-4878-B5BB-F16628C1DAE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B05892C4-C31B-4EED-BA8C-A52EB5C85AB4}"/>
    <cellStyle name="20% - Accent2 2 2 2 3 2 3" xfId="11712" xr:uid="{76CC21AD-DDDC-4034-B452-142EB0675C67}"/>
    <cellStyle name="20% - Accent2 2 2 2 3 3" xfId="5343" xr:uid="{00000000-0005-0000-0000-0000AC000000}"/>
    <cellStyle name="20% - Accent2 2 2 2 3 3 2" xfId="13785" xr:uid="{F5A297D6-8A34-49F8-8B74-B32469472E96}"/>
    <cellStyle name="20% - Accent2 2 2 2 3 4" xfId="9567" xr:uid="{DB145F9A-4E59-4EDC-AEA2-411BC253CB1C}"/>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2E7591B3-89CE-4341-9E7D-FF9CEF56B47E}"/>
    <cellStyle name="20% - Accent2 2 2 2 4 2 3" xfId="12125" xr:uid="{4799DC2E-7177-4AB8-8366-D6F6A6D7CCC4}"/>
    <cellStyle name="20% - Accent2 2 2 2 4 3" xfId="5756" xr:uid="{00000000-0005-0000-0000-0000B0000000}"/>
    <cellStyle name="20% - Accent2 2 2 2 4 3 2" xfId="14198" xr:uid="{1CCDF530-E887-4FAE-B69F-11BB5B8DDAC1}"/>
    <cellStyle name="20% - Accent2 2 2 2 4 4" xfId="9980" xr:uid="{AE5B5270-36EF-4E33-A866-525C2C4E5318}"/>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4A11BEA5-F7C6-4BFD-BF57-7F0EE602CEF4}"/>
    <cellStyle name="20% - Accent2 2 2 2 5 2 3" xfId="12538" xr:uid="{74EABF5B-3264-4238-AF6D-D8530AEC1885}"/>
    <cellStyle name="20% - Accent2 2 2 2 5 3" xfId="6169" xr:uid="{00000000-0005-0000-0000-0000B4000000}"/>
    <cellStyle name="20% - Accent2 2 2 2 5 3 2" xfId="14611" xr:uid="{C144CA7E-F355-49D6-91B8-4EB50493F576}"/>
    <cellStyle name="20% - Accent2 2 2 2 5 4" xfId="10393" xr:uid="{8C2F1563-306F-4BE9-841B-2B4C3CAC2E56}"/>
    <cellStyle name="20% - Accent2 2 2 2 6" xfId="2275" xr:uid="{00000000-0005-0000-0000-0000B5000000}"/>
    <cellStyle name="20% - Accent2 2 2 2 6 2" xfId="6582" xr:uid="{00000000-0005-0000-0000-0000B6000000}"/>
    <cellStyle name="20% - Accent2 2 2 2 6 2 2" xfId="15024" xr:uid="{DA4220FF-D903-4561-A09E-1687BBDF69B3}"/>
    <cellStyle name="20% - Accent2 2 2 2 6 3" xfId="10806" xr:uid="{88A31321-0BDB-4205-BA85-CAC965563C60}"/>
    <cellStyle name="20% - Accent2 2 2 2 7" xfId="4516" xr:uid="{00000000-0005-0000-0000-0000B7000000}"/>
    <cellStyle name="20% - Accent2 2 2 2 7 2" xfId="12958" xr:uid="{93845D5B-A8CC-4517-B972-0AA32AE9E4DB}"/>
    <cellStyle name="20% - Accent2 2 2 2 8" xfId="8740" xr:uid="{31A58335-D878-44DC-9518-E5FA1A19298A}"/>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B770150E-0D51-4854-964E-5A7C215AC930}"/>
    <cellStyle name="20% - Accent2 2 2 3 2 3" xfId="11298" xr:uid="{A700C085-DEDC-4CD5-8F06-AA966FC34235}"/>
    <cellStyle name="20% - Accent2 2 2 3 3" xfId="4929" xr:uid="{00000000-0005-0000-0000-0000BB000000}"/>
    <cellStyle name="20% - Accent2 2 2 3 3 2" xfId="13371" xr:uid="{01B9C6F1-68D0-4E81-9B5F-8824157DAD8F}"/>
    <cellStyle name="20% - Accent2 2 2 3 4" xfId="9153" xr:uid="{C5D6D153-E94D-442C-BAE4-BDBC6801E86B}"/>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35672CAB-DAB4-4D7F-A94E-ABD2AEBCEC60}"/>
    <cellStyle name="20% - Accent2 2 2 4 2 3" xfId="11711" xr:uid="{E755A946-9C09-4DD5-A2A7-E0F23AD0AD48}"/>
    <cellStyle name="20% - Accent2 2 2 4 3" xfId="5342" xr:uid="{00000000-0005-0000-0000-0000BF000000}"/>
    <cellStyle name="20% - Accent2 2 2 4 3 2" xfId="13784" xr:uid="{0502F890-5A0D-4C01-AB1D-2C0A0F9DAE01}"/>
    <cellStyle name="20% - Accent2 2 2 4 4" xfId="9566" xr:uid="{E4A9A883-6F7D-4258-B86A-C19FF12CEAD5}"/>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7F4C0421-DB1C-47D9-A59B-A82F7BFA66FC}"/>
    <cellStyle name="20% - Accent2 2 2 5 2 3" xfId="12124" xr:uid="{7631C8D2-67E6-4C63-B7D6-7A607A7260FD}"/>
    <cellStyle name="20% - Accent2 2 2 5 3" xfId="5755" xr:uid="{00000000-0005-0000-0000-0000C3000000}"/>
    <cellStyle name="20% - Accent2 2 2 5 3 2" xfId="14197" xr:uid="{7516A00F-0A02-488A-B5FA-0AA683BB722A}"/>
    <cellStyle name="20% - Accent2 2 2 5 4" xfId="9979" xr:uid="{A469CC5D-2C20-4F15-958A-16C6A856FF2B}"/>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7AA71552-F997-4BAD-AD13-38489B008491}"/>
    <cellStyle name="20% - Accent2 2 2 6 2 3" xfId="12537" xr:uid="{45F77923-C6B1-4D5D-AD5F-041C5B596518}"/>
    <cellStyle name="20% - Accent2 2 2 6 3" xfId="6168" xr:uid="{00000000-0005-0000-0000-0000C7000000}"/>
    <cellStyle name="20% - Accent2 2 2 6 3 2" xfId="14610" xr:uid="{1DD6BF36-77DC-4D93-83FA-6E5C7A8F2F17}"/>
    <cellStyle name="20% - Accent2 2 2 6 4" xfId="10392" xr:uid="{5ACDDCE3-20AD-44CF-A860-6A5B72295C19}"/>
    <cellStyle name="20% - Accent2 2 2 7" xfId="2274" xr:uid="{00000000-0005-0000-0000-0000C8000000}"/>
    <cellStyle name="20% - Accent2 2 2 7 2" xfId="6581" xr:uid="{00000000-0005-0000-0000-0000C9000000}"/>
    <cellStyle name="20% - Accent2 2 2 7 2 2" xfId="15023" xr:uid="{F67095F0-0600-4597-8EED-35515064DBA8}"/>
    <cellStyle name="20% - Accent2 2 2 7 3" xfId="10805" xr:uid="{4BF0023F-0FBF-429C-B49E-0E72C683F12D}"/>
    <cellStyle name="20% - Accent2 2 2 8" xfId="4515" xr:uid="{00000000-0005-0000-0000-0000CA000000}"/>
    <cellStyle name="20% - Accent2 2 2 8 2" xfId="12957" xr:uid="{4C3A008D-3050-4778-B148-4CC63A497131}"/>
    <cellStyle name="20% - Accent2 2 2 9" xfId="8739" xr:uid="{DBAA7736-629F-438D-A069-D91977E7B075}"/>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6301F7B9-1F10-4E53-8275-B37A2B028A6B}"/>
    <cellStyle name="20% - Accent2 2 3 2 2 3" xfId="11300" xr:uid="{9CF47B4D-A68B-49E8-8447-9A495E24A5E8}"/>
    <cellStyle name="20% - Accent2 2 3 2 3" xfId="4931" xr:uid="{00000000-0005-0000-0000-0000CF000000}"/>
    <cellStyle name="20% - Accent2 2 3 2 3 2" xfId="13373" xr:uid="{156403EA-E8D1-459C-A70D-DDCCEFDB0BB7}"/>
    <cellStyle name="20% - Accent2 2 3 2 4" xfId="9155" xr:uid="{834DE4E2-8BC7-468C-8F07-6DBAE4089C58}"/>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4A08619B-FAB5-4E03-80BA-2E1A3EC576E4}"/>
    <cellStyle name="20% - Accent2 2 3 3 2 3" xfId="11713" xr:uid="{AE990675-6432-48FB-BE79-A994F33B776A}"/>
    <cellStyle name="20% - Accent2 2 3 3 3" xfId="5344" xr:uid="{00000000-0005-0000-0000-0000D3000000}"/>
    <cellStyle name="20% - Accent2 2 3 3 3 2" xfId="13786" xr:uid="{030B85EB-9B52-4273-9D9B-337463DF2FFF}"/>
    <cellStyle name="20% - Accent2 2 3 3 4" xfId="9568" xr:uid="{D8F96DA5-E841-4FCF-BD67-0E7EFFF42853}"/>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F813111D-1803-43A3-868B-2C384DCCA76F}"/>
    <cellStyle name="20% - Accent2 2 3 4 2 3" xfId="12126" xr:uid="{0944AD92-A452-4528-9633-E4F8AB32CE3F}"/>
    <cellStyle name="20% - Accent2 2 3 4 3" xfId="5757" xr:uid="{00000000-0005-0000-0000-0000D7000000}"/>
    <cellStyle name="20% - Accent2 2 3 4 3 2" xfId="14199" xr:uid="{9F06D96C-22CB-4CFA-BB17-93F517A229E7}"/>
    <cellStyle name="20% - Accent2 2 3 4 4" xfId="9981" xr:uid="{D3193496-0EEE-4B79-98D6-A1AC57F57703}"/>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52AB3E62-F5A4-436C-9D09-9D11401A8B33}"/>
    <cellStyle name="20% - Accent2 2 3 5 2 3" xfId="12539" xr:uid="{7309E1E1-82FC-4C34-AC2D-1AFD2CC0744F}"/>
    <cellStyle name="20% - Accent2 2 3 5 3" xfId="6170" xr:uid="{00000000-0005-0000-0000-0000DB000000}"/>
    <cellStyle name="20% - Accent2 2 3 5 3 2" xfId="14612" xr:uid="{467C31C6-8189-4AF7-AE41-2257FD79A182}"/>
    <cellStyle name="20% - Accent2 2 3 5 4" xfId="10394" xr:uid="{42570E01-2DFF-46AF-A1AD-F4E6C82014FA}"/>
    <cellStyle name="20% - Accent2 2 3 6" xfId="2276" xr:uid="{00000000-0005-0000-0000-0000DC000000}"/>
    <cellStyle name="20% - Accent2 2 3 6 2" xfId="6583" xr:uid="{00000000-0005-0000-0000-0000DD000000}"/>
    <cellStyle name="20% - Accent2 2 3 6 2 2" xfId="15025" xr:uid="{C9805944-43E8-45BA-AE63-845B6CD69CA6}"/>
    <cellStyle name="20% - Accent2 2 3 6 3" xfId="10807" xr:uid="{5CAB715E-48B2-4404-8685-6F01448913EF}"/>
    <cellStyle name="20% - Accent2 2 3 7" xfId="4517" xr:uid="{00000000-0005-0000-0000-0000DE000000}"/>
    <cellStyle name="20% - Accent2 2 3 7 2" xfId="12959" xr:uid="{3735B4F9-5EF1-4236-9711-3A91970B51AE}"/>
    <cellStyle name="20% - Accent2 2 3 8" xfId="8741" xr:uid="{68384F8E-FC8D-4810-AAD7-95E40B43A414}"/>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6AFB5698-9B4B-42BD-94FF-EE29E167FF4C}"/>
    <cellStyle name="20% - Accent2 2 4 2 3" xfId="11297" xr:uid="{7EE0FF12-C4D6-4DC2-A6E0-84A51178604E}"/>
    <cellStyle name="20% - Accent2 2 4 3" xfId="4928" xr:uid="{00000000-0005-0000-0000-0000E2000000}"/>
    <cellStyle name="20% - Accent2 2 4 3 2" xfId="13370" xr:uid="{7EB49728-8C38-42B9-B202-A1B4B9C03F4B}"/>
    <cellStyle name="20% - Accent2 2 4 4" xfId="9152" xr:uid="{84CDA34A-321B-425F-843D-36C6854190FC}"/>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84B2526A-348D-4682-BC1F-4B4950A843DA}"/>
    <cellStyle name="20% - Accent2 2 5 2 3" xfId="11710" xr:uid="{27BFD9AD-C97B-4A97-9E1B-EA966B25B654}"/>
    <cellStyle name="20% - Accent2 2 5 3" xfId="5341" xr:uid="{00000000-0005-0000-0000-0000E6000000}"/>
    <cellStyle name="20% - Accent2 2 5 3 2" xfId="13783" xr:uid="{299B9942-ACA1-434D-9FCC-9D935C7E68CF}"/>
    <cellStyle name="20% - Accent2 2 5 4" xfId="9565" xr:uid="{4178362A-0350-46F7-B9EC-D890BA25B5F0}"/>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7F104B5B-D780-48FB-8E31-C24CC3F8BB56}"/>
    <cellStyle name="20% - Accent2 2 6 2 3" xfId="12123" xr:uid="{DDF7084A-ADAA-4DD3-BDFF-3AC0E02F4A50}"/>
    <cellStyle name="20% - Accent2 2 6 3" xfId="5754" xr:uid="{00000000-0005-0000-0000-0000EA000000}"/>
    <cellStyle name="20% - Accent2 2 6 3 2" xfId="14196" xr:uid="{49B1253B-3EA5-48AD-A231-ECA0620BFD69}"/>
    <cellStyle name="20% - Accent2 2 6 4" xfId="9978" xr:uid="{F8E61323-233E-4631-9041-D198A66AC654}"/>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26632B7F-28B0-4865-B64C-AB1116D8C8B8}"/>
    <cellStyle name="20% - Accent2 2 7 2 3" xfId="12536" xr:uid="{44A9CC05-8BC0-47B1-A784-C7BA18814D3B}"/>
    <cellStyle name="20% - Accent2 2 7 3" xfId="6167" xr:uid="{00000000-0005-0000-0000-0000EE000000}"/>
    <cellStyle name="20% - Accent2 2 7 3 2" xfId="14609" xr:uid="{03864C10-46E1-462D-8FEC-9710E0C235A1}"/>
    <cellStyle name="20% - Accent2 2 7 4" xfId="10391" xr:uid="{6BB70CA1-B4CC-4CFB-B386-3F54E36ACEB8}"/>
    <cellStyle name="20% - Accent2 2 8" xfId="2273" xr:uid="{00000000-0005-0000-0000-0000EF000000}"/>
    <cellStyle name="20% - Accent2 2 8 2" xfId="6580" xr:uid="{00000000-0005-0000-0000-0000F0000000}"/>
    <cellStyle name="20% - Accent2 2 8 2 2" xfId="15022" xr:uid="{63B6F5F8-B7A3-46F2-9F0E-667136518734}"/>
    <cellStyle name="20% - Accent2 2 8 3" xfId="10804" xr:uid="{FE2CC7A1-2BD1-4AD3-BBC5-302B51C48C4B}"/>
    <cellStyle name="20% - Accent2 2 9" xfId="4514" xr:uid="{00000000-0005-0000-0000-0000F1000000}"/>
    <cellStyle name="20% - Accent2 2 9 2" xfId="12956" xr:uid="{B38B37FA-6C4B-466B-BB4A-FEDAC79491BE}"/>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CC683B9C-01E6-4720-A801-E6AF69DE98B7}"/>
    <cellStyle name="20% - Accent2 3 2 2 2 3" xfId="11302" xr:uid="{74521D43-9ABA-4875-8411-9E649F514855}"/>
    <cellStyle name="20% - Accent2 3 2 2 3" xfId="4933" xr:uid="{00000000-0005-0000-0000-0000F7000000}"/>
    <cellStyle name="20% - Accent2 3 2 2 3 2" xfId="13375" xr:uid="{437EFB10-987B-4386-A8DD-CC43C170AAED}"/>
    <cellStyle name="20% - Accent2 3 2 2 4" xfId="9157" xr:uid="{5EA671DD-99A2-4A3D-9ED5-35ABA9E109FB}"/>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869DAC57-4621-40FD-9B81-F9A87F9B2AD5}"/>
    <cellStyle name="20% - Accent2 3 2 3 2 3" xfId="11715" xr:uid="{DEFBA1B7-A7EC-4CAC-8ED0-85B3880B7839}"/>
    <cellStyle name="20% - Accent2 3 2 3 3" xfId="5346" xr:uid="{00000000-0005-0000-0000-0000FB000000}"/>
    <cellStyle name="20% - Accent2 3 2 3 3 2" xfId="13788" xr:uid="{31CF9195-8461-4993-ADE0-1DF3BA4A15C8}"/>
    <cellStyle name="20% - Accent2 3 2 3 4" xfId="9570" xr:uid="{FE5EBDFC-EA93-42AF-84B8-571C82FA6E07}"/>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4B07875C-A84F-4782-BC4B-840E6F55EF77}"/>
    <cellStyle name="20% - Accent2 3 2 4 2 3" xfId="12128" xr:uid="{7A5B552B-C715-403F-B813-0E5215ECE5BB}"/>
    <cellStyle name="20% - Accent2 3 2 4 3" xfId="5759" xr:uid="{00000000-0005-0000-0000-0000FF000000}"/>
    <cellStyle name="20% - Accent2 3 2 4 3 2" xfId="14201" xr:uid="{E7BBC577-D1BE-418E-B3B3-BAD21223DF71}"/>
    <cellStyle name="20% - Accent2 3 2 4 4" xfId="9983" xr:uid="{54ED9018-6D0D-4231-BC2E-A4BD52A48235}"/>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465AB72D-18B9-43AA-9FBB-D80E6FCE8FDB}"/>
    <cellStyle name="20% - Accent2 3 2 5 2 3" xfId="12541" xr:uid="{1F0A762F-1DD8-4BEE-ABBF-4BCB988923AE}"/>
    <cellStyle name="20% - Accent2 3 2 5 3" xfId="6172" xr:uid="{00000000-0005-0000-0000-000003010000}"/>
    <cellStyle name="20% - Accent2 3 2 5 3 2" xfId="14614" xr:uid="{7E16782F-EEBA-451C-B3AA-95B65C1DF23B}"/>
    <cellStyle name="20% - Accent2 3 2 5 4" xfId="10396" xr:uid="{EB757D88-1DB1-4DE6-8F31-5DD352FBA11A}"/>
    <cellStyle name="20% - Accent2 3 2 6" xfId="2278" xr:uid="{00000000-0005-0000-0000-000004010000}"/>
    <cellStyle name="20% - Accent2 3 2 6 2" xfId="6585" xr:uid="{00000000-0005-0000-0000-000005010000}"/>
    <cellStyle name="20% - Accent2 3 2 6 2 2" xfId="15027" xr:uid="{E1978DF7-7001-490B-AFED-97E14D2CCDBA}"/>
    <cellStyle name="20% - Accent2 3 2 6 3" xfId="10809" xr:uid="{A9BAF2EF-304F-41EE-A0EE-8F1638113B1A}"/>
    <cellStyle name="20% - Accent2 3 2 7" xfId="4519" xr:uid="{00000000-0005-0000-0000-000006010000}"/>
    <cellStyle name="20% - Accent2 3 2 7 2" xfId="12961" xr:uid="{B65C561F-A29A-4143-B30A-C2635623BCAE}"/>
    <cellStyle name="20% - Accent2 3 2 8" xfId="8743" xr:uid="{DDCCCA5E-63F6-4119-B67F-A898D01C0315}"/>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087DE7FE-213A-477D-9638-8B0348298EBB}"/>
    <cellStyle name="20% - Accent2 3 3 2 3" xfId="11301" xr:uid="{7F11F946-0FF2-4EA5-9DAC-C85F3AE444BC}"/>
    <cellStyle name="20% - Accent2 3 3 3" xfId="4932" xr:uid="{00000000-0005-0000-0000-00000A010000}"/>
    <cellStyle name="20% - Accent2 3 3 3 2" xfId="13374" xr:uid="{388BB201-3B77-4043-B463-D2968B60B765}"/>
    <cellStyle name="20% - Accent2 3 3 4" xfId="9156" xr:uid="{B05D18C5-958D-4836-93CA-8BEE33FC0DF8}"/>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8B809282-F016-4A47-B818-4C6271222D74}"/>
    <cellStyle name="20% - Accent2 3 4 2 3" xfId="11714" xr:uid="{7A0A2DC1-279B-448F-9BE3-11B94F7022F1}"/>
    <cellStyle name="20% - Accent2 3 4 3" xfId="5345" xr:uid="{00000000-0005-0000-0000-00000E010000}"/>
    <cellStyle name="20% - Accent2 3 4 3 2" xfId="13787" xr:uid="{A4469B10-D77B-4492-A44B-6778A9C0B6FF}"/>
    <cellStyle name="20% - Accent2 3 4 4" xfId="9569" xr:uid="{FC53B83F-A85D-4D44-8336-0F4B96BA27B4}"/>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3B176114-6D5E-4A06-8926-CC1270108E84}"/>
    <cellStyle name="20% - Accent2 3 5 2 3" xfId="12127" xr:uid="{D4B3E137-0EB3-47FB-8DF5-7755059233A1}"/>
    <cellStyle name="20% - Accent2 3 5 3" xfId="5758" xr:uid="{00000000-0005-0000-0000-000012010000}"/>
    <cellStyle name="20% - Accent2 3 5 3 2" xfId="14200" xr:uid="{F46738C4-1B6E-4AC7-8ADB-1DCC6406E3AA}"/>
    <cellStyle name="20% - Accent2 3 5 4" xfId="9982" xr:uid="{172A91CA-0F5A-4153-8839-05B879F47DFA}"/>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43081D79-EF7E-476C-9D41-3A199DC956DF}"/>
    <cellStyle name="20% - Accent2 3 6 2 3" xfId="12540" xr:uid="{3E751BBA-1707-43D4-92C2-DB5B25F73CA3}"/>
    <cellStyle name="20% - Accent2 3 6 3" xfId="6171" xr:uid="{00000000-0005-0000-0000-000016010000}"/>
    <cellStyle name="20% - Accent2 3 6 3 2" xfId="14613" xr:uid="{DA7C84DE-073E-4A42-8CC8-EF0DAC1E6112}"/>
    <cellStyle name="20% - Accent2 3 6 4" xfId="10395" xr:uid="{9592BCE7-2A9C-4D3C-A668-37D95D8C5D17}"/>
    <cellStyle name="20% - Accent2 3 7" xfId="2277" xr:uid="{00000000-0005-0000-0000-000017010000}"/>
    <cellStyle name="20% - Accent2 3 7 2" xfId="6584" xr:uid="{00000000-0005-0000-0000-000018010000}"/>
    <cellStyle name="20% - Accent2 3 7 2 2" xfId="15026" xr:uid="{AA90BBED-4335-41A0-8C7E-8D4ABE1DFED8}"/>
    <cellStyle name="20% - Accent2 3 7 3" xfId="10808" xr:uid="{0CA682CB-A7BC-469A-88EC-6F9144F3333F}"/>
    <cellStyle name="20% - Accent2 3 8" xfId="4518" xr:uid="{00000000-0005-0000-0000-000019010000}"/>
    <cellStyle name="20% - Accent2 3 8 2" xfId="12960" xr:uid="{84E0E7EA-EAE7-4FC2-A832-8616CF62C37B}"/>
    <cellStyle name="20% - Accent2 3 9" xfId="8742" xr:uid="{29AE0967-CF87-4A93-875E-72420D7F6462}"/>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3AAA9321-045F-4BDE-838C-E2DD7F5A593A}"/>
    <cellStyle name="20% - Accent2 4 2 2 3" xfId="11303" xr:uid="{8A8E698A-51B8-464C-8317-1222BD3AD231}"/>
    <cellStyle name="20% - Accent2 4 2 3" xfId="4934" xr:uid="{00000000-0005-0000-0000-00001E010000}"/>
    <cellStyle name="20% - Accent2 4 2 3 2" xfId="13376" xr:uid="{7AF7CBE5-0AD5-4D78-919E-006592D48C89}"/>
    <cellStyle name="20% - Accent2 4 2 4" xfId="9158" xr:uid="{7A5B8090-89C6-42D2-89A3-D092E3AD0280}"/>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7B14A7A2-1439-43C9-8734-2212B0188C56}"/>
    <cellStyle name="20% - Accent2 4 3 2 3" xfId="11716" xr:uid="{AA4C83E5-0AA6-4586-961E-21A8F0735BD2}"/>
    <cellStyle name="20% - Accent2 4 3 3" xfId="5347" xr:uid="{00000000-0005-0000-0000-000022010000}"/>
    <cellStyle name="20% - Accent2 4 3 3 2" xfId="13789" xr:uid="{2EB21547-CE5D-4235-945F-0C8E4787BBEA}"/>
    <cellStyle name="20% - Accent2 4 3 4" xfId="9571" xr:uid="{179D63AE-6D68-439F-8763-3A81391A7AF9}"/>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FFE15EEA-1424-4FC7-BEBE-13AE0C16C7A2}"/>
    <cellStyle name="20% - Accent2 4 4 2 3" xfId="12129" xr:uid="{87AC25BB-1FD2-4EED-8E46-50D65C4DBAF3}"/>
    <cellStyle name="20% - Accent2 4 4 3" xfId="5760" xr:uid="{00000000-0005-0000-0000-000026010000}"/>
    <cellStyle name="20% - Accent2 4 4 3 2" xfId="14202" xr:uid="{3BF6C2AE-DFBD-425B-AA46-79231859FA36}"/>
    <cellStyle name="20% - Accent2 4 4 4" xfId="9984" xr:uid="{84828ADB-D46A-44C5-8D31-DAA0ABA5A1DC}"/>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CC2DF17A-7ABA-4B22-A218-27120C62653B}"/>
    <cellStyle name="20% - Accent2 4 5 2 3" xfId="12542" xr:uid="{468B27EE-F9F9-4B9D-BA95-C9D2176BF017}"/>
    <cellStyle name="20% - Accent2 4 5 3" xfId="6173" xr:uid="{00000000-0005-0000-0000-00002A010000}"/>
    <cellStyle name="20% - Accent2 4 5 3 2" xfId="14615" xr:uid="{34776408-B3C8-4AED-8A29-B167168C0F20}"/>
    <cellStyle name="20% - Accent2 4 5 4" xfId="10397" xr:uid="{853568B3-53D6-4A3B-B737-1FE7552DBE9A}"/>
    <cellStyle name="20% - Accent2 4 6" xfId="2279" xr:uid="{00000000-0005-0000-0000-00002B010000}"/>
    <cellStyle name="20% - Accent2 4 6 2" xfId="6586" xr:uid="{00000000-0005-0000-0000-00002C010000}"/>
    <cellStyle name="20% - Accent2 4 6 2 2" xfId="15028" xr:uid="{FB9396E5-9DEA-47FE-AC8E-1C3BA3F2502B}"/>
    <cellStyle name="20% - Accent2 4 6 3" xfId="10810" xr:uid="{3D9356F6-C70F-4D6A-9BB6-02C8B5CA931D}"/>
    <cellStyle name="20% - Accent2 4 7" xfId="4520" xr:uid="{00000000-0005-0000-0000-00002D010000}"/>
    <cellStyle name="20% - Accent2 4 7 2" xfId="12962" xr:uid="{EC1B3959-78AA-4A42-857D-161BAA3FA700}"/>
    <cellStyle name="20% - Accent2 4 8" xfId="8744" xr:uid="{9106B8DA-7A8E-44CE-9EBE-83E8B1B52D98}"/>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B8775C46-1FF9-4C86-9A13-CA4456F39693}"/>
    <cellStyle name="20% - Accent2 5 2 3" xfId="11296" xr:uid="{CC2C664C-B488-4F87-A301-B3F7C8C56430}"/>
    <cellStyle name="20% - Accent2 5 3" xfId="4927" xr:uid="{00000000-0005-0000-0000-000031010000}"/>
    <cellStyle name="20% - Accent2 5 3 2" xfId="13369" xr:uid="{F1D6A659-BE2A-45EB-B0CC-114FD6126D36}"/>
    <cellStyle name="20% - Accent2 5 4" xfId="9151" xr:uid="{76EA93F4-8B86-4302-BCA4-683B7C668A12}"/>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D95537D0-560E-40B1-B6C0-3507D4810DE9}"/>
    <cellStyle name="20% - Accent2 6 2 3" xfId="11709" xr:uid="{08E8A4F1-B4C8-4E7E-ADF5-E570D4493618}"/>
    <cellStyle name="20% - Accent2 6 3" xfId="5340" xr:uid="{00000000-0005-0000-0000-000035010000}"/>
    <cellStyle name="20% - Accent2 6 3 2" xfId="13782" xr:uid="{456F6838-1188-4FEC-BFA8-1DAC73B180F5}"/>
    <cellStyle name="20% - Accent2 6 4" xfId="9564" xr:uid="{86241C68-CC74-4499-9100-D7C86E5D948F}"/>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865E4E9D-0C62-450C-B0B0-C3468D7452C6}"/>
    <cellStyle name="20% - Accent2 7 2 3" xfId="12122" xr:uid="{AE7B7865-FA19-4C42-88D2-B8466FB20B30}"/>
    <cellStyle name="20% - Accent2 7 3" xfId="5753" xr:uid="{00000000-0005-0000-0000-000039010000}"/>
    <cellStyle name="20% - Accent2 7 3 2" xfId="14195" xr:uid="{04ABEE62-7523-4D89-AB9B-E337100224E4}"/>
    <cellStyle name="20% - Accent2 7 4" xfId="9977" xr:uid="{D3982C29-8509-450F-8C0F-80BB5DE65E80}"/>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9D2F2C96-359C-4F1D-96F7-50E8A76C6276}"/>
    <cellStyle name="20% - Accent2 8 2 3" xfId="12535" xr:uid="{E1DC54BB-8E0E-4B0B-B0CD-4388984EC47B}"/>
    <cellStyle name="20% - Accent2 8 3" xfId="6166" xr:uid="{00000000-0005-0000-0000-00003D010000}"/>
    <cellStyle name="20% - Accent2 8 3 2" xfId="14608" xr:uid="{E53B4DB5-3CE4-4034-BEB0-94D95991CEC1}"/>
    <cellStyle name="20% - Accent2 8 4" xfId="10390" xr:uid="{32AC340C-C2D8-40B7-A112-A31AE8018B78}"/>
    <cellStyle name="20% - Accent2 9" xfId="2272" xr:uid="{00000000-0005-0000-0000-00003E010000}"/>
    <cellStyle name="20% - Accent2 9 2" xfId="6579" xr:uid="{00000000-0005-0000-0000-00003F010000}"/>
    <cellStyle name="20% - Accent2 9 2 2" xfId="15021" xr:uid="{A3787425-B5F1-4721-9C75-AE6765BF3A72}"/>
    <cellStyle name="20% - Accent2 9 3" xfId="10803" xr:uid="{6F28185D-7771-46BE-9F79-10E6B9B59845}"/>
    <cellStyle name="20% - Accent3" xfId="17" builtinId="38" customBuiltin="1"/>
    <cellStyle name="20% - Accent3 10" xfId="4521" xr:uid="{00000000-0005-0000-0000-000041010000}"/>
    <cellStyle name="20% - Accent3 10 2" xfId="12963" xr:uid="{313B69F0-C946-4571-8550-EF1A6E917794}"/>
    <cellStyle name="20% - Accent3 11" xfId="8745" xr:uid="{00D58AC4-84EA-4574-8C5F-41B9A98DE1C2}"/>
    <cellStyle name="20% - Accent3 2" xfId="18" xr:uid="{00000000-0005-0000-0000-000042010000}"/>
    <cellStyle name="20% - Accent3 2 10" xfId="8746" xr:uid="{407B39DD-AD9C-43AA-8B66-87AED1694577}"/>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CD450C08-4836-455E-8930-0CF5A7B1D878}"/>
    <cellStyle name="20% - Accent3 2 2 2 2 2 3" xfId="11307" xr:uid="{E3BD43CF-9F10-4D61-8CAE-63433EF8A11C}"/>
    <cellStyle name="20% - Accent3 2 2 2 2 3" xfId="4938" xr:uid="{00000000-0005-0000-0000-000048010000}"/>
    <cellStyle name="20% - Accent3 2 2 2 2 3 2" xfId="13380" xr:uid="{64E451BF-26D1-4CDF-B963-98A263F5F976}"/>
    <cellStyle name="20% - Accent3 2 2 2 2 4" xfId="9162" xr:uid="{1FE88BE7-C188-4B01-AE8A-62E539EEE5CA}"/>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E5E13A9C-7493-43DA-A74D-D9289669277C}"/>
    <cellStyle name="20% - Accent3 2 2 2 3 2 3" xfId="11720" xr:uid="{545E8BCF-4F2E-4D8E-A4F9-DC594964BAC3}"/>
    <cellStyle name="20% - Accent3 2 2 2 3 3" xfId="5351" xr:uid="{00000000-0005-0000-0000-00004C010000}"/>
    <cellStyle name="20% - Accent3 2 2 2 3 3 2" xfId="13793" xr:uid="{56B0C9AF-2705-45EF-878B-BED3997A5123}"/>
    <cellStyle name="20% - Accent3 2 2 2 3 4" xfId="9575" xr:uid="{BCECF80F-A4EA-4D61-9354-BF3A4D75E7A7}"/>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9FD158F2-406F-4CB7-98E3-F754AAF1CE9A}"/>
    <cellStyle name="20% - Accent3 2 2 2 4 2 3" xfId="12133" xr:uid="{767F036B-C629-4EE7-BE59-7C62AC8FB077}"/>
    <cellStyle name="20% - Accent3 2 2 2 4 3" xfId="5764" xr:uid="{00000000-0005-0000-0000-000050010000}"/>
    <cellStyle name="20% - Accent3 2 2 2 4 3 2" xfId="14206" xr:uid="{AC86BCBE-75C6-4D61-B408-310D5D06FC92}"/>
    <cellStyle name="20% - Accent3 2 2 2 4 4" xfId="9988" xr:uid="{A869F7A2-8B1F-4D0A-876D-074D526733E4}"/>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EADC7820-4A12-43D1-9F5D-CAD3EA599BF7}"/>
    <cellStyle name="20% - Accent3 2 2 2 5 2 3" xfId="12546" xr:uid="{39CBBD92-251F-4A7D-BEF6-847F9C5BE480}"/>
    <cellStyle name="20% - Accent3 2 2 2 5 3" xfId="6177" xr:uid="{00000000-0005-0000-0000-000054010000}"/>
    <cellStyle name="20% - Accent3 2 2 2 5 3 2" xfId="14619" xr:uid="{64EB29EA-B638-40CE-B25E-CE1B402BF2C2}"/>
    <cellStyle name="20% - Accent3 2 2 2 5 4" xfId="10401" xr:uid="{9E4625E5-1C18-41DD-901B-E2B73E81DE18}"/>
    <cellStyle name="20% - Accent3 2 2 2 6" xfId="2283" xr:uid="{00000000-0005-0000-0000-000055010000}"/>
    <cellStyle name="20% - Accent3 2 2 2 6 2" xfId="6590" xr:uid="{00000000-0005-0000-0000-000056010000}"/>
    <cellStyle name="20% - Accent3 2 2 2 6 2 2" xfId="15032" xr:uid="{04FDD7FB-13AC-448D-B101-D5BA1B420AD7}"/>
    <cellStyle name="20% - Accent3 2 2 2 6 3" xfId="10814" xr:uid="{0581CE10-A3AD-4570-9E3D-3294DF4C855B}"/>
    <cellStyle name="20% - Accent3 2 2 2 7" xfId="4524" xr:uid="{00000000-0005-0000-0000-000057010000}"/>
    <cellStyle name="20% - Accent3 2 2 2 7 2" xfId="12966" xr:uid="{0B0D3DBF-B9FA-4B8D-9C43-AB69FD349BEC}"/>
    <cellStyle name="20% - Accent3 2 2 2 8" xfId="8748" xr:uid="{B13D4766-FF5A-40DA-9F9E-5EF7FC7E74F8}"/>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DAC3DBBA-9130-40D3-A9CB-FF816FA6E310}"/>
    <cellStyle name="20% - Accent3 2 2 3 2 3" xfId="11306" xr:uid="{127240CC-2188-4887-BDF1-57445D5F0E4C}"/>
    <cellStyle name="20% - Accent3 2 2 3 3" xfId="4937" xr:uid="{00000000-0005-0000-0000-00005B010000}"/>
    <cellStyle name="20% - Accent3 2 2 3 3 2" xfId="13379" xr:uid="{B28DED5D-446D-45F8-A744-310D17BDE8E7}"/>
    <cellStyle name="20% - Accent3 2 2 3 4" xfId="9161" xr:uid="{54AF766D-FC36-4ECF-91AF-9A7A2DBB12FE}"/>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0589CF6B-87A2-447A-A482-FE3A38F7DE0F}"/>
    <cellStyle name="20% - Accent3 2 2 4 2 3" xfId="11719" xr:uid="{E64B1C44-46E0-4DA4-A5A0-DCE6B89A9E2B}"/>
    <cellStyle name="20% - Accent3 2 2 4 3" xfId="5350" xr:uid="{00000000-0005-0000-0000-00005F010000}"/>
    <cellStyle name="20% - Accent3 2 2 4 3 2" xfId="13792" xr:uid="{4C7E0208-D634-4594-A684-B9FF30F602D8}"/>
    <cellStyle name="20% - Accent3 2 2 4 4" xfId="9574" xr:uid="{DE83CC9B-2D06-439E-9083-9DF3E145D4A1}"/>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C199642F-327E-4636-8EE7-4A725282B0FF}"/>
    <cellStyle name="20% - Accent3 2 2 5 2 3" xfId="12132" xr:uid="{FE7B56EB-BB7F-4415-912A-170EC494E6AA}"/>
    <cellStyle name="20% - Accent3 2 2 5 3" xfId="5763" xr:uid="{00000000-0005-0000-0000-000063010000}"/>
    <cellStyle name="20% - Accent3 2 2 5 3 2" xfId="14205" xr:uid="{9B7172AC-82E7-4B8A-8EB9-83F12491D382}"/>
    <cellStyle name="20% - Accent3 2 2 5 4" xfId="9987" xr:uid="{F29073A0-788D-4A4F-B1A0-F09B7C8BAAB8}"/>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C95F9F80-C12B-4D0C-AC02-9125A1C8224A}"/>
    <cellStyle name="20% - Accent3 2 2 6 2 3" xfId="12545" xr:uid="{50FB0537-EE45-4E40-834A-B94BA3910860}"/>
    <cellStyle name="20% - Accent3 2 2 6 3" xfId="6176" xr:uid="{00000000-0005-0000-0000-000067010000}"/>
    <cellStyle name="20% - Accent3 2 2 6 3 2" xfId="14618" xr:uid="{BEF4856C-A8F2-43A1-BB6B-13C0C082F6BF}"/>
    <cellStyle name="20% - Accent3 2 2 6 4" xfId="10400" xr:uid="{27EA3195-04DB-4C24-B5A2-9062E55E542E}"/>
    <cellStyle name="20% - Accent3 2 2 7" xfId="2282" xr:uid="{00000000-0005-0000-0000-000068010000}"/>
    <cellStyle name="20% - Accent3 2 2 7 2" xfId="6589" xr:uid="{00000000-0005-0000-0000-000069010000}"/>
    <cellStyle name="20% - Accent3 2 2 7 2 2" xfId="15031" xr:uid="{2B8914AC-8BD8-43A2-912A-9FE0DFFB48B3}"/>
    <cellStyle name="20% - Accent3 2 2 7 3" xfId="10813" xr:uid="{6E87B89B-D581-4D1D-A41D-EB750EB58070}"/>
    <cellStyle name="20% - Accent3 2 2 8" xfId="4523" xr:uid="{00000000-0005-0000-0000-00006A010000}"/>
    <cellStyle name="20% - Accent3 2 2 8 2" xfId="12965" xr:uid="{14FEFF27-DF58-4160-932A-49E909FDB63A}"/>
    <cellStyle name="20% - Accent3 2 2 9" xfId="8747" xr:uid="{F79DFB37-058E-4305-A801-0CFD1F93B8B7}"/>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378CBC46-8F9E-4A4D-8DA9-EF415F7AF1C1}"/>
    <cellStyle name="20% - Accent3 2 3 2 2 3" xfId="11308" xr:uid="{ED3E08F8-4F57-4D0A-9D7C-3C55F839EAB6}"/>
    <cellStyle name="20% - Accent3 2 3 2 3" xfId="4939" xr:uid="{00000000-0005-0000-0000-00006F010000}"/>
    <cellStyle name="20% - Accent3 2 3 2 3 2" xfId="13381" xr:uid="{7D4EB386-D967-4457-8051-E76693500121}"/>
    <cellStyle name="20% - Accent3 2 3 2 4" xfId="9163" xr:uid="{BB70F73B-CDF2-4E81-8D17-D91F4201ABAB}"/>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51129299-465E-4B30-8107-868BD0974AFE}"/>
    <cellStyle name="20% - Accent3 2 3 3 2 3" xfId="11721" xr:uid="{5DB75BE7-A698-4820-95C2-CC323892E52C}"/>
    <cellStyle name="20% - Accent3 2 3 3 3" xfId="5352" xr:uid="{00000000-0005-0000-0000-000073010000}"/>
    <cellStyle name="20% - Accent3 2 3 3 3 2" xfId="13794" xr:uid="{E8B4FE1B-D2C8-4586-8B90-A5040C012755}"/>
    <cellStyle name="20% - Accent3 2 3 3 4" xfId="9576" xr:uid="{2F95132D-ABAC-4FB0-B754-E8DD0888A252}"/>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EBAD5907-BAD9-4467-8618-BA450941D678}"/>
    <cellStyle name="20% - Accent3 2 3 4 2 3" xfId="12134" xr:uid="{D113CA3D-4C59-406B-BB1B-52C83C37C5CC}"/>
    <cellStyle name="20% - Accent3 2 3 4 3" xfId="5765" xr:uid="{00000000-0005-0000-0000-000077010000}"/>
    <cellStyle name="20% - Accent3 2 3 4 3 2" xfId="14207" xr:uid="{3CDF1884-4E08-4846-B92C-D98BB068142D}"/>
    <cellStyle name="20% - Accent3 2 3 4 4" xfId="9989" xr:uid="{B6100740-88B1-4AB2-BE73-54A4D6474E7C}"/>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585E8812-BC0B-4F5C-BB2B-5612B8922DD4}"/>
    <cellStyle name="20% - Accent3 2 3 5 2 3" xfId="12547" xr:uid="{4F80982E-F4FD-4A8E-9336-BE5C1F120873}"/>
    <cellStyle name="20% - Accent3 2 3 5 3" xfId="6178" xr:uid="{00000000-0005-0000-0000-00007B010000}"/>
    <cellStyle name="20% - Accent3 2 3 5 3 2" xfId="14620" xr:uid="{5051C65E-90D3-4970-AE2A-C8F4B54C8311}"/>
    <cellStyle name="20% - Accent3 2 3 5 4" xfId="10402" xr:uid="{AB3B01F5-3999-4ACD-9397-D3828B3213EB}"/>
    <cellStyle name="20% - Accent3 2 3 6" xfId="2284" xr:uid="{00000000-0005-0000-0000-00007C010000}"/>
    <cellStyle name="20% - Accent3 2 3 6 2" xfId="6591" xr:uid="{00000000-0005-0000-0000-00007D010000}"/>
    <cellStyle name="20% - Accent3 2 3 6 2 2" xfId="15033" xr:uid="{5EEC9524-7DE1-4E42-8D3B-F4727E4A5302}"/>
    <cellStyle name="20% - Accent3 2 3 6 3" xfId="10815" xr:uid="{01937B8D-23E7-4A94-840D-7754D1F7345A}"/>
    <cellStyle name="20% - Accent3 2 3 7" xfId="4525" xr:uid="{00000000-0005-0000-0000-00007E010000}"/>
    <cellStyle name="20% - Accent3 2 3 7 2" xfId="12967" xr:uid="{2205F643-BFAB-47E4-AA44-6F5976BAF584}"/>
    <cellStyle name="20% - Accent3 2 3 8" xfId="8749" xr:uid="{E1A7C5E7-F6DC-4FB6-8580-993B60575477}"/>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88AB71FA-F460-4AC3-8C1E-83C1F3F2F4B2}"/>
    <cellStyle name="20% - Accent3 2 4 2 3" xfId="11305" xr:uid="{6C49264E-6FFF-4136-A2B5-37D01ADD9466}"/>
    <cellStyle name="20% - Accent3 2 4 3" xfId="4936" xr:uid="{00000000-0005-0000-0000-000082010000}"/>
    <cellStyle name="20% - Accent3 2 4 3 2" xfId="13378" xr:uid="{E6C4EB09-D2FF-46A5-BD8F-C3286DF6F95B}"/>
    <cellStyle name="20% - Accent3 2 4 4" xfId="9160" xr:uid="{968CAAFD-A0C5-47FF-8CBC-1EBFA5AFF587}"/>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AA98531D-CF1F-47A9-B7CC-0A8A76F1B049}"/>
    <cellStyle name="20% - Accent3 2 5 2 3" xfId="11718" xr:uid="{ED4BA594-8C8B-4841-BE4A-9E10339295DA}"/>
    <cellStyle name="20% - Accent3 2 5 3" xfId="5349" xr:uid="{00000000-0005-0000-0000-000086010000}"/>
    <cellStyle name="20% - Accent3 2 5 3 2" xfId="13791" xr:uid="{69DA5A36-A58C-456C-A11C-1411E6736FD2}"/>
    <cellStyle name="20% - Accent3 2 5 4" xfId="9573" xr:uid="{03CEFC56-DD8A-4498-B989-E27AE53473E3}"/>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D1804346-0E80-4D42-9BA5-D001A5167D7E}"/>
    <cellStyle name="20% - Accent3 2 6 2 3" xfId="12131" xr:uid="{585F16FB-B2FB-46D3-9E49-9747BCAA4EAB}"/>
    <cellStyle name="20% - Accent3 2 6 3" xfId="5762" xr:uid="{00000000-0005-0000-0000-00008A010000}"/>
    <cellStyle name="20% - Accent3 2 6 3 2" xfId="14204" xr:uid="{13DCC261-091E-42F6-A422-3705BF498969}"/>
    <cellStyle name="20% - Accent3 2 6 4" xfId="9986" xr:uid="{8A7103D3-286A-452F-AC6A-C3A4C41B175A}"/>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2F3BFC27-0337-45E2-8A70-15929F13FD49}"/>
    <cellStyle name="20% - Accent3 2 7 2 3" xfId="12544" xr:uid="{F0006BF7-CA3F-48E6-8E34-9B55D86B1BA8}"/>
    <cellStyle name="20% - Accent3 2 7 3" xfId="6175" xr:uid="{00000000-0005-0000-0000-00008E010000}"/>
    <cellStyle name="20% - Accent3 2 7 3 2" xfId="14617" xr:uid="{C5748573-5830-4DDD-9397-2863356EBA6E}"/>
    <cellStyle name="20% - Accent3 2 7 4" xfId="10399" xr:uid="{1C364005-4DFA-42FF-8015-CFE4CCFBE43B}"/>
    <cellStyle name="20% - Accent3 2 8" xfId="2281" xr:uid="{00000000-0005-0000-0000-00008F010000}"/>
    <cellStyle name="20% - Accent3 2 8 2" xfId="6588" xr:uid="{00000000-0005-0000-0000-000090010000}"/>
    <cellStyle name="20% - Accent3 2 8 2 2" xfId="15030" xr:uid="{94E64E60-D830-40BC-9918-9A4134B55BE0}"/>
    <cellStyle name="20% - Accent3 2 8 3" xfId="10812" xr:uid="{E06896F0-3484-4E4B-B0B2-F11FC745204F}"/>
    <cellStyle name="20% - Accent3 2 9" xfId="4522" xr:uid="{00000000-0005-0000-0000-000091010000}"/>
    <cellStyle name="20% - Accent3 2 9 2" xfId="12964" xr:uid="{1AA3031B-2BE5-4930-9702-20D95F977732}"/>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DE5A8EB3-9F04-449A-BBE6-A2BEF34C32CD}"/>
    <cellStyle name="20% - Accent3 3 2 2 2 3" xfId="11310" xr:uid="{D2FED72D-F26E-4937-A5B3-B767FA779FF0}"/>
    <cellStyle name="20% - Accent3 3 2 2 3" xfId="4941" xr:uid="{00000000-0005-0000-0000-000097010000}"/>
    <cellStyle name="20% - Accent3 3 2 2 3 2" xfId="13383" xr:uid="{2409F85E-2B26-4275-BB54-505A50EAE6D0}"/>
    <cellStyle name="20% - Accent3 3 2 2 4" xfId="9165" xr:uid="{5DB647B3-B464-4F87-B907-0746ECAE597D}"/>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17FEEA18-2527-492C-8D80-4E3E28F4C92E}"/>
    <cellStyle name="20% - Accent3 3 2 3 2 3" xfId="11723" xr:uid="{19987BF8-2ED2-40B5-A684-A9BDA84E65E9}"/>
    <cellStyle name="20% - Accent3 3 2 3 3" xfId="5354" xr:uid="{00000000-0005-0000-0000-00009B010000}"/>
    <cellStyle name="20% - Accent3 3 2 3 3 2" xfId="13796" xr:uid="{0DFABEBE-3247-4F45-AE4B-3C353516070F}"/>
    <cellStyle name="20% - Accent3 3 2 3 4" xfId="9578" xr:uid="{56F4C68A-93A2-48C7-91AC-E710A1E64337}"/>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874D2562-D12D-4447-BBA3-DF94EDE92163}"/>
    <cellStyle name="20% - Accent3 3 2 4 2 3" xfId="12136" xr:uid="{C7E6DB51-6069-4D66-B512-7E07CD0FB731}"/>
    <cellStyle name="20% - Accent3 3 2 4 3" xfId="5767" xr:uid="{00000000-0005-0000-0000-00009F010000}"/>
    <cellStyle name="20% - Accent3 3 2 4 3 2" xfId="14209" xr:uid="{87B3AA6D-F072-4BF1-A1AB-68954CD5B0C5}"/>
    <cellStyle name="20% - Accent3 3 2 4 4" xfId="9991" xr:uid="{CD3E43C1-6C35-4283-9B89-9AD5E363AF8C}"/>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3BED1EBA-7D59-4A49-8CA9-B79182A77F62}"/>
    <cellStyle name="20% - Accent3 3 2 5 2 3" xfId="12549" xr:uid="{5BD2D8B1-285A-46F6-83A0-A34EC733D987}"/>
    <cellStyle name="20% - Accent3 3 2 5 3" xfId="6180" xr:uid="{00000000-0005-0000-0000-0000A3010000}"/>
    <cellStyle name="20% - Accent3 3 2 5 3 2" xfId="14622" xr:uid="{BCEB960B-DE50-4586-B787-83E63D43E925}"/>
    <cellStyle name="20% - Accent3 3 2 5 4" xfId="10404" xr:uid="{2671251D-2F79-4829-B94B-4EEF6551D23C}"/>
    <cellStyle name="20% - Accent3 3 2 6" xfId="2286" xr:uid="{00000000-0005-0000-0000-0000A4010000}"/>
    <cellStyle name="20% - Accent3 3 2 6 2" xfId="6593" xr:uid="{00000000-0005-0000-0000-0000A5010000}"/>
    <cellStyle name="20% - Accent3 3 2 6 2 2" xfId="15035" xr:uid="{9231E73A-7604-4CFF-8FD3-5E65B0402987}"/>
    <cellStyle name="20% - Accent3 3 2 6 3" xfId="10817" xr:uid="{F7CAA8F0-3AF5-4536-8A44-046D3C1CB003}"/>
    <cellStyle name="20% - Accent3 3 2 7" xfId="4527" xr:uid="{00000000-0005-0000-0000-0000A6010000}"/>
    <cellStyle name="20% - Accent3 3 2 7 2" xfId="12969" xr:uid="{7975DF5B-AD18-484F-B284-8F567F798A59}"/>
    <cellStyle name="20% - Accent3 3 2 8" xfId="8751" xr:uid="{FE678F90-36AC-4612-B10C-C7EACE4F9780}"/>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14E32793-A2B1-4A9E-A868-7BF40AA822DB}"/>
    <cellStyle name="20% - Accent3 3 3 2 3" xfId="11309" xr:uid="{5922448A-ED77-43DF-B061-3D2FC6B1A3BD}"/>
    <cellStyle name="20% - Accent3 3 3 3" xfId="4940" xr:uid="{00000000-0005-0000-0000-0000AA010000}"/>
    <cellStyle name="20% - Accent3 3 3 3 2" xfId="13382" xr:uid="{7C419E61-CD9F-4CC3-8520-9DC5A8342557}"/>
    <cellStyle name="20% - Accent3 3 3 4" xfId="9164" xr:uid="{50004D9C-E033-4A8F-8781-E946EEDBFC5C}"/>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850158A8-64F6-4BA5-8332-4E1D1BDE3D5E}"/>
    <cellStyle name="20% - Accent3 3 4 2 3" xfId="11722" xr:uid="{24B9DB1A-D11D-444E-AF32-F868B345594C}"/>
    <cellStyle name="20% - Accent3 3 4 3" xfId="5353" xr:uid="{00000000-0005-0000-0000-0000AE010000}"/>
    <cellStyle name="20% - Accent3 3 4 3 2" xfId="13795" xr:uid="{F5053FF2-2CB3-45E1-830B-6895F41EF55D}"/>
    <cellStyle name="20% - Accent3 3 4 4" xfId="9577" xr:uid="{1BCE9B77-059C-4DD6-97D5-C150D07FDE69}"/>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82C80549-FD39-4682-ADE8-C09AEAA6A179}"/>
    <cellStyle name="20% - Accent3 3 5 2 3" xfId="12135" xr:uid="{47AD86DC-C82A-4615-A8C6-0A9C229FF7AE}"/>
    <cellStyle name="20% - Accent3 3 5 3" xfId="5766" xr:uid="{00000000-0005-0000-0000-0000B2010000}"/>
    <cellStyle name="20% - Accent3 3 5 3 2" xfId="14208" xr:uid="{CE4B53D9-9DFB-4107-839E-926F403BAF2E}"/>
    <cellStyle name="20% - Accent3 3 5 4" xfId="9990" xr:uid="{132DF64C-CC9B-4C05-8B27-399BBFAD28DA}"/>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25DFF04C-A26D-4C61-80C8-AA72BBC3CC2F}"/>
    <cellStyle name="20% - Accent3 3 6 2 3" xfId="12548" xr:uid="{F96DEA73-4881-4A54-A0D4-B063394FF98F}"/>
    <cellStyle name="20% - Accent3 3 6 3" xfId="6179" xr:uid="{00000000-0005-0000-0000-0000B6010000}"/>
    <cellStyle name="20% - Accent3 3 6 3 2" xfId="14621" xr:uid="{446FECC9-1255-49D9-B9E1-277680D4DD2C}"/>
    <cellStyle name="20% - Accent3 3 6 4" xfId="10403" xr:uid="{43EFBD48-B23D-415F-AA09-F1DDC3BA8960}"/>
    <cellStyle name="20% - Accent3 3 7" xfId="2285" xr:uid="{00000000-0005-0000-0000-0000B7010000}"/>
    <cellStyle name="20% - Accent3 3 7 2" xfId="6592" xr:uid="{00000000-0005-0000-0000-0000B8010000}"/>
    <cellStyle name="20% - Accent3 3 7 2 2" xfId="15034" xr:uid="{0DEDE13D-4253-42A9-903B-25A727E0CBDC}"/>
    <cellStyle name="20% - Accent3 3 7 3" xfId="10816" xr:uid="{914B8316-9D2C-42EF-A5A8-51D1431C4652}"/>
    <cellStyle name="20% - Accent3 3 8" xfId="4526" xr:uid="{00000000-0005-0000-0000-0000B9010000}"/>
    <cellStyle name="20% - Accent3 3 8 2" xfId="12968" xr:uid="{42A9F92D-E0B5-4126-9360-0EB595C403A7}"/>
    <cellStyle name="20% - Accent3 3 9" xfId="8750" xr:uid="{67D83AA4-A307-4540-97B9-EA56A16A2C47}"/>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1B518D1D-238D-43BC-9EEA-E2FBDEE43488}"/>
    <cellStyle name="20% - Accent3 4 2 2 3" xfId="11311" xr:uid="{E671CCF9-54A3-484F-90C9-C4E58C623132}"/>
    <cellStyle name="20% - Accent3 4 2 3" xfId="4942" xr:uid="{00000000-0005-0000-0000-0000BE010000}"/>
    <cellStyle name="20% - Accent3 4 2 3 2" xfId="13384" xr:uid="{47C379ED-0F41-4A5C-9DED-03CDFB93665A}"/>
    <cellStyle name="20% - Accent3 4 2 4" xfId="9166" xr:uid="{6C0C07D5-D30F-4506-9EDE-5ADC9A55ECF8}"/>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8917A2AE-641B-4C5C-A990-C35C98507F3D}"/>
    <cellStyle name="20% - Accent3 4 3 2 3" xfId="11724" xr:uid="{59316CE4-9022-49FC-B9DC-8AF81BD0CFEB}"/>
    <cellStyle name="20% - Accent3 4 3 3" xfId="5355" xr:uid="{00000000-0005-0000-0000-0000C2010000}"/>
    <cellStyle name="20% - Accent3 4 3 3 2" xfId="13797" xr:uid="{E31D22DD-5878-4243-810B-B5CED7596682}"/>
    <cellStyle name="20% - Accent3 4 3 4" xfId="9579" xr:uid="{F5F6FFD3-4F26-43D7-A76D-0B0F67C43E2F}"/>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BB5DA997-DF4D-4B29-8507-34CC343F585C}"/>
    <cellStyle name="20% - Accent3 4 4 2 3" xfId="12137" xr:uid="{F8E8B7D4-B384-49E2-B6E2-5237B38C31B6}"/>
    <cellStyle name="20% - Accent3 4 4 3" xfId="5768" xr:uid="{00000000-0005-0000-0000-0000C6010000}"/>
    <cellStyle name="20% - Accent3 4 4 3 2" xfId="14210" xr:uid="{0166FEC4-C184-4155-B224-830430EEB6B1}"/>
    <cellStyle name="20% - Accent3 4 4 4" xfId="9992" xr:uid="{47B07672-034A-4F0A-8AFA-89D7E8EF8C13}"/>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488DC7DD-3DE4-4179-96D0-08B64A442056}"/>
    <cellStyle name="20% - Accent3 4 5 2 3" xfId="12550" xr:uid="{DF319C44-8FB1-4D2B-A630-8AAB7A61217D}"/>
    <cellStyle name="20% - Accent3 4 5 3" xfId="6181" xr:uid="{00000000-0005-0000-0000-0000CA010000}"/>
    <cellStyle name="20% - Accent3 4 5 3 2" xfId="14623" xr:uid="{BAD4A92D-8D8F-49BC-AAC4-CE4732770698}"/>
    <cellStyle name="20% - Accent3 4 5 4" xfId="10405" xr:uid="{D37729AE-6E30-463D-BCFE-F747CD762265}"/>
    <cellStyle name="20% - Accent3 4 6" xfId="2287" xr:uid="{00000000-0005-0000-0000-0000CB010000}"/>
    <cellStyle name="20% - Accent3 4 6 2" xfId="6594" xr:uid="{00000000-0005-0000-0000-0000CC010000}"/>
    <cellStyle name="20% - Accent3 4 6 2 2" xfId="15036" xr:uid="{77CA4560-9550-4C4A-A663-D969C162F590}"/>
    <cellStyle name="20% - Accent3 4 6 3" xfId="10818" xr:uid="{9E76BC0E-EBF6-4CCE-9C27-B82C53903B4E}"/>
    <cellStyle name="20% - Accent3 4 7" xfId="4528" xr:uid="{00000000-0005-0000-0000-0000CD010000}"/>
    <cellStyle name="20% - Accent3 4 7 2" xfId="12970" xr:uid="{C71B9813-3F0D-4BE5-920D-7E1C7E3BE510}"/>
    <cellStyle name="20% - Accent3 4 8" xfId="8752" xr:uid="{B5484A9E-2CB9-454B-B08F-B15C5C4F0B56}"/>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3024524B-BDD4-410C-B53A-4E6670605796}"/>
    <cellStyle name="20% - Accent3 5 2 3" xfId="11304" xr:uid="{3E73F389-A567-4E2D-96F0-AF3A69445978}"/>
    <cellStyle name="20% - Accent3 5 3" xfId="4935" xr:uid="{00000000-0005-0000-0000-0000D1010000}"/>
    <cellStyle name="20% - Accent3 5 3 2" xfId="13377" xr:uid="{A8391FAF-3B29-4BBA-BE53-7BEB5F9592A9}"/>
    <cellStyle name="20% - Accent3 5 4" xfId="9159" xr:uid="{485A5C40-6E26-4106-9AB4-CFA8A8F520CF}"/>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7D20F3A0-F0A6-49F3-A9DB-6123B621F6CB}"/>
    <cellStyle name="20% - Accent3 6 2 3" xfId="11717" xr:uid="{539541A5-E903-45E7-8D6A-453F86B82017}"/>
    <cellStyle name="20% - Accent3 6 3" xfId="5348" xr:uid="{00000000-0005-0000-0000-0000D5010000}"/>
    <cellStyle name="20% - Accent3 6 3 2" xfId="13790" xr:uid="{35617129-357F-4B5C-AA81-9EC38CF7BE84}"/>
    <cellStyle name="20% - Accent3 6 4" xfId="9572" xr:uid="{A69012AF-2E94-41F3-ACCA-8274F03647CC}"/>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B88E16CC-5632-43E9-83B6-CCC72DFB4EAD}"/>
    <cellStyle name="20% - Accent3 7 2 3" xfId="12130" xr:uid="{3973CFB2-DC60-496C-9F3B-F91FCB25F700}"/>
    <cellStyle name="20% - Accent3 7 3" xfId="5761" xr:uid="{00000000-0005-0000-0000-0000D9010000}"/>
    <cellStyle name="20% - Accent3 7 3 2" xfId="14203" xr:uid="{935716E9-80FA-4BD2-9017-F934C0326A9C}"/>
    <cellStyle name="20% - Accent3 7 4" xfId="9985" xr:uid="{06DE9C35-31A8-471D-9CA6-DBBD0EFDCD66}"/>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7428FDEC-60FD-4ACE-BAA0-B13A4224EF57}"/>
    <cellStyle name="20% - Accent3 8 2 3" xfId="12543" xr:uid="{BB5B861B-732C-4C7F-8BFD-B6E1F76150B8}"/>
    <cellStyle name="20% - Accent3 8 3" xfId="6174" xr:uid="{00000000-0005-0000-0000-0000DD010000}"/>
    <cellStyle name="20% - Accent3 8 3 2" xfId="14616" xr:uid="{4D565206-821A-4250-B618-2BA9F9BEB14C}"/>
    <cellStyle name="20% - Accent3 8 4" xfId="10398" xr:uid="{B14413FD-4877-4F20-B7F1-9281DBB8E6D8}"/>
    <cellStyle name="20% - Accent3 9" xfId="2280" xr:uid="{00000000-0005-0000-0000-0000DE010000}"/>
    <cellStyle name="20% - Accent3 9 2" xfId="6587" xr:uid="{00000000-0005-0000-0000-0000DF010000}"/>
    <cellStyle name="20% - Accent3 9 2 2" xfId="15029" xr:uid="{5AE1D4C8-F42D-4B36-9809-D556D4340C75}"/>
    <cellStyle name="20% - Accent3 9 3" xfId="10811" xr:uid="{19A906C2-0B34-4D2D-919C-96FCAD7C2C4A}"/>
    <cellStyle name="20% - Accent4" xfId="25" builtinId="42" customBuiltin="1"/>
    <cellStyle name="20% - Accent4 10" xfId="4529" xr:uid="{00000000-0005-0000-0000-0000E1010000}"/>
    <cellStyle name="20% - Accent4 10 2" xfId="12971" xr:uid="{34F32F78-72E4-4452-89D3-CE7D033D3764}"/>
    <cellStyle name="20% - Accent4 11" xfId="8753" xr:uid="{E2192AB0-1DF3-4E3A-967E-4B0D7061E3E4}"/>
    <cellStyle name="20% - Accent4 2" xfId="26" xr:uid="{00000000-0005-0000-0000-0000E2010000}"/>
    <cellStyle name="20% - Accent4 2 10" xfId="8754" xr:uid="{261E4A10-F9BD-41A8-B0F0-00EABBAB9F34}"/>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4592F875-5952-4EB2-8C87-B805520DD023}"/>
    <cellStyle name="20% - Accent4 2 2 2 2 2 3" xfId="11315" xr:uid="{9C50E501-3772-4CFF-ABA3-B92EB9115B34}"/>
    <cellStyle name="20% - Accent4 2 2 2 2 3" xfId="4946" xr:uid="{00000000-0005-0000-0000-0000E8010000}"/>
    <cellStyle name="20% - Accent4 2 2 2 2 3 2" xfId="13388" xr:uid="{FB59DB1D-8DCD-498F-9F60-B47098B09211}"/>
    <cellStyle name="20% - Accent4 2 2 2 2 4" xfId="9170" xr:uid="{8DE85E5D-2AC4-4560-8E7A-663265A5F50C}"/>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E43E345F-83A3-49FE-8AD9-FA254761F03B}"/>
    <cellStyle name="20% - Accent4 2 2 2 3 2 3" xfId="11728" xr:uid="{E12A31B6-E961-4F5A-914F-4666ED98CC86}"/>
    <cellStyle name="20% - Accent4 2 2 2 3 3" xfId="5359" xr:uid="{00000000-0005-0000-0000-0000EC010000}"/>
    <cellStyle name="20% - Accent4 2 2 2 3 3 2" xfId="13801" xr:uid="{787282BA-6324-4137-83C0-8061D7AFAC8A}"/>
    <cellStyle name="20% - Accent4 2 2 2 3 4" xfId="9583" xr:uid="{50E50BDE-18A4-4A4B-B105-3170733DE2B2}"/>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AD149281-D1C5-4132-94FD-9C3775163392}"/>
    <cellStyle name="20% - Accent4 2 2 2 4 2 3" xfId="12141" xr:uid="{881C99AA-AA2B-4DD0-BC95-06A1B3D78CD2}"/>
    <cellStyle name="20% - Accent4 2 2 2 4 3" xfId="5772" xr:uid="{00000000-0005-0000-0000-0000F0010000}"/>
    <cellStyle name="20% - Accent4 2 2 2 4 3 2" xfId="14214" xr:uid="{3D71E5AF-4122-4C49-9FF3-33A4C86A8BBB}"/>
    <cellStyle name="20% - Accent4 2 2 2 4 4" xfId="9996" xr:uid="{66CADFE5-1353-47E0-8427-8EF7AF93F287}"/>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1850C557-477D-4E81-BEEF-F84E7D3AD0C3}"/>
    <cellStyle name="20% - Accent4 2 2 2 5 2 3" xfId="12554" xr:uid="{D691774F-E9D1-4FB5-8C12-732462C30E46}"/>
    <cellStyle name="20% - Accent4 2 2 2 5 3" xfId="6185" xr:uid="{00000000-0005-0000-0000-0000F4010000}"/>
    <cellStyle name="20% - Accent4 2 2 2 5 3 2" xfId="14627" xr:uid="{94A739AB-0570-4E20-BC58-AF96B443690A}"/>
    <cellStyle name="20% - Accent4 2 2 2 5 4" xfId="10409" xr:uid="{26241E2B-7131-4E8B-B01A-AB423F86248A}"/>
    <cellStyle name="20% - Accent4 2 2 2 6" xfId="2291" xr:uid="{00000000-0005-0000-0000-0000F5010000}"/>
    <cellStyle name="20% - Accent4 2 2 2 6 2" xfId="6598" xr:uid="{00000000-0005-0000-0000-0000F6010000}"/>
    <cellStyle name="20% - Accent4 2 2 2 6 2 2" xfId="15040" xr:uid="{DE960F88-EF66-4A15-B671-9623A4A0BECC}"/>
    <cellStyle name="20% - Accent4 2 2 2 6 3" xfId="10822" xr:uid="{2F215B03-4E26-4223-A785-D53A3A49FF82}"/>
    <cellStyle name="20% - Accent4 2 2 2 7" xfId="4532" xr:uid="{00000000-0005-0000-0000-0000F7010000}"/>
    <cellStyle name="20% - Accent4 2 2 2 7 2" xfId="12974" xr:uid="{0D048520-1EEF-4229-98B6-50949A5CA7FF}"/>
    <cellStyle name="20% - Accent4 2 2 2 8" xfId="8756" xr:uid="{61FC22B0-6041-49E7-B6E0-FAD1F3394395}"/>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E59BD8A0-3741-4B97-8203-996400D3CD06}"/>
    <cellStyle name="20% - Accent4 2 2 3 2 3" xfId="11314" xr:uid="{C9143EBD-035F-4105-B232-3122774E97B5}"/>
    <cellStyle name="20% - Accent4 2 2 3 3" xfId="4945" xr:uid="{00000000-0005-0000-0000-0000FB010000}"/>
    <cellStyle name="20% - Accent4 2 2 3 3 2" xfId="13387" xr:uid="{82FEA2F5-EA07-4531-B577-C0CC15C6826D}"/>
    <cellStyle name="20% - Accent4 2 2 3 4" xfId="9169" xr:uid="{266F59CB-017F-4CAF-B4CF-07D231BF2C41}"/>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05BBEEB1-A69E-488E-B8AA-AD1699A0BC2B}"/>
    <cellStyle name="20% - Accent4 2 2 4 2 3" xfId="11727" xr:uid="{40665A61-9221-4195-AA94-45C9B947DB6D}"/>
    <cellStyle name="20% - Accent4 2 2 4 3" xfId="5358" xr:uid="{00000000-0005-0000-0000-0000FF010000}"/>
    <cellStyle name="20% - Accent4 2 2 4 3 2" xfId="13800" xr:uid="{1EFC4467-BC5F-4B93-BC43-3AB98536E2E8}"/>
    <cellStyle name="20% - Accent4 2 2 4 4" xfId="9582" xr:uid="{0842A639-0CA4-44E1-B4DA-290D77F30D39}"/>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3A86ACFD-6B0F-483B-BC28-4FDFE9449AB7}"/>
    <cellStyle name="20% - Accent4 2 2 5 2 3" xfId="12140" xr:uid="{DF9779F7-7364-43DC-9FD0-4B4412FB3D29}"/>
    <cellStyle name="20% - Accent4 2 2 5 3" xfId="5771" xr:uid="{00000000-0005-0000-0000-000003020000}"/>
    <cellStyle name="20% - Accent4 2 2 5 3 2" xfId="14213" xr:uid="{7E3F505A-39D9-423A-A6A5-9499E1493F4B}"/>
    <cellStyle name="20% - Accent4 2 2 5 4" xfId="9995" xr:uid="{4393B6D9-B259-4CFC-9C01-EBB7A463F27E}"/>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23F64970-2E85-4F29-96E8-D34F80B10728}"/>
    <cellStyle name="20% - Accent4 2 2 6 2 3" xfId="12553" xr:uid="{946A77D8-4264-4F43-9CC8-8AC1FC0FE1C1}"/>
    <cellStyle name="20% - Accent4 2 2 6 3" xfId="6184" xr:uid="{00000000-0005-0000-0000-000007020000}"/>
    <cellStyle name="20% - Accent4 2 2 6 3 2" xfId="14626" xr:uid="{1DBA4455-F7D2-4C61-84FB-967A96FD42DF}"/>
    <cellStyle name="20% - Accent4 2 2 6 4" xfId="10408" xr:uid="{8345CF33-A25E-4F7A-B2B3-0BCDA179CA21}"/>
    <cellStyle name="20% - Accent4 2 2 7" xfId="2290" xr:uid="{00000000-0005-0000-0000-000008020000}"/>
    <cellStyle name="20% - Accent4 2 2 7 2" xfId="6597" xr:uid="{00000000-0005-0000-0000-000009020000}"/>
    <cellStyle name="20% - Accent4 2 2 7 2 2" xfId="15039" xr:uid="{6A080466-AE59-4ED7-86BB-A2997A7E9028}"/>
    <cellStyle name="20% - Accent4 2 2 7 3" xfId="10821" xr:uid="{0E90D8D9-F147-457E-9545-888F550CC952}"/>
    <cellStyle name="20% - Accent4 2 2 8" xfId="4531" xr:uid="{00000000-0005-0000-0000-00000A020000}"/>
    <cellStyle name="20% - Accent4 2 2 8 2" xfId="12973" xr:uid="{CBEEDEA5-82B7-4951-A94B-4696CB224ECC}"/>
    <cellStyle name="20% - Accent4 2 2 9" xfId="8755" xr:uid="{529672B2-5B15-4FA4-BCD5-F83B4BF368A3}"/>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3BAB2E08-AD11-40ED-A277-D3B731390F57}"/>
    <cellStyle name="20% - Accent4 2 3 2 2 3" xfId="11316" xr:uid="{9A79667C-D792-4788-8D58-6E52D7249B72}"/>
    <cellStyle name="20% - Accent4 2 3 2 3" xfId="4947" xr:uid="{00000000-0005-0000-0000-00000F020000}"/>
    <cellStyle name="20% - Accent4 2 3 2 3 2" xfId="13389" xr:uid="{58B30477-70E1-4571-B648-D8896FCC3DD3}"/>
    <cellStyle name="20% - Accent4 2 3 2 4" xfId="9171" xr:uid="{8780E536-11B2-402F-B340-F5850C3C5988}"/>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86B584AA-5A60-482D-98E9-DB700FD4B036}"/>
    <cellStyle name="20% - Accent4 2 3 3 2 3" xfId="11729" xr:uid="{DF7AEC5C-8F2C-4BA0-9820-B9FA4FAD595D}"/>
    <cellStyle name="20% - Accent4 2 3 3 3" xfId="5360" xr:uid="{00000000-0005-0000-0000-000013020000}"/>
    <cellStyle name="20% - Accent4 2 3 3 3 2" xfId="13802" xr:uid="{DC2D7AE4-4DD8-43F4-946C-3EE480D659F6}"/>
    <cellStyle name="20% - Accent4 2 3 3 4" xfId="9584" xr:uid="{6100D234-538F-40B0-A820-F13F4231B846}"/>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A1CEC818-28FA-4401-A5D9-FCD6977BD755}"/>
    <cellStyle name="20% - Accent4 2 3 4 2 3" xfId="12142" xr:uid="{C72F861F-B96F-4574-BEA9-FC33868A27BB}"/>
    <cellStyle name="20% - Accent4 2 3 4 3" xfId="5773" xr:uid="{00000000-0005-0000-0000-000017020000}"/>
    <cellStyle name="20% - Accent4 2 3 4 3 2" xfId="14215" xr:uid="{0638868B-DCFE-478E-A4A9-4767F02065BD}"/>
    <cellStyle name="20% - Accent4 2 3 4 4" xfId="9997" xr:uid="{597E431E-503D-42BB-9416-97675E317BB7}"/>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0BBD8013-C574-422F-BAB3-055DBC0E423D}"/>
    <cellStyle name="20% - Accent4 2 3 5 2 3" xfId="12555" xr:uid="{6CC55A7F-B905-46CE-83C0-CAC4B2F62F92}"/>
    <cellStyle name="20% - Accent4 2 3 5 3" xfId="6186" xr:uid="{00000000-0005-0000-0000-00001B020000}"/>
    <cellStyle name="20% - Accent4 2 3 5 3 2" xfId="14628" xr:uid="{4A1BDE9B-FCF3-4EB1-80FD-7B82A7546871}"/>
    <cellStyle name="20% - Accent4 2 3 5 4" xfId="10410" xr:uid="{5CFFD662-0F87-4EA3-9631-9920AC9C5DD7}"/>
    <cellStyle name="20% - Accent4 2 3 6" xfId="2292" xr:uid="{00000000-0005-0000-0000-00001C020000}"/>
    <cellStyle name="20% - Accent4 2 3 6 2" xfId="6599" xr:uid="{00000000-0005-0000-0000-00001D020000}"/>
    <cellStyle name="20% - Accent4 2 3 6 2 2" xfId="15041" xr:uid="{51188BD5-7FD4-4718-9158-08F11DEF8CD2}"/>
    <cellStyle name="20% - Accent4 2 3 6 3" xfId="10823" xr:uid="{A430FA7B-62D2-4A3C-968A-5559F72DFEE3}"/>
    <cellStyle name="20% - Accent4 2 3 7" xfId="4533" xr:uid="{00000000-0005-0000-0000-00001E020000}"/>
    <cellStyle name="20% - Accent4 2 3 7 2" xfId="12975" xr:uid="{8E089025-1F38-4A08-8FD9-FE9DC5AC1CB7}"/>
    <cellStyle name="20% - Accent4 2 3 8" xfId="8757" xr:uid="{6A8CF879-08C9-41CC-B579-573AE4626126}"/>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7FF433C0-E16B-4AF2-AF27-B1799E64ADAA}"/>
    <cellStyle name="20% - Accent4 2 4 2 3" xfId="11313" xr:uid="{3635C41A-FB81-4B9F-9FAB-B607ED7B0FCA}"/>
    <cellStyle name="20% - Accent4 2 4 3" xfId="4944" xr:uid="{00000000-0005-0000-0000-000022020000}"/>
    <cellStyle name="20% - Accent4 2 4 3 2" xfId="13386" xr:uid="{3A2E1E68-DE44-46C2-82B5-43D3DC73DAB9}"/>
    <cellStyle name="20% - Accent4 2 4 4" xfId="9168" xr:uid="{7B0BD3DF-0FE9-4222-8C32-5A934BED38D4}"/>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D48B99D6-FC04-48C7-BB78-633E773865E9}"/>
    <cellStyle name="20% - Accent4 2 5 2 3" xfId="11726" xr:uid="{FDEBC016-8EF0-4682-B69B-CCD4986E52F8}"/>
    <cellStyle name="20% - Accent4 2 5 3" xfId="5357" xr:uid="{00000000-0005-0000-0000-000026020000}"/>
    <cellStyle name="20% - Accent4 2 5 3 2" xfId="13799" xr:uid="{68F55A5E-491C-465D-8961-DC8C268CBCEF}"/>
    <cellStyle name="20% - Accent4 2 5 4" xfId="9581" xr:uid="{E7607787-290D-4BD6-86AC-37A68926A871}"/>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33B47AD9-E231-43D6-82FD-7B4C902B9880}"/>
    <cellStyle name="20% - Accent4 2 6 2 3" xfId="12139" xr:uid="{F040A4CB-F69E-46BD-A91F-7001B2347817}"/>
    <cellStyle name="20% - Accent4 2 6 3" xfId="5770" xr:uid="{00000000-0005-0000-0000-00002A020000}"/>
    <cellStyle name="20% - Accent4 2 6 3 2" xfId="14212" xr:uid="{D9D788F1-B484-41E7-9BA2-0551F582630E}"/>
    <cellStyle name="20% - Accent4 2 6 4" xfId="9994" xr:uid="{B7D80955-6BA5-4349-B7B6-BC92E70AF8B7}"/>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A8A97398-E620-4E10-9B2D-90D58DB62636}"/>
    <cellStyle name="20% - Accent4 2 7 2 3" xfId="12552" xr:uid="{95BCA547-6177-44C2-92FD-900927C3410A}"/>
    <cellStyle name="20% - Accent4 2 7 3" xfId="6183" xr:uid="{00000000-0005-0000-0000-00002E020000}"/>
    <cellStyle name="20% - Accent4 2 7 3 2" xfId="14625" xr:uid="{FE0D3BA8-D4A6-4A43-A970-FB475079E798}"/>
    <cellStyle name="20% - Accent4 2 7 4" xfId="10407" xr:uid="{24D5A1BF-CDA5-4501-8A70-6971C94A9184}"/>
    <cellStyle name="20% - Accent4 2 8" xfId="2289" xr:uid="{00000000-0005-0000-0000-00002F020000}"/>
    <cellStyle name="20% - Accent4 2 8 2" xfId="6596" xr:uid="{00000000-0005-0000-0000-000030020000}"/>
    <cellStyle name="20% - Accent4 2 8 2 2" xfId="15038" xr:uid="{86792E49-0A23-4881-B842-DF005585EAAB}"/>
    <cellStyle name="20% - Accent4 2 8 3" xfId="10820" xr:uid="{165C5EEB-C3EA-4966-A915-D4F1D3FEF135}"/>
    <cellStyle name="20% - Accent4 2 9" xfId="4530" xr:uid="{00000000-0005-0000-0000-000031020000}"/>
    <cellStyle name="20% - Accent4 2 9 2" xfId="12972" xr:uid="{F5A0E0B4-1943-40B4-854D-23E7D36DE0FF}"/>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F088629B-4520-42AA-8A28-10C22108DE76}"/>
    <cellStyle name="20% - Accent4 3 2 2 2 3" xfId="11318" xr:uid="{2ABF00ED-FC3A-4A48-9F19-90F4C4CC694C}"/>
    <cellStyle name="20% - Accent4 3 2 2 3" xfId="4949" xr:uid="{00000000-0005-0000-0000-000037020000}"/>
    <cellStyle name="20% - Accent4 3 2 2 3 2" xfId="13391" xr:uid="{1330F626-2AA6-4DD4-BA96-5C840467DF45}"/>
    <cellStyle name="20% - Accent4 3 2 2 4" xfId="9173" xr:uid="{63D289A3-ABC1-4E7F-B12D-131FA92E859A}"/>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AE51C7BB-DE53-4B72-8BD9-726FE190E9CA}"/>
    <cellStyle name="20% - Accent4 3 2 3 2 3" xfId="11731" xr:uid="{9E42C894-0F4C-48E7-813C-A2DBC4FD429B}"/>
    <cellStyle name="20% - Accent4 3 2 3 3" xfId="5362" xr:uid="{00000000-0005-0000-0000-00003B020000}"/>
    <cellStyle name="20% - Accent4 3 2 3 3 2" xfId="13804" xr:uid="{0AFE0336-79EF-47E7-923C-97F726443089}"/>
    <cellStyle name="20% - Accent4 3 2 3 4" xfId="9586" xr:uid="{3AE5CA53-7F55-48CE-A6E8-03853E30D5C6}"/>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5994CDE4-E9E2-4D0B-A7BF-0C2BBE32E65E}"/>
    <cellStyle name="20% - Accent4 3 2 4 2 3" xfId="12144" xr:uid="{8C1AF691-D7F2-4D0B-989A-62BB6982193C}"/>
    <cellStyle name="20% - Accent4 3 2 4 3" xfId="5775" xr:uid="{00000000-0005-0000-0000-00003F020000}"/>
    <cellStyle name="20% - Accent4 3 2 4 3 2" xfId="14217" xr:uid="{69B7E954-72EA-42F2-ACF5-06EE56E826D0}"/>
    <cellStyle name="20% - Accent4 3 2 4 4" xfId="9999" xr:uid="{367175F4-16A8-40A6-B681-84A6EDFA3299}"/>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3526DFEE-B9FA-4BA2-A9E8-9C331B71EAB9}"/>
    <cellStyle name="20% - Accent4 3 2 5 2 3" xfId="12557" xr:uid="{60126FE0-4687-4250-A62C-B1A6C3CCFE9D}"/>
    <cellStyle name="20% - Accent4 3 2 5 3" xfId="6188" xr:uid="{00000000-0005-0000-0000-000043020000}"/>
    <cellStyle name="20% - Accent4 3 2 5 3 2" xfId="14630" xr:uid="{604189A4-30B7-4528-B01B-CC4F772ABF70}"/>
    <cellStyle name="20% - Accent4 3 2 5 4" xfId="10412" xr:uid="{799EEF99-DEEB-4679-B026-02B1BBF2CE0B}"/>
    <cellStyle name="20% - Accent4 3 2 6" xfId="2294" xr:uid="{00000000-0005-0000-0000-000044020000}"/>
    <cellStyle name="20% - Accent4 3 2 6 2" xfId="6601" xr:uid="{00000000-0005-0000-0000-000045020000}"/>
    <cellStyle name="20% - Accent4 3 2 6 2 2" xfId="15043" xr:uid="{427F1C5D-7D53-46D9-9895-5F2534A812B3}"/>
    <cellStyle name="20% - Accent4 3 2 6 3" xfId="10825" xr:uid="{039DCF9B-AC9B-4083-8116-E034ACB9EDB7}"/>
    <cellStyle name="20% - Accent4 3 2 7" xfId="4535" xr:uid="{00000000-0005-0000-0000-000046020000}"/>
    <cellStyle name="20% - Accent4 3 2 7 2" xfId="12977" xr:uid="{F81B330B-C698-4BE6-984B-180DE32F3397}"/>
    <cellStyle name="20% - Accent4 3 2 8" xfId="8759" xr:uid="{FC1491E1-8D78-4E9F-9CF7-9019EF133C88}"/>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4AE8AADF-521C-4069-BE9B-D7C364C80CDF}"/>
    <cellStyle name="20% - Accent4 3 3 2 3" xfId="11317" xr:uid="{8349A302-46D3-4891-88DE-F8CD029197BB}"/>
    <cellStyle name="20% - Accent4 3 3 3" xfId="4948" xr:uid="{00000000-0005-0000-0000-00004A020000}"/>
    <cellStyle name="20% - Accent4 3 3 3 2" xfId="13390" xr:uid="{6D490E31-AFC2-4704-9B2C-68F86F9C3225}"/>
    <cellStyle name="20% - Accent4 3 3 4" xfId="9172" xr:uid="{6A96AF02-F086-4DCB-A3E8-F812462757DE}"/>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51C3FD40-E974-4C98-B990-B68381F21F7D}"/>
    <cellStyle name="20% - Accent4 3 4 2 3" xfId="11730" xr:uid="{FE0CFA30-556E-47BA-8157-076243AC38FD}"/>
    <cellStyle name="20% - Accent4 3 4 3" xfId="5361" xr:uid="{00000000-0005-0000-0000-00004E020000}"/>
    <cellStyle name="20% - Accent4 3 4 3 2" xfId="13803" xr:uid="{F68F5240-DA31-4AB3-9591-0315561807AA}"/>
    <cellStyle name="20% - Accent4 3 4 4" xfId="9585" xr:uid="{69CEAD93-A87D-4B64-9DCB-0DC2B867F695}"/>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813200EE-8BB9-4882-A0FB-02F964E5749E}"/>
    <cellStyle name="20% - Accent4 3 5 2 3" xfId="12143" xr:uid="{ABCEA2F6-E86B-405C-8A72-1748FD8DEC84}"/>
    <cellStyle name="20% - Accent4 3 5 3" xfId="5774" xr:uid="{00000000-0005-0000-0000-000052020000}"/>
    <cellStyle name="20% - Accent4 3 5 3 2" xfId="14216" xr:uid="{FD990E7A-A79E-40F5-A825-22C204A1353D}"/>
    <cellStyle name="20% - Accent4 3 5 4" xfId="9998" xr:uid="{B61CE2DF-5856-4B87-8EF8-A5BF0CFEE575}"/>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144DA3A0-6921-48FA-A074-72FC4BB7B539}"/>
    <cellStyle name="20% - Accent4 3 6 2 3" xfId="12556" xr:uid="{B739EE7E-D71A-4A3B-8281-7F844AF68B0C}"/>
    <cellStyle name="20% - Accent4 3 6 3" xfId="6187" xr:uid="{00000000-0005-0000-0000-000056020000}"/>
    <cellStyle name="20% - Accent4 3 6 3 2" xfId="14629" xr:uid="{6AD4B060-9ECC-4AC2-9F18-67F8E3FB99C8}"/>
    <cellStyle name="20% - Accent4 3 6 4" xfId="10411" xr:uid="{90017421-94A1-4DEF-995E-51356DFBA739}"/>
    <cellStyle name="20% - Accent4 3 7" xfId="2293" xr:uid="{00000000-0005-0000-0000-000057020000}"/>
    <cellStyle name="20% - Accent4 3 7 2" xfId="6600" xr:uid="{00000000-0005-0000-0000-000058020000}"/>
    <cellStyle name="20% - Accent4 3 7 2 2" xfId="15042" xr:uid="{1D1ED586-D842-4E6C-9209-830D6B1BCF8E}"/>
    <cellStyle name="20% - Accent4 3 7 3" xfId="10824" xr:uid="{0D271F7D-B342-473B-8652-601617450079}"/>
    <cellStyle name="20% - Accent4 3 8" xfId="4534" xr:uid="{00000000-0005-0000-0000-000059020000}"/>
    <cellStyle name="20% - Accent4 3 8 2" xfId="12976" xr:uid="{A6B25C60-21D9-4147-90BE-02F62582BBE5}"/>
    <cellStyle name="20% - Accent4 3 9" xfId="8758" xr:uid="{009ABDD6-702D-4DAB-A3F9-FDAF015A1D92}"/>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F98DB8AE-1A18-47BD-8973-FB04B7028D78}"/>
    <cellStyle name="20% - Accent4 4 2 2 3" xfId="11319" xr:uid="{1344D1AB-CBAC-4DEC-8887-DACED1B07494}"/>
    <cellStyle name="20% - Accent4 4 2 3" xfId="4950" xr:uid="{00000000-0005-0000-0000-00005E020000}"/>
    <cellStyle name="20% - Accent4 4 2 3 2" xfId="13392" xr:uid="{2BA624B5-6535-45F7-8A0A-4CC61498C27A}"/>
    <cellStyle name="20% - Accent4 4 2 4" xfId="9174" xr:uid="{0388B9EF-3FD2-4E54-A9C4-9139D1314274}"/>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84B0EB89-2A3D-4C1F-8C1A-71DF723B145D}"/>
    <cellStyle name="20% - Accent4 4 3 2 3" xfId="11732" xr:uid="{847D5EC4-BB97-4A7F-8F59-6FDCB076914E}"/>
    <cellStyle name="20% - Accent4 4 3 3" xfId="5363" xr:uid="{00000000-0005-0000-0000-000062020000}"/>
    <cellStyle name="20% - Accent4 4 3 3 2" xfId="13805" xr:uid="{93251528-F4B6-44EC-BB7C-8146AB2A17FB}"/>
    <cellStyle name="20% - Accent4 4 3 4" xfId="9587" xr:uid="{E22B2DE4-4CA4-4C8D-9DE0-C9E69CCA46FA}"/>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C2D10388-0C30-4E8E-9BBF-C999CC9F9542}"/>
    <cellStyle name="20% - Accent4 4 4 2 3" xfId="12145" xr:uid="{D2BF6CA8-64D5-46E5-AC93-BF1F4B819B29}"/>
    <cellStyle name="20% - Accent4 4 4 3" xfId="5776" xr:uid="{00000000-0005-0000-0000-000066020000}"/>
    <cellStyle name="20% - Accent4 4 4 3 2" xfId="14218" xr:uid="{8D830BD7-FB2C-4DD3-B6C3-2B7E5924DD73}"/>
    <cellStyle name="20% - Accent4 4 4 4" xfId="10000" xr:uid="{E09A9298-76C7-489D-A945-121F8A10014D}"/>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EC94FA01-DFBD-4176-8195-E133AAE9174E}"/>
    <cellStyle name="20% - Accent4 4 5 2 3" xfId="12558" xr:uid="{25E6EEB2-6BA8-4F20-ABFE-8F1500BE96EA}"/>
    <cellStyle name="20% - Accent4 4 5 3" xfId="6189" xr:uid="{00000000-0005-0000-0000-00006A020000}"/>
    <cellStyle name="20% - Accent4 4 5 3 2" xfId="14631" xr:uid="{9EEEE911-85FD-4810-86D9-1C4468AADB0B}"/>
    <cellStyle name="20% - Accent4 4 5 4" xfId="10413" xr:uid="{3F570CC9-ED52-459E-ADBF-28E785952F58}"/>
    <cellStyle name="20% - Accent4 4 6" xfId="2295" xr:uid="{00000000-0005-0000-0000-00006B020000}"/>
    <cellStyle name="20% - Accent4 4 6 2" xfId="6602" xr:uid="{00000000-0005-0000-0000-00006C020000}"/>
    <cellStyle name="20% - Accent4 4 6 2 2" xfId="15044" xr:uid="{D5AD86B9-9532-43BD-9726-73FF62626C67}"/>
    <cellStyle name="20% - Accent4 4 6 3" xfId="10826" xr:uid="{F1273DBB-BF9E-4FD5-881D-A7D94181AF88}"/>
    <cellStyle name="20% - Accent4 4 7" xfId="4536" xr:uid="{00000000-0005-0000-0000-00006D020000}"/>
    <cellStyle name="20% - Accent4 4 7 2" xfId="12978" xr:uid="{4A0B86AD-2932-47EC-871F-52A21FA9D689}"/>
    <cellStyle name="20% - Accent4 4 8" xfId="8760" xr:uid="{8046A857-6A0A-45A5-8035-5EE795371F48}"/>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570137C4-5BD6-44CE-BC00-D6D8DBA375F9}"/>
    <cellStyle name="20% - Accent4 5 2 3" xfId="11312" xr:uid="{70AA50F9-5C33-4307-B78C-D30124643966}"/>
    <cellStyle name="20% - Accent4 5 3" xfId="4943" xr:uid="{00000000-0005-0000-0000-000071020000}"/>
    <cellStyle name="20% - Accent4 5 3 2" xfId="13385" xr:uid="{DD6E383F-A39B-41C2-B959-30FEE659D53E}"/>
    <cellStyle name="20% - Accent4 5 4" xfId="9167" xr:uid="{DEB2176B-8395-4F50-A19C-AD5067D2757C}"/>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4158105D-0306-42FF-ACCC-8BEBE71260EB}"/>
    <cellStyle name="20% - Accent4 6 2 3" xfId="11725" xr:uid="{FA62F01D-86A6-44BE-A403-0B8CC5A14A77}"/>
    <cellStyle name="20% - Accent4 6 3" xfId="5356" xr:uid="{00000000-0005-0000-0000-000075020000}"/>
    <cellStyle name="20% - Accent4 6 3 2" xfId="13798" xr:uid="{83E22A77-B578-41E4-9E6D-4B25882E5A54}"/>
    <cellStyle name="20% - Accent4 6 4" xfId="9580" xr:uid="{569292CC-6573-498E-BC05-FB289AB5D3C8}"/>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2C428773-8409-4C84-B2FC-3E05610A4AA5}"/>
    <cellStyle name="20% - Accent4 7 2 3" xfId="12138" xr:uid="{6F688D6E-F115-42AD-9B18-EA8A7073DE71}"/>
    <cellStyle name="20% - Accent4 7 3" xfId="5769" xr:uid="{00000000-0005-0000-0000-000079020000}"/>
    <cellStyle name="20% - Accent4 7 3 2" xfId="14211" xr:uid="{4E7EDA86-808A-4F0D-9EDA-D0E30162C1D5}"/>
    <cellStyle name="20% - Accent4 7 4" xfId="9993" xr:uid="{653AEE85-460D-4FE8-B6B0-F15082AE4713}"/>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B03C2739-5A21-4491-A37E-1B0C1EF9FDF6}"/>
    <cellStyle name="20% - Accent4 8 2 3" xfId="12551" xr:uid="{37962D96-C171-4BE9-A549-EF78D97B9844}"/>
    <cellStyle name="20% - Accent4 8 3" xfId="6182" xr:uid="{00000000-0005-0000-0000-00007D020000}"/>
    <cellStyle name="20% - Accent4 8 3 2" xfId="14624" xr:uid="{CFB2B465-4D0E-4497-A8FC-65D9BF60BF82}"/>
    <cellStyle name="20% - Accent4 8 4" xfId="10406" xr:uid="{0A99B313-656B-4DC6-BD0F-F0FA07E6703B}"/>
    <cellStyle name="20% - Accent4 9" xfId="2288" xr:uid="{00000000-0005-0000-0000-00007E020000}"/>
    <cellStyle name="20% - Accent4 9 2" xfId="6595" xr:uid="{00000000-0005-0000-0000-00007F020000}"/>
    <cellStyle name="20% - Accent4 9 2 2" xfId="15037" xr:uid="{60B26FDB-A886-4839-8082-3C6FA5B3AD75}"/>
    <cellStyle name="20% - Accent4 9 3" xfId="10819" xr:uid="{267BBBA9-4995-43E3-B4DC-0B2D97C8E7BD}"/>
    <cellStyle name="20% - Accent5" xfId="33" builtinId="46" customBuiltin="1"/>
    <cellStyle name="20% - Accent5 10" xfId="4537" xr:uid="{00000000-0005-0000-0000-000081020000}"/>
    <cellStyle name="20% - Accent5 10 2" xfId="12979" xr:uid="{0CB83106-11E8-4AD7-A8D7-CE7204A66AE3}"/>
    <cellStyle name="20% - Accent5 11" xfId="8761" xr:uid="{EF363D48-F0B9-463D-A9D8-B47B4F822B78}"/>
    <cellStyle name="20% - Accent5 2" xfId="34" xr:uid="{00000000-0005-0000-0000-000082020000}"/>
    <cellStyle name="20% - Accent5 2 10" xfId="8762" xr:uid="{5B8755D0-DE82-4D1B-A3F6-444CC5D926CB}"/>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47A59BD5-0D39-44A9-AF2E-05CB1FFD3E69}"/>
    <cellStyle name="20% - Accent5 2 2 2 2 2 3" xfId="11323" xr:uid="{5E3768F6-D656-4A1E-80CD-794CF3A7E6A6}"/>
    <cellStyle name="20% - Accent5 2 2 2 2 3" xfId="4954" xr:uid="{00000000-0005-0000-0000-000088020000}"/>
    <cellStyle name="20% - Accent5 2 2 2 2 3 2" xfId="13396" xr:uid="{6FD365A0-B864-4753-B411-687CB6D425F7}"/>
    <cellStyle name="20% - Accent5 2 2 2 2 4" xfId="9178" xr:uid="{088B4F45-F9EA-4377-9273-70F9430F7F87}"/>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B0EE816A-BD21-4E5A-AFDB-D7141B1CF334}"/>
    <cellStyle name="20% - Accent5 2 2 2 3 2 3" xfId="11736" xr:uid="{F3BFBA22-BB62-4567-8C58-421A576E5B63}"/>
    <cellStyle name="20% - Accent5 2 2 2 3 3" xfId="5367" xr:uid="{00000000-0005-0000-0000-00008C020000}"/>
    <cellStyle name="20% - Accent5 2 2 2 3 3 2" xfId="13809" xr:uid="{29689DAD-0F42-450A-AEE6-41D1DC8DCA71}"/>
    <cellStyle name="20% - Accent5 2 2 2 3 4" xfId="9591" xr:uid="{DF8A4864-6E25-4BD9-923E-B48C3090AE23}"/>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697D0C4F-E288-409C-88F4-B14E913F6A1D}"/>
    <cellStyle name="20% - Accent5 2 2 2 4 2 3" xfId="12149" xr:uid="{CF4A2785-1D1E-41CD-AD0F-A68311067F86}"/>
    <cellStyle name="20% - Accent5 2 2 2 4 3" xfId="5780" xr:uid="{00000000-0005-0000-0000-000090020000}"/>
    <cellStyle name="20% - Accent5 2 2 2 4 3 2" xfId="14222" xr:uid="{6B59759F-11E6-4C9D-9D2B-A55726DE303D}"/>
    <cellStyle name="20% - Accent5 2 2 2 4 4" xfId="10004" xr:uid="{48B0C00E-17AF-4D08-8958-21FD83430F11}"/>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51ED5DC0-E48A-4AA1-A795-B09291447A37}"/>
    <cellStyle name="20% - Accent5 2 2 2 5 2 3" xfId="12562" xr:uid="{A62497A3-BFB3-4117-8A83-C3291457EABF}"/>
    <cellStyle name="20% - Accent5 2 2 2 5 3" xfId="6193" xr:uid="{00000000-0005-0000-0000-000094020000}"/>
    <cellStyle name="20% - Accent5 2 2 2 5 3 2" xfId="14635" xr:uid="{816EC3B6-AD0D-49DC-9668-5D9F2D7D94B2}"/>
    <cellStyle name="20% - Accent5 2 2 2 5 4" xfId="10417" xr:uid="{615B4920-087B-4B50-B014-196E8869A1EF}"/>
    <cellStyle name="20% - Accent5 2 2 2 6" xfId="2299" xr:uid="{00000000-0005-0000-0000-000095020000}"/>
    <cellStyle name="20% - Accent5 2 2 2 6 2" xfId="6606" xr:uid="{00000000-0005-0000-0000-000096020000}"/>
    <cellStyle name="20% - Accent5 2 2 2 6 2 2" xfId="15048" xr:uid="{F56481D2-BCFF-4E20-AB2E-87D806696341}"/>
    <cellStyle name="20% - Accent5 2 2 2 6 3" xfId="10830" xr:uid="{1A644C7E-B877-4A32-958A-65EF06B9CD70}"/>
    <cellStyle name="20% - Accent5 2 2 2 7" xfId="4540" xr:uid="{00000000-0005-0000-0000-000097020000}"/>
    <cellStyle name="20% - Accent5 2 2 2 7 2" xfId="12982" xr:uid="{9B29C0BA-17FD-4D49-A9E8-9DC6372B85B6}"/>
    <cellStyle name="20% - Accent5 2 2 2 8" xfId="8764" xr:uid="{73D98D1B-B8DC-436D-A6B8-46CE3596ECB5}"/>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D01697BF-6128-4454-8A2F-36F0E6275BB8}"/>
    <cellStyle name="20% - Accent5 2 2 3 2 3" xfId="11322" xr:uid="{C6C90AF7-5BE6-41D4-A31A-0C2AD2AFC826}"/>
    <cellStyle name="20% - Accent5 2 2 3 3" xfId="4953" xr:uid="{00000000-0005-0000-0000-00009B020000}"/>
    <cellStyle name="20% - Accent5 2 2 3 3 2" xfId="13395" xr:uid="{9C98C14E-B544-4DF3-B2EF-A44E2F64F90E}"/>
    <cellStyle name="20% - Accent5 2 2 3 4" xfId="9177" xr:uid="{CB7B938B-A674-435A-9007-0A1CE69AA3DA}"/>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36CB0E6D-EC2B-4FFB-878D-B3C1DDC0569A}"/>
    <cellStyle name="20% - Accent5 2 2 4 2 3" xfId="11735" xr:uid="{A54369E1-97AC-45CE-AB59-489CB3A7B8FC}"/>
    <cellStyle name="20% - Accent5 2 2 4 3" xfId="5366" xr:uid="{00000000-0005-0000-0000-00009F020000}"/>
    <cellStyle name="20% - Accent5 2 2 4 3 2" xfId="13808" xr:uid="{671E4899-BB0D-4869-9DE1-057A433BE24E}"/>
    <cellStyle name="20% - Accent5 2 2 4 4" xfId="9590" xr:uid="{AC6DEAF3-2641-4311-808C-4625B4FCD5DF}"/>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03B35CA4-E02C-4F9F-B605-AA3B5AF3C321}"/>
    <cellStyle name="20% - Accent5 2 2 5 2 3" xfId="12148" xr:uid="{5DE7F78E-04A6-4192-AFF8-4C2A234F070C}"/>
    <cellStyle name="20% - Accent5 2 2 5 3" xfId="5779" xr:uid="{00000000-0005-0000-0000-0000A3020000}"/>
    <cellStyle name="20% - Accent5 2 2 5 3 2" xfId="14221" xr:uid="{7DC5C3FD-43A0-4EDA-8A79-A081A98C24DA}"/>
    <cellStyle name="20% - Accent5 2 2 5 4" xfId="10003" xr:uid="{28A5A1EB-B125-4B1B-8C65-EAF0534E7CA0}"/>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C9521E8D-7469-4322-BA64-313130015334}"/>
    <cellStyle name="20% - Accent5 2 2 6 2 3" xfId="12561" xr:uid="{A0208F11-10E8-4C85-8185-00F431AC163F}"/>
    <cellStyle name="20% - Accent5 2 2 6 3" xfId="6192" xr:uid="{00000000-0005-0000-0000-0000A7020000}"/>
    <cellStyle name="20% - Accent5 2 2 6 3 2" xfId="14634" xr:uid="{A8F69102-6A91-484A-9301-D9DF00570257}"/>
    <cellStyle name="20% - Accent5 2 2 6 4" xfId="10416" xr:uid="{FA117C1F-7746-49C4-991E-432E9E9E84E4}"/>
    <cellStyle name="20% - Accent5 2 2 7" xfId="2298" xr:uid="{00000000-0005-0000-0000-0000A8020000}"/>
    <cellStyle name="20% - Accent5 2 2 7 2" xfId="6605" xr:uid="{00000000-0005-0000-0000-0000A9020000}"/>
    <cellStyle name="20% - Accent5 2 2 7 2 2" xfId="15047" xr:uid="{C27B3B48-7518-4C45-9ED6-46EEBA13647F}"/>
    <cellStyle name="20% - Accent5 2 2 7 3" xfId="10829" xr:uid="{831D7EF2-BA91-42D4-8B33-D31C553FB22F}"/>
    <cellStyle name="20% - Accent5 2 2 8" xfId="4539" xr:uid="{00000000-0005-0000-0000-0000AA020000}"/>
    <cellStyle name="20% - Accent5 2 2 8 2" xfId="12981" xr:uid="{9776068F-C1CE-4350-91F5-80AC6521BC93}"/>
    <cellStyle name="20% - Accent5 2 2 9" xfId="8763" xr:uid="{65595B96-8CF1-404F-95BA-8F03BF0D4D93}"/>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745F8793-6BF9-4614-B0C9-09039126B8EE}"/>
    <cellStyle name="20% - Accent5 2 3 2 2 3" xfId="11324" xr:uid="{C7212BD4-C2DA-49F2-8D6F-BB89364A4DD5}"/>
    <cellStyle name="20% - Accent5 2 3 2 3" xfId="4955" xr:uid="{00000000-0005-0000-0000-0000AF020000}"/>
    <cellStyle name="20% - Accent5 2 3 2 3 2" xfId="13397" xr:uid="{1A432205-1970-4B8A-810F-930E8F1C7B19}"/>
    <cellStyle name="20% - Accent5 2 3 2 4" xfId="9179" xr:uid="{A84BCBF1-C2C0-4B4D-BB0F-60178425B4E5}"/>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A9F782D2-B18F-480C-BA23-79BED31AE954}"/>
    <cellStyle name="20% - Accent5 2 3 3 2 3" xfId="11737" xr:uid="{B156A0E0-3009-4CED-AF6A-8ABCEF388710}"/>
    <cellStyle name="20% - Accent5 2 3 3 3" xfId="5368" xr:uid="{00000000-0005-0000-0000-0000B3020000}"/>
    <cellStyle name="20% - Accent5 2 3 3 3 2" xfId="13810" xr:uid="{8D7DE464-A674-4668-9D4C-48F704C4253D}"/>
    <cellStyle name="20% - Accent5 2 3 3 4" xfId="9592" xr:uid="{996D8E45-7685-40A8-B749-F55BAA150108}"/>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02ED7636-E63A-44F8-AF6D-C8BE3837DE31}"/>
    <cellStyle name="20% - Accent5 2 3 4 2 3" xfId="12150" xr:uid="{9378E1A4-B3E6-4B13-B428-F5DD31569625}"/>
    <cellStyle name="20% - Accent5 2 3 4 3" xfId="5781" xr:uid="{00000000-0005-0000-0000-0000B7020000}"/>
    <cellStyle name="20% - Accent5 2 3 4 3 2" xfId="14223" xr:uid="{FC13C212-6796-4932-942D-1F7D152EAA64}"/>
    <cellStyle name="20% - Accent5 2 3 4 4" xfId="10005" xr:uid="{CCCB8758-E32B-4B79-A537-997ADA7014F1}"/>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5A911F53-1E19-4AEB-A083-F484A2F59AAD}"/>
    <cellStyle name="20% - Accent5 2 3 5 2 3" xfId="12563" xr:uid="{A588E962-078B-4D4A-B5A6-1F255FE9E5AA}"/>
    <cellStyle name="20% - Accent5 2 3 5 3" xfId="6194" xr:uid="{00000000-0005-0000-0000-0000BB020000}"/>
    <cellStyle name="20% - Accent5 2 3 5 3 2" xfId="14636" xr:uid="{687C330B-3391-467A-B4CE-F29EBDC57EFD}"/>
    <cellStyle name="20% - Accent5 2 3 5 4" xfId="10418" xr:uid="{C372371E-0C78-4A0F-B488-F44236E18ED4}"/>
    <cellStyle name="20% - Accent5 2 3 6" xfId="2300" xr:uid="{00000000-0005-0000-0000-0000BC020000}"/>
    <cellStyle name="20% - Accent5 2 3 6 2" xfId="6607" xr:uid="{00000000-0005-0000-0000-0000BD020000}"/>
    <cellStyle name="20% - Accent5 2 3 6 2 2" xfId="15049" xr:uid="{A8A9AC5E-CD46-42D6-A26B-930A9CCFB103}"/>
    <cellStyle name="20% - Accent5 2 3 6 3" xfId="10831" xr:uid="{8EEA2ABD-03B8-4FC5-9D67-A3E048A27017}"/>
    <cellStyle name="20% - Accent5 2 3 7" xfId="4541" xr:uid="{00000000-0005-0000-0000-0000BE020000}"/>
    <cellStyle name="20% - Accent5 2 3 7 2" xfId="12983" xr:uid="{293DB512-4132-4A15-9E6D-0A191A8DA1B6}"/>
    <cellStyle name="20% - Accent5 2 3 8" xfId="8765" xr:uid="{1411AE0D-618A-48D4-9581-27A1BAFB2641}"/>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2732F514-2879-4BE6-A2D1-928DD1CAF97E}"/>
    <cellStyle name="20% - Accent5 2 4 2 3" xfId="11321" xr:uid="{1253027F-1542-44DF-A0F1-633CE1DC0B67}"/>
    <cellStyle name="20% - Accent5 2 4 3" xfId="4952" xr:uid="{00000000-0005-0000-0000-0000C2020000}"/>
    <cellStyle name="20% - Accent5 2 4 3 2" xfId="13394" xr:uid="{9CB5F4D5-16A9-4BFE-A844-598C77BB0E95}"/>
    <cellStyle name="20% - Accent5 2 4 4" xfId="9176" xr:uid="{5F604B0D-369B-4E34-80CE-42FD8EF72D2F}"/>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BE255F2A-7C81-4F35-B558-BE24EFB9B4BB}"/>
    <cellStyle name="20% - Accent5 2 5 2 3" xfId="11734" xr:uid="{119971D1-115A-4EF5-8ACB-0045D3DDFEF8}"/>
    <cellStyle name="20% - Accent5 2 5 3" xfId="5365" xr:uid="{00000000-0005-0000-0000-0000C6020000}"/>
    <cellStyle name="20% - Accent5 2 5 3 2" xfId="13807" xr:uid="{F209A1B9-6929-414E-AD16-148161DE27D3}"/>
    <cellStyle name="20% - Accent5 2 5 4" xfId="9589" xr:uid="{4BC1CF8C-AB7A-4A98-8CB8-EE3726016FF6}"/>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97B8BAAF-824D-4E3E-A4D0-223EC7D3C70D}"/>
    <cellStyle name="20% - Accent5 2 6 2 3" xfId="12147" xr:uid="{9102CE15-EFC9-4B9E-90A3-821FAAA56B81}"/>
    <cellStyle name="20% - Accent5 2 6 3" xfId="5778" xr:uid="{00000000-0005-0000-0000-0000CA020000}"/>
    <cellStyle name="20% - Accent5 2 6 3 2" xfId="14220" xr:uid="{D1D475BF-E051-4A60-A4F0-93A37C483E06}"/>
    <cellStyle name="20% - Accent5 2 6 4" xfId="10002" xr:uid="{3105C423-F146-4A4D-85D0-CDCD1E136BE6}"/>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191792CC-72BA-408E-B635-115F9922F93F}"/>
    <cellStyle name="20% - Accent5 2 7 2 3" xfId="12560" xr:uid="{4DE1A82E-B9AC-4FB6-B64E-FCD198B5D91D}"/>
    <cellStyle name="20% - Accent5 2 7 3" xfId="6191" xr:uid="{00000000-0005-0000-0000-0000CE020000}"/>
    <cellStyle name="20% - Accent5 2 7 3 2" xfId="14633" xr:uid="{C6B9D96C-5297-49F6-A407-BEACB32E2286}"/>
    <cellStyle name="20% - Accent5 2 7 4" xfId="10415" xr:uid="{E50B7172-7A96-4E92-866B-BA2CD67CE4D0}"/>
    <cellStyle name="20% - Accent5 2 8" xfId="2297" xr:uid="{00000000-0005-0000-0000-0000CF020000}"/>
    <cellStyle name="20% - Accent5 2 8 2" xfId="6604" xr:uid="{00000000-0005-0000-0000-0000D0020000}"/>
    <cellStyle name="20% - Accent5 2 8 2 2" xfId="15046" xr:uid="{E55D167F-8F85-47D4-BF95-E6A5429E0761}"/>
    <cellStyle name="20% - Accent5 2 8 3" xfId="10828" xr:uid="{65541046-E926-48C8-B510-F4457C49AFE7}"/>
    <cellStyle name="20% - Accent5 2 9" xfId="4538" xr:uid="{00000000-0005-0000-0000-0000D1020000}"/>
    <cellStyle name="20% - Accent5 2 9 2" xfId="12980" xr:uid="{13EE2ED8-F8C6-47F3-994B-1ED9B085ECAB}"/>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F22AC8E9-17DF-4D0C-AABC-85557CE7FABE}"/>
    <cellStyle name="20% - Accent5 3 2 2 2 3" xfId="11326" xr:uid="{0D67A5E9-F495-4248-B5D3-36FA52B19AF6}"/>
    <cellStyle name="20% - Accent5 3 2 2 3" xfId="4957" xr:uid="{00000000-0005-0000-0000-0000D7020000}"/>
    <cellStyle name="20% - Accent5 3 2 2 3 2" xfId="13399" xr:uid="{2D6B20FA-4D80-499A-9CE4-95E836CF79F4}"/>
    <cellStyle name="20% - Accent5 3 2 2 4" xfId="9181" xr:uid="{CD0F82B6-1C83-4CF7-9D9E-7AF7EEEAF5AB}"/>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04F091AC-AE6C-4A03-BF2D-0431148B86D0}"/>
    <cellStyle name="20% - Accent5 3 2 3 2 3" xfId="11739" xr:uid="{33E33EA0-ED26-48DF-8974-7C0813573E64}"/>
    <cellStyle name="20% - Accent5 3 2 3 3" xfId="5370" xr:uid="{00000000-0005-0000-0000-0000DB020000}"/>
    <cellStyle name="20% - Accent5 3 2 3 3 2" xfId="13812" xr:uid="{1D78663F-FF6F-41F2-B080-8066ACBEEBDB}"/>
    <cellStyle name="20% - Accent5 3 2 3 4" xfId="9594" xr:uid="{BAE608A5-0345-4E88-8A86-F573B8D66220}"/>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C59BD114-0C4F-4711-B5F7-5D43A1FA4004}"/>
    <cellStyle name="20% - Accent5 3 2 4 2 3" xfId="12152" xr:uid="{9F964B15-927A-4E4A-9352-B9F6A9A38F38}"/>
    <cellStyle name="20% - Accent5 3 2 4 3" xfId="5783" xr:uid="{00000000-0005-0000-0000-0000DF020000}"/>
    <cellStyle name="20% - Accent5 3 2 4 3 2" xfId="14225" xr:uid="{6A1979DA-EA5C-4C63-998E-1721008D5967}"/>
    <cellStyle name="20% - Accent5 3 2 4 4" xfId="10007" xr:uid="{E9DB8383-EF42-4838-8415-EF0C28650C9B}"/>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0B8A0728-973A-4679-AB8A-A6FE239B4552}"/>
    <cellStyle name="20% - Accent5 3 2 5 2 3" xfId="12565" xr:uid="{24536680-39F3-4645-8160-DE312DCC5199}"/>
    <cellStyle name="20% - Accent5 3 2 5 3" xfId="6196" xr:uid="{00000000-0005-0000-0000-0000E3020000}"/>
    <cellStyle name="20% - Accent5 3 2 5 3 2" xfId="14638" xr:uid="{4AEE525A-23C0-46A8-866F-293FD0796648}"/>
    <cellStyle name="20% - Accent5 3 2 5 4" xfId="10420" xr:uid="{59098634-1DCF-44C5-8B24-E1B51283BF31}"/>
    <cellStyle name="20% - Accent5 3 2 6" xfId="2302" xr:uid="{00000000-0005-0000-0000-0000E4020000}"/>
    <cellStyle name="20% - Accent5 3 2 6 2" xfId="6609" xr:uid="{00000000-0005-0000-0000-0000E5020000}"/>
    <cellStyle name="20% - Accent5 3 2 6 2 2" xfId="15051" xr:uid="{2E71B5BB-3FDA-4A00-BE8D-D51E85C7CD1C}"/>
    <cellStyle name="20% - Accent5 3 2 6 3" xfId="10833" xr:uid="{9C32DC98-EF9B-4DA0-971D-B59934BD7BDD}"/>
    <cellStyle name="20% - Accent5 3 2 7" xfId="4543" xr:uid="{00000000-0005-0000-0000-0000E6020000}"/>
    <cellStyle name="20% - Accent5 3 2 7 2" xfId="12985" xr:uid="{0389081F-0D1B-4E0C-9741-B0AD1667FFB7}"/>
    <cellStyle name="20% - Accent5 3 2 8" xfId="8767" xr:uid="{984D86A3-AD30-4BA8-B973-6CA468AA268D}"/>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C592E429-F87C-472E-AEC2-6E9148FA0B3D}"/>
    <cellStyle name="20% - Accent5 3 3 2 3" xfId="11325" xr:uid="{EFD9213E-06A8-43B9-B312-356091CCC210}"/>
    <cellStyle name="20% - Accent5 3 3 3" xfId="4956" xr:uid="{00000000-0005-0000-0000-0000EA020000}"/>
    <cellStyle name="20% - Accent5 3 3 3 2" xfId="13398" xr:uid="{E15EC586-34C1-4E6E-ACBD-C4A9679E5735}"/>
    <cellStyle name="20% - Accent5 3 3 4" xfId="9180" xr:uid="{DB9CEE95-1816-4C85-8822-A1FD26613392}"/>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9E1CD6BA-5CFF-4177-815A-FAD4B7D3105D}"/>
    <cellStyle name="20% - Accent5 3 4 2 3" xfId="11738" xr:uid="{F35897EA-33A5-4CF8-8A20-1864940E2E17}"/>
    <cellStyle name="20% - Accent5 3 4 3" xfId="5369" xr:uid="{00000000-0005-0000-0000-0000EE020000}"/>
    <cellStyle name="20% - Accent5 3 4 3 2" xfId="13811" xr:uid="{EA1B14D1-157E-4D04-BD0E-BAF160643545}"/>
    <cellStyle name="20% - Accent5 3 4 4" xfId="9593" xr:uid="{DD4E0881-2354-4545-BBE2-F0603552F37C}"/>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4A4EEA29-721E-42FB-8DB7-89A9317F45A7}"/>
    <cellStyle name="20% - Accent5 3 5 2 3" xfId="12151" xr:uid="{0E527334-F79B-4D25-8AF5-51950FD2E1C2}"/>
    <cellStyle name="20% - Accent5 3 5 3" xfId="5782" xr:uid="{00000000-0005-0000-0000-0000F2020000}"/>
    <cellStyle name="20% - Accent5 3 5 3 2" xfId="14224" xr:uid="{0F1C2AE8-B0F7-4293-8E4E-3905ECB2779B}"/>
    <cellStyle name="20% - Accent5 3 5 4" xfId="10006" xr:uid="{671A9E42-528E-4B4A-9816-8C6429B6C00A}"/>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9719138-2551-4F4F-8E34-78A307F4D416}"/>
    <cellStyle name="20% - Accent5 3 6 2 3" xfId="12564" xr:uid="{85D88018-A22F-46F9-8506-928026A6F4C2}"/>
    <cellStyle name="20% - Accent5 3 6 3" xfId="6195" xr:uid="{00000000-0005-0000-0000-0000F6020000}"/>
    <cellStyle name="20% - Accent5 3 6 3 2" xfId="14637" xr:uid="{7FDBFAEB-BD84-469F-AF3A-FCE21AC5AA13}"/>
    <cellStyle name="20% - Accent5 3 6 4" xfId="10419" xr:uid="{DD872E50-5C5F-4726-B666-C646BC295AE7}"/>
    <cellStyle name="20% - Accent5 3 7" xfId="2301" xr:uid="{00000000-0005-0000-0000-0000F7020000}"/>
    <cellStyle name="20% - Accent5 3 7 2" xfId="6608" xr:uid="{00000000-0005-0000-0000-0000F8020000}"/>
    <cellStyle name="20% - Accent5 3 7 2 2" xfId="15050" xr:uid="{85DE5ECC-1E3B-40A9-A75F-610BF66140C3}"/>
    <cellStyle name="20% - Accent5 3 7 3" xfId="10832" xr:uid="{E15C7767-7FDC-4AAD-8000-CD2484814750}"/>
    <cellStyle name="20% - Accent5 3 8" xfId="4542" xr:uid="{00000000-0005-0000-0000-0000F9020000}"/>
    <cellStyle name="20% - Accent5 3 8 2" xfId="12984" xr:uid="{A2D235E7-4F9C-4537-A9DF-C2AC4FE60E54}"/>
    <cellStyle name="20% - Accent5 3 9" xfId="8766" xr:uid="{5DC9FB2E-01EF-4CD6-8DE1-C17833E05BC3}"/>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AEB8DAE1-1B45-44EB-A556-85F3A97258F4}"/>
    <cellStyle name="20% - Accent5 4 2 2 3" xfId="11327" xr:uid="{ED0A751A-9142-4717-B895-31B6A64CEF79}"/>
    <cellStyle name="20% - Accent5 4 2 3" xfId="4958" xr:uid="{00000000-0005-0000-0000-0000FE020000}"/>
    <cellStyle name="20% - Accent5 4 2 3 2" xfId="13400" xr:uid="{236F2569-0771-4818-913E-8F307F8BA9B0}"/>
    <cellStyle name="20% - Accent5 4 2 4" xfId="9182" xr:uid="{DA13FBBE-FC3A-47CA-8B51-CF425ED73C39}"/>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B6ECC757-5DAC-44BA-858D-1F893C7E9D5C}"/>
    <cellStyle name="20% - Accent5 4 3 2 3" xfId="11740" xr:uid="{CA88961E-9C92-4E9A-936C-07928516E498}"/>
    <cellStyle name="20% - Accent5 4 3 3" xfId="5371" xr:uid="{00000000-0005-0000-0000-000002030000}"/>
    <cellStyle name="20% - Accent5 4 3 3 2" xfId="13813" xr:uid="{1A5F7BAD-DA0D-4B97-97FE-9A3BCA9548A0}"/>
    <cellStyle name="20% - Accent5 4 3 4" xfId="9595" xr:uid="{48892E99-29E5-4289-B9A2-B42809BBD370}"/>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C34662A5-BD24-4B5E-B116-135F87DD6FF8}"/>
    <cellStyle name="20% - Accent5 4 4 2 3" xfId="12153" xr:uid="{D4A27688-4709-4CCF-93F6-7C968BFEFC14}"/>
    <cellStyle name="20% - Accent5 4 4 3" xfId="5784" xr:uid="{00000000-0005-0000-0000-000006030000}"/>
    <cellStyle name="20% - Accent5 4 4 3 2" xfId="14226" xr:uid="{D6958F39-B4AF-4DB9-AAF8-46476A713732}"/>
    <cellStyle name="20% - Accent5 4 4 4" xfId="10008" xr:uid="{21D7A79C-AC07-45C5-BBBE-75F1BFCB8064}"/>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134A5787-BB77-48AB-BF49-23E34F18CF6B}"/>
    <cellStyle name="20% - Accent5 4 5 2 3" xfId="12566" xr:uid="{8E9A8A96-CF1A-4DB5-8984-1BE3C3646EF8}"/>
    <cellStyle name="20% - Accent5 4 5 3" xfId="6197" xr:uid="{00000000-0005-0000-0000-00000A030000}"/>
    <cellStyle name="20% - Accent5 4 5 3 2" xfId="14639" xr:uid="{8DB9DBD1-AD89-4373-BEB7-3876560A8651}"/>
    <cellStyle name="20% - Accent5 4 5 4" xfId="10421" xr:uid="{B3D25069-2D56-454E-9018-E2F3A640638F}"/>
    <cellStyle name="20% - Accent5 4 6" xfId="2303" xr:uid="{00000000-0005-0000-0000-00000B030000}"/>
    <cellStyle name="20% - Accent5 4 6 2" xfId="6610" xr:uid="{00000000-0005-0000-0000-00000C030000}"/>
    <cellStyle name="20% - Accent5 4 6 2 2" xfId="15052" xr:uid="{AAD64D66-57F0-473C-9645-76318FEF8943}"/>
    <cellStyle name="20% - Accent5 4 6 3" xfId="10834" xr:uid="{6981351E-29C7-4F19-9FA6-C7D5ACD1C75B}"/>
    <cellStyle name="20% - Accent5 4 7" xfId="4544" xr:uid="{00000000-0005-0000-0000-00000D030000}"/>
    <cellStyle name="20% - Accent5 4 7 2" xfId="12986" xr:uid="{B1C57338-6A7F-41F4-B38C-688FFCFC2FB0}"/>
    <cellStyle name="20% - Accent5 4 8" xfId="8768" xr:uid="{80A5E735-CE04-4707-A61B-713E923744A7}"/>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2657D4DD-C7CF-4F97-97A8-DDC4ED01359E}"/>
    <cellStyle name="20% - Accent5 5 2 3" xfId="11320" xr:uid="{EF46D429-FFC0-40B8-A31A-2F90D62D8FC1}"/>
    <cellStyle name="20% - Accent5 5 3" xfId="4951" xr:uid="{00000000-0005-0000-0000-000011030000}"/>
    <cellStyle name="20% - Accent5 5 3 2" xfId="13393" xr:uid="{BF6244A0-AC99-4723-9629-3AF456B94B44}"/>
    <cellStyle name="20% - Accent5 5 4" xfId="9175" xr:uid="{37063B5F-EE92-4EF2-BF52-EA0701667113}"/>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459A2358-17B0-4526-BE0D-2A0261FD66D2}"/>
    <cellStyle name="20% - Accent5 6 2 3" xfId="11733" xr:uid="{BB31958D-248A-4BF4-A263-D6346AB9ECF4}"/>
    <cellStyle name="20% - Accent5 6 3" xfId="5364" xr:uid="{00000000-0005-0000-0000-000015030000}"/>
    <cellStyle name="20% - Accent5 6 3 2" xfId="13806" xr:uid="{4B38C75B-21A5-48AD-8585-8114B075F021}"/>
    <cellStyle name="20% - Accent5 6 4" xfId="9588" xr:uid="{58A69961-6617-49DE-AC8B-36E8888B3622}"/>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7D89D710-D632-46F7-B293-D048625E246E}"/>
    <cellStyle name="20% - Accent5 7 2 3" xfId="12146" xr:uid="{416EFA70-0079-4246-B5B1-69D96D5AF628}"/>
    <cellStyle name="20% - Accent5 7 3" xfId="5777" xr:uid="{00000000-0005-0000-0000-000019030000}"/>
    <cellStyle name="20% - Accent5 7 3 2" xfId="14219" xr:uid="{A7A0A6D5-307D-43F8-BF12-420649F84702}"/>
    <cellStyle name="20% - Accent5 7 4" xfId="10001" xr:uid="{F417A359-33E0-4896-8ABA-5999410BFFA2}"/>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B44D3244-FC49-4CDC-85BC-6E94E2100DA2}"/>
    <cellStyle name="20% - Accent5 8 2 3" xfId="12559" xr:uid="{89F9CE73-211B-4718-9C75-2277E8337DD3}"/>
    <cellStyle name="20% - Accent5 8 3" xfId="6190" xr:uid="{00000000-0005-0000-0000-00001D030000}"/>
    <cellStyle name="20% - Accent5 8 3 2" xfId="14632" xr:uid="{D9239C55-6C9E-40F7-9794-1CBE0BFD4214}"/>
    <cellStyle name="20% - Accent5 8 4" xfId="10414" xr:uid="{10DB92A6-7F2D-4BF7-8B5C-F0BB9F72CED7}"/>
    <cellStyle name="20% - Accent5 9" xfId="2296" xr:uid="{00000000-0005-0000-0000-00001E030000}"/>
    <cellStyle name="20% - Accent5 9 2" xfId="6603" xr:uid="{00000000-0005-0000-0000-00001F030000}"/>
    <cellStyle name="20% - Accent5 9 2 2" xfId="15045" xr:uid="{CA9A45D6-600A-4A7E-9172-78960090C9CD}"/>
    <cellStyle name="20% - Accent5 9 3" xfId="10827" xr:uid="{E43C11DC-486A-460A-81AA-A30BCDA00C76}"/>
    <cellStyle name="20% - Accent6" xfId="41" builtinId="50" customBuiltin="1"/>
    <cellStyle name="20% - Accent6 10" xfId="4545" xr:uid="{00000000-0005-0000-0000-000021030000}"/>
    <cellStyle name="20% - Accent6 10 2" xfId="12987" xr:uid="{8938F78F-22C3-4841-A766-176B84BA0FDC}"/>
    <cellStyle name="20% - Accent6 11" xfId="8769" xr:uid="{E516ECD9-49F7-49EC-B40F-210640E3B425}"/>
    <cellStyle name="20% - Accent6 2" xfId="42" xr:uid="{00000000-0005-0000-0000-000022030000}"/>
    <cellStyle name="20% - Accent6 2 10" xfId="8770" xr:uid="{A78D0B1F-ACFC-4B28-ABAE-75EA2CD64934}"/>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36344F10-AB60-45ED-B5B6-1C7D8624EF75}"/>
    <cellStyle name="20% - Accent6 2 2 2 2 2 3" xfId="11331" xr:uid="{C1AE735F-0AB0-4571-96FE-1AC208939D91}"/>
    <cellStyle name="20% - Accent6 2 2 2 2 3" xfId="4962" xr:uid="{00000000-0005-0000-0000-000028030000}"/>
    <cellStyle name="20% - Accent6 2 2 2 2 3 2" xfId="13404" xr:uid="{0422353F-0859-409A-88DC-5662AAA34C70}"/>
    <cellStyle name="20% - Accent6 2 2 2 2 4" xfId="9186" xr:uid="{7FD5ACD8-28F8-4AF2-9891-30BA12B00F9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BFC1F8B9-10B8-4BA0-BDAF-8317598B9E0D}"/>
    <cellStyle name="20% - Accent6 2 2 2 3 2 3" xfId="11744" xr:uid="{BD915378-820A-47F9-A516-BD5328FA4B3B}"/>
    <cellStyle name="20% - Accent6 2 2 2 3 3" xfId="5375" xr:uid="{00000000-0005-0000-0000-00002C030000}"/>
    <cellStyle name="20% - Accent6 2 2 2 3 3 2" xfId="13817" xr:uid="{F84CBB75-AB80-48AC-994B-5586575FDBA3}"/>
    <cellStyle name="20% - Accent6 2 2 2 3 4" xfId="9599" xr:uid="{C57247C5-294F-4D30-A1D3-78218B7A2ABD}"/>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D59DBD75-13C7-421F-8EF3-22CBADD0B908}"/>
    <cellStyle name="20% - Accent6 2 2 2 4 2 3" xfId="12157" xr:uid="{8AFE2F5A-36D9-4038-A2D8-C8DC61946862}"/>
    <cellStyle name="20% - Accent6 2 2 2 4 3" xfId="5788" xr:uid="{00000000-0005-0000-0000-000030030000}"/>
    <cellStyle name="20% - Accent6 2 2 2 4 3 2" xfId="14230" xr:uid="{A3BA4F85-935E-401F-B2B9-45EF8267CD06}"/>
    <cellStyle name="20% - Accent6 2 2 2 4 4" xfId="10012" xr:uid="{970C9AE2-AFA4-4CB3-8959-04B179542C6C}"/>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048FFABA-8FF6-415C-B32D-A45954E685B2}"/>
    <cellStyle name="20% - Accent6 2 2 2 5 2 3" xfId="12570" xr:uid="{86B0C0D3-C749-49FA-AC85-91D9BF5817BD}"/>
    <cellStyle name="20% - Accent6 2 2 2 5 3" xfId="6201" xr:uid="{00000000-0005-0000-0000-000034030000}"/>
    <cellStyle name="20% - Accent6 2 2 2 5 3 2" xfId="14643" xr:uid="{9BCB3131-44A0-4FF0-9F39-5796261F97F3}"/>
    <cellStyle name="20% - Accent6 2 2 2 5 4" xfId="10425" xr:uid="{236007F8-B324-4B7D-915C-8EF29058C750}"/>
    <cellStyle name="20% - Accent6 2 2 2 6" xfId="2307" xr:uid="{00000000-0005-0000-0000-000035030000}"/>
    <cellStyle name="20% - Accent6 2 2 2 6 2" xfId="6614" xr:uid="{00000000-0005-0000-0000-000036030000}"/>
    <cellStyle name="20% - Accent6 2 2 2 6 2 2" xfId="15056" xr:uid="{4B066459-A2DA-4943-BCE4-165448F12FD5}"/>
    <cellStyle name="20% - Accent6 2 2 2 6 3" xfId="10838" xr:uid="{48EAE10F-F090-46EF-8A9F-85CA859BA357}"/>
    <cellStyle name="20% - Accent6 2 2 2 7" xfId="4548" xr:uid="{00000000-0005-0000-0000-000037030000}"/>
    <cellStyle name="20% - Accent6 2 2 2 7 2" xfId="12990" xr:uid="{9070F869-366D-4E4E-B8FE-95662CB565AD}"/>
    <cellStyle name="20% - Accent6 2 2 2 8" xfId="8772" xr:uid="{513D21A0-E078-448D-8A4D-764FF6E82802}"/>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A852718C-22B3-45A5-9023-8489D02CD312}"/>
    <cellStyle name="20% - Accent6 2 2 3 2 3" xfId="11330" xr:uid="{779886BE-1C31-4372-AF1A-92FE634923AA}"/>
    <cellStyle name="20% - Accent6 2 2 3 3" xfId="4961" xr:uid="{00000000-0005-0000-0000-00003B030000}"/>
    <cellStyle name="20% - Accent6 2 2 3 3 2" xfId="13403" xr:uid="{CE23E068-AC4C-4A6C-B4FE-598FE1C8629E}"/>
    <cellStyle name="20% - Accent6 2 2 3 4" xfId="9185" xr:uid="{8DF2E6FA-FF8F-48CB-AA7E-1F254A4A8865}"/>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54CAB5DC-C635-4C18-AFCD-D07C83FB2162}"/>
    <cellStyle name="20% - Accent6 2 2 4 2 3" xfId="11743" xr:uid="{90A84469-6D16-4028-8238-5B8A3523D706}"/>
    <cellStyle name="20% - Accent6 2 2 4 3" xfId="5374" xr:uid="{00000000-0005-0000-0000-00003F030000}"/>
    <cellStyle name="20% - Accent6 2 2 4 3 2" xfId="13816" xr:uid="{AECC5FF1-A283-46E1-BFBD-C035EE9CCD14}"/>
    <cellStyle name="20% - Accent6 2 2 4 4" xfId="9598" xr:uid="{13BE7729-9AA1-4BB4-A9AF-EB15744C2ADF}"/>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EB16C605-B355-4CD8-A7E9-F8A6135F917A}"/>
    <cellStyle name="20% - Accent6 2 2 5 2 3" xfId="12156" xr:uid="{ECBF7505-E37C-4A3B-BF8E-E6D783E0D029}"/>
    <cellStyle name="20% - Accent6 2 2 5 3" xfId="5787" xr:uid="{00000000-0005-0000-0000-000043030000}"/>
    <cellStyle name="20% - Accent6 2 2 5 3 2" xfId="14229" xr:uid="{6B7710ED-78CD-49FB-8B3F-B18F6EAA8970}"/>
    <cellStyle name="20% - Accent6 2 2 5 4" xfId="10011" xr:uid="{59216B12-92F3-4093-91A7-B817CABBE19F}"/>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C7E82139-E672-4BF3-9BF9-38EB2FBB47EE}"/>
    <cellStyle name="20% - Accent6 2 2 6 2 3" xfId="12569" xr:uid="{09B23912-BA12-419D-9293-8CEBE6976CAB}"/>
    <cellStyle name="20% - Accent6 2 2 6 3" xfId="6200" xr:uid="{00000000-0005-0000-0000-000047030000}"/>
    <cellStyle name="20% - Accent6 2 2 6 3 2" xfId="14642" xr:uid="{16AA9A2A-B16E-4CCB-9CE9-0AA723D86DF9}"/>
    <cellStyle name="20% - Accent6 2 2 6 4" xfId="10424" xr:uid="{1E5E930C-DAB6-45EC-A385-C6B5273151A7}"/>
    <cellStyle name="20% - Accent6 2 2 7" xfId="2306" xr:uid="{00000000-0005-0000-0000-000048030000}"/>
    <cellStyle name="20% - Accent6 2 2 7 2" xfId="6613" xr:uid="{00000000-0005-0000-0000-000049030000}"/>
    <cellStyle name="20% - Accent6 2 2 7 2 2" xfId="15055" xr:uid="{6A1E8196-B691-4EA5-81CD-66BF33527479}"/>
    <cellStyle name="20% - Accent6 2 2 7 3" xfId="10837" xr:uid="{38C784F8-495C-445B-A46C-14F402317886}"/>
    <cellStyle name="20% - Accent6 2 2 8" xfId="4547" xr:uid="{00000000-0005-0000-0000-00004A030000}"/>
    <cellStyle name="20% - Accent6 2 2 8 2" xfId="12989" xr:uid="{0F8AE0BF-08D0-49CF-BBFA-A301B90E883D}"/>
    <cellStyle name="20% - Accent6 2 2 9" xfId="8771" xr:uid="{93583249-1C98-4BA1-9B91-64B5AC26E215}"/>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0A177938-4707-42E8-998C-F2A9FACA51DE}"/>
    <cellStyle name="20% - Accent6 2 3 2 2 3" xfId="11332" xr:uid="{6AB5F81B-15B7-4710-AA97-7D38FDFB97AE}"/>
    <cellStyle name="20% - Accent6 2 3 2 3" xfId="4963" xr:uid="{00000000-0005-0000-0000-00004F030000}"/>
    <cellStyle name="20% - Accent6 2 3 2 3 2" xfId="13405" xr:uid="{5B70B245-14DA-4DD9-A56B-003C6E2AF1C9}"/>
    <cellStyle name="20% - Accent6 2 3 2 4" xfId="9187" xr:uid="{979A0823-8371-4C60-9B34-8E03928F929F}"/>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BE63D9EF-B39E-41CB-A8E5-94EC060104E6}"/>
    <cellStyle name="20% - Accent6 2 3 3 2 3" xfId="11745" xr:uid="{2A2550B1-8A50-4969-B39E-0BF81C760258}"/>
    <cellStyle name="20% - Accent6 2 3 3 3" xfId="5376" xr:uid="{00000000-0005-0000-0000-000053030000}"/>
    <cellStyle name="20% - Accent6 2 3 3 3 2" xfId="13818" xr:uid="{E534C679-3D5D-423A-BBD5-53CC2EF77BA8}"/>
    <cellStyle name="20% - Accent6 2 3 3 4" xfId="9600" xr:uid="{999F8516-0E15-42C2-AD16-721CC55828A2}"/>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8B3B8898-2B87-4567-A8F9-1608B0A00F8A}"/>
    <cellStyle name="20% - Accent6 2 3 4 2 3" xfId="12158" xr:uid="{AFC4FD7F-3636-4556-8EAE-5EE68B0C8EE8}"/>
    <cellStyle name="20% - Accent6 2 3 4 3" xfId="5789" xr:uid="{00000000-0005-0000-0000-000057030000}"/>
    <cellStyle name="20% - Accent6 2 3 4 3 2" xfId="14231" xr:uid="{E47B71E5-80A7-47FC-B39C-6CCC84764FC8}"/>
    <cellStyle name="20% - Accent6 2 3 4 4" xfId="10013" xr:uid="{F7E1B3AC-8BA9-4574-9C89-312A50452905}"/>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F4B8724A-D22E-4792-A4F2-F5B4004E42CF}"/>
    <cellStyle name="20% - Accent6 2 3 5 2 3" xfId="12571" xr:uid="{1CA4D9D9-D664-4B13-89F2-A41D12D7B639}"/>
    <cellStyle name="20% - Accent6 2 3 5 3" xfId="6202" xr:uid="{00000000-0005-0000-0000-00005B030000}"/>
    <cellStyle name="20% - Accent6 2 3 5 3 2" xfId="14644" xr:uid="{3AB732CA-99AB-4D00-8250-92876EB9C35E}"/>
    <cellStyle name="20% - Accent6 2 3 5 4" xfId="10426" xr:uid="{DCD2CA95-E09B-4090-86C1-C2CA8F542803}"/>
    <cellStyle name="20% - Accent6 2 3 6" xfId="2308" xr:uid="{00000000-0005-0000-0000-00005C030000}"/>
    <cellStyle name="20% - Accent6 2 3 6 2" xfId="6615" xr:uid="{00000000-0005-0000-0000-00005D030000}"/>
    <cellStyle name="20% - Accent6 2 3 6 2 2" xfId="15057" xr:uid="{88CB31B5-0524-4B76-AA69-2F344297CEB4}"/>
    <cellStyle name="20% - Accent6 2 3 6 3" xfId="10839" xr:uid="{AC4A6133-B633-4F20-BC86-F643F075A6DA}"/>
    <cellStyle name="20% - Accent6 2 3 7" xfId="4549" xr:uid="{00000000-0005-0000-0000-00005E030000}"/>
    <cellStyle name="20% - Accent6 2 3 7 2" xfId="12991" xr:uid="{26219922-1D6F-416E-8009-4C91DC6E467E}"/>
    <cellStyle name="20% - Accent6 2 3 8" xfId="8773" xr:uid="{6FC523A1-0CAF-41DC-A37C-B8A40E28B071}"/>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93E17774-065D-451A-8718-2716177EC5E2}"/>
    <cellStyle name="20% - Accent6 2 4 2 3" xfId="11329" xr:uid="{68BCDA8D-3966-4A5D-9E90-C32658E64101}"/>
    <cellStyle name="20% - Accent6 2 4 3" xfId="4960" xr:uid="{00000000-0005-0000-0000-000062030000}"/>
    <cellStyle name="20% - Accent6 2 4 3 2" xfId="13402" xr:uid="{C6B46A87-C87F-4061-9BA6-391C7F31301B}"/>
    <cellStyle name="20% - Accent6 2 4 4" xfId="9184" xr:uid="{A9EDE658-97B8-4696-8C8C-5E0EB3125D5D}"/>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766FA39D-56D2-476A-B6EF-84E849431E70}"/>
    <cellStyle name="20% - Accent6 2 5 2 3" xfId="11742" xr:uid="{D50EA827-6CFB-4E4F-B786-D880796BD6B6}"/>
    <cellStyle name="20% - Accent6 2 5 3" xfId="5373" xr:uid="{00000000-0005-0000-0000-000066030000}"/>
    <cellStyle name="20% - Accent6 2 5 3 2" xfId="13815" xr:uid="{11B7762E-FF3D-4ADD-81BA-686EAB735650}"/>
    <cellStyle name="20% - Accent6 2 5 4" xfId="9597" xr:uid="{7F45406A-00B6-4ED0-B9A4-388BBED1F3BE}"/>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66447EC9-A924-4120-AF62-1135C250001D}"/>
    <cellStyle name="20% - Accent6 2 6 2 3" xfId="12155" xr:uid="{09ED3ECD-1140-4FA8-89C7-AFB34898763F}"/>
    <cellStyle name="20% - Accent6 2 6 3" xfId="5786" xr:uid="{00000000-0005-0000-0000-00006A030000}"/>
    <cellStyle name="20% - Accent6 2 6 3 2" xfId="14228" xr:uid="{C81B5F50-C4C2-454C-AB39-32B54BC05C09}"/>
    <cellStyle name="20% - Accent6 2 6 4" xfId="10010" xr:uid="{61C3FFFF-7965-414A-BBEF-040E5032BFB1}"/>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21CE2483-D6E1-4166-803F-798AF755CF21}"/>
    <cellStyle name="20% - Accent6 2 7 2 3" xfId="12568" xr:uid="{80971F4E-CB69-47C4-9454-329F4304EEEC}"/>
    <cellStyle name="20% - Accent6 2 7 3" xfId="6199" xr:uid="{00000000-0005-0000-0000-00006E030000}"/>
    <cellStyle name="20% - Accent6 2 7 3 2" xfId="14641" xr:uid="{4355B38C-7E7D-41AE-A760-ACC5C0C9DEBF}"/>
    <cellStyle name="20% - Accent6 2 7 4" xfId="10423" xr:uid="{BE3DF470-70D3-4343-AD28-03E0F01FA5D1}"/>
    <cellStyle name="20% - Accent6 2 8" xfId="2305" xr:uid="{00000000-0005-0000-0000-00006F030000}"/>
    <cellStyle name="20% - Accent6 2 8 2" xfId="6612" xr:uid="{00000000-0005-0000-0000-000070030000}"/>
    <cellStyle name="20% - Accent6 2 8 2 2" xfId="15054" xr:uid="{240F344C-643F-405C-A536-647727B04884}"/>
    <cellStyle name="20% - Accent6 2 8 3" xfId="10836" xr:uid="{B4A0770C-81B8-48FA-8B4A-7A0E6D6321BF}"/>
    <cellStyle name="20% - Accent6 2 9" xfId="4546" xr:uid="{00000000-0005-0000-0000-000071030000}"/>
    <cellStyle name="20% - Accent6 2 9 2" xfId="12988" xr:uid="{CCC42E23-967D-4320-BCB2-D8BFFCC480B8}"/>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C9F32587-9759-40BE-829A-0C3802E46BE8}"/>
    <cellStyle name="20% - Accent6 3 2 2 2 3" xfId="11334" xr:uid="{E78B3971-7478-4C66-8A42-F3F8E1CA5955}"/>
    <cellStyle name="20% - Accent6 3 2 2 3" xfId="4965" xr:uid="{00000000-0005-0000-0000-000077030000}"/>
    <cellStyle name="20% - Accent6 3 2 2 3 2" xfId="13407" xr:uid="{876F8502-B4E7-41FA-A343-C6784A41F13C}"/>
    <cellStyle name="20% - Accent6 3 2 2 4" xfId="9189" xr:uid="{B3FC50B0-532F-4A77-923B-D78435F6A9E0}"/>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104E1E98-DE26-4703-B368-8F1F201E42FB}"/>
    <cellStyle name="20% - Accent6 3 2 3 2 3" xfId="11747" xr:uid="{F30DC621-9FA3-4FD5-A4BC-AE73079D48F9}"/>
    <cellStyle name="20% - Accent6 3 2 3 3" xfId="5378" xr:uid="{00000000-0005-0000-0000-00007B030000}"/>
    <cellStyle name="20% - Accent6 3 2 3 3 2" xfId="13820" xr:uid="{69FDDB30-B16B-4703-9FAE-FA1280023326}"/>
    <cellStyle name="20% - Accent6 3 2 3 4" xfId="9602" xr:uid="{B3325429-0C11-4697-9D96-F6319D394375}"/>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996EE9F0-CF6B-4F4B-991B-1F54E6A3ED86}"/>
    <cellStyle name="20% - Accent6 3 2 4 2 3" xfId="12160" xr:uid="{53604965-CC75-4B21-8D19-518082BDB8DA}"/>
    <cellStyle name="20% - Accent6 3 2 4 3" xfId="5791" xr:uid="{00000000-0005-0000-0000-00007F030000}"/>
    <cellStyle name="20% - Accent6 3 2 4 3 2" xfId="14233" xr:uid="{83E53276-3C98-48CE-98F3-DB6661F83F41}"/>
    <cellStyle name="20% - Accent6 3 2 4 4" xfId="10015" xr:uid="{365FE96C-2DAC-4A49-A171-36E5067DDC77}"/>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5F1F8DAC-E7F5-4BFC-A773-0BC13EA69ACF}"/>
    <cellStyle name="20% - Accent6 3 2 5 2 3" xfId="12573" xr:uid="{2BBD2936-C7A5-4388-906E-53D5769CFB37}"/>
    <cellStyle name="20% - Accent6 3 2 5 3" xfId="6204" xr:uid="{00000000-0005-0000-0000-000083030000}"/>
    <cellStyle name="20% - Accent6 3 2 5 3 2" xfId="14646" xr:uid="{6555655F-9E4C-40CA-AEFD-AAC77BCC0D32}"/>
    <cellStyle name="20% - Accent6 3 2 5 4" xfId="10428" xr:uid="{7F05DC08-6049-4F2D-B48A-6F03E13B7D22}"/>
    <cellStyle name="20% - Accent6 3 2 6" xfId="2310" xr:uid="{00000000-0005-0000-0000-000084030000}"/>
    <cellStyle name="20% - Accent6 3 2 6 2" xfId="6617" xr:uid="{00000000-0005-0000-0000-000085030000}"/>
    <cellStyle name="20% - Accent6 3 2 6 2 2" xfId="15059" xr:uid="{11B4A7D3-50DF-451B-A9D5-D6B27C2A883B}"/>
    <cellStyle name="20% - Accent6 3 2 6 3" xfId="10841" xr:uid="{2C258555-8AD1-4126-8B51-C29B92FC8B51}"/>
    <cellStyle name="20% - Accent6 3 2 7" xfId="4551" xr:uid="{00000000-0005-0000-0000-000086030000}"/>
    <cellStyle name="20% - Accent6 3 2 7 2" xfId="12993" xr:uid="{271F18BC-4371-4AA5-AA76-686CC68BE7D2}"/>
    <cellStyle name="20% - Accent6 3 2 8" xfId="8775" xr:uid="{4A102F32-7FB4-4A75-AE61-8DE62F928112}"/>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C41F093E-2252-49C4-ADE6-F80AEDE89396}"/>
    <cellStyle name="20% - Accent6 3 3 2 3" xfId="11333" xr:uid="{B6484CDC-619F-4A13-8F8D-7A1E208A2E2C}"/>
    <cellStyle name="20% - Accent6 3 3 3" xfId="4964" xr:uid="{00000000-0005-0000-0000-00008A030000}"/>
    <cellStyle name="20% - Accent6 3 3 3 2" xfId="13406" xr:uid="{EFB30C94-41A9-41E8-BE0B-AAD5CE4FAE92}"/>
    <cellStyle name="20% - Accent6 3 3 4" xfId="9188" xr:uid="{BDD1E4C1-83C7-4A63-8D6B-C37A277C787F}"/>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DD1DEB3A-A4DC-4846-8A43-82AFADB1A360}"/>
    <cellStyle name="20% - Accent6 3 4 2 3" xfId="11746" xr:uid="{9430121B-D9FC-479D-A87F-47EA09CB93D4}"/>
    <cellStyle name="20% - Accent6 3 4 3" xfId="5377" xr:uid="{00000000-0005-0000-0000-00008E030000}"/>
    <cellStyle name="20% - Accent6 3 4 3 2" xfId="13819" xr:uid="{79930B8C-5001-4E22-BCBF-646591E4AB01}"/>
    <cellStyle name="20% - Accent6 3 4 4" xfId="9601" xr:uid="{7D54635E-82D5-4A84-80FC-5A24B13C9F86}"/>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D39EF601-4E42-40CE-A1AC-A2D10256968C}"/>
    <cellStyle name="20% - Accent6 3 5 2 3" xfId="12159" xr:uid="{8B1C72A2-0C0B-484C-BF49-1AE5122F9FDA}"/>
    <cellStyle name="20% - Accent6 3 5 3" xfId="5790" xr:uid="{00000000-0005-0000-0000-000092030000}"/>
    <cellStyle name="20% - Accent6 3 5 3 2" xfId="14232" xr:uid="{78D37A84-606E-435C-BCCF-0A4B3D998B31}"/>
    <cellStyle name="20% - Accent6 3 5 4" xfId="10014" xr:uid="{87563B3E-909A-46E8-A59E-917E342ABA52}"/>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590CF04D-F62E-445F-A801-656D4EC5F290}"/>
    <cellStyle name="20% - Accent6 3 6 2 3" xfId="12572" xr:uid="{A64EE03A-49E2-42AB-A21D-F7E86CB61DE0}"/>
    <cellStyle name="20% - Accent6 3 6 3" xfId="6203" xr:uid="{00000000-0005-0000-0000-000096030000}"/>
    <cellStyle name="20% - Accent6 3 6 3 2" xfId="14645" xr:uid="{B6240E3B-95FB-4761-97BC-959FB35655CB}"/>
    <cellStyle name="20% - Accent6 3 6 4" xfId="10427" xr:uid="{8FDAA7E4-4888-412E-8960-454B2741BCFF}"/>
    <cellStyle name="20% - Accent6 3 7" xfId="2309" xr:uid="{00000000-0005-0000-0000-000097030000}"/>
    <cellStyle name="20% - Accent6 3 7 2" xfId="6616" xr:uid="{00000000-0005-0000-0000-000098030000}"/>
    <cellStyle name="20% - Accent6 3 7 2 2" xfId="15058" xr:uid="{65AB0410-9A2D-4AE0-951F-3E421A8B67F1}"/>
    <cellStyle name="20% - Accent6 3 7 3" xfId="10840" xr:uid="{DC47842B-C177-47B0-860B-7A6094EEC3D2}"/>
    <cellStyle name="20% - Accent6 3 8" xfId="4550" xr:uid="{00000000-0005-0000-0000-000099030000}"/>
    <cellStyle name="20% - Accent6 3 8 2" xfId="12992" xr:uid="{5D41D020-B5F3-454A-BD0F-9F841306C187}"/>
    <cellStyle name="20% - Accent6 3 9" xfId="8774" xr:uid="{9D07C519-1D31-4698-B0FF-3F6EAE186516}"/>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9F988F0E-935A-4193-BDD8-971907EFE512}"/>
    <cellStyle name="20% - Accent6 4 2 2 3" xfId="11335" xr:uid="{B95B4C0D-C3DE-4E17-B81A-2F43CFE7C42A}"/>
    <cellStyle name="20% - Accent6 4 2 3" xfId="4966" xr:uid="{00000000-0005-0000-0000-00009E030000}"/>
    <cellStyle name="20% - Accent6 4 2 3 2" xfId="13408" xr:uid="{66F7CBCE-86FA-4541-814E-1A93BFC64479}"/>
    <cellStyle name="20% - Accent6 4 2 4" xfId="9190" xr:uid="{A7C06CCA-77A3-4BF1-A7BF-47467C8B1CC2}"/>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0E491F6D-3B42-4E83-AC55-64733A74C92C}"/>
    <cellStyle name="20% - Accent6 4 3 2 3" xfId="11748" xr:uid="{04D211E4-672E-4AC8-BB7E-023936B03C73}"/>
    <cellStyle name="20% - Accent6 4 3 3" xfId="5379" xr:uid="{00000000-0005-0000-0000-0000A2030000}"/>
    <cellStyle name="20% - Accent6 4 3 3 2" xfId="13821" xr:uid="{2E712449-762A-4942-BB44-5B14B675357A}"/>
    <cellStyle name="20% - Accent6 4 3 4" xfId="9603" xr:uid="{68115ED6-E559-4C50-A1FC-A602610484E0}"/>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4A42148A-9BFF-47C3-9750-BD4880C85AB8}"/>
    <cellStyle name="20% - Accent6 4 4 2 3" xfId="12161" xr:uid="{FC2EBA3D-23E6-4443-89D2-B139D1C8B833}"/>
    <cellStyle name="20% - Accent6 4 4 3" xfId="5792" xr:uid="{00000000-0005-0000-0000-0000A6030000}"/>
    <cellStyle name="20% - Accent6 4 4 3 2" xfId="14234" xr:uid="{4BCD9DB2-1F0C-4AA9-A865-0C6EDAAC9009}"/>
    <cellStyle name="20% - Accent6 4 4 4" xfId="10016" xr:uid="{DA43A4E5-7349-4847-99E5-A6517EED1596}"/>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EE3FBC9E-90D9-46B1-86CA-874E6DABF652}"/>
    <cellStyle name="20% - Accent6 4 5 2 3" xfId="12574" xr:uid="{147FA3AA-A420-41CB-9AB0-CD6CEA2FE2E0}"/>
    <cellStyle name="20% - Accent6 4 5 3" xfId="6205" xr:uid="{00000000-0005-0000-0000-0000AA030000}"/>
    <cellStyle name="20% - Accent6 4 5 3 2" xfId="14647" xr:uid="{DA10FF81-6FA0-4A03-B749-041F5BFABBB5}"/>
    <cellStyle name="20% - Accent6 4 5 4" xfId="10429" xr:uid="{1CA875C5-B782-4F07-A08D-06005ABD8532}"/>
    <cellStyle name="20% - Accent6 4 6" xfId="2311" xr:uid="{00000000-0005-0000-0000-0000AB030000}"/>
    <cellStyle name="20% - Accent6 4 6 2" xfId="6618" xr:uid="{00000000-0005-0000-0000-0000AC030000}"/>
    <cellStyle name="20% - Accent6 4 6 2 2" xfId="15060" xr:uid="{6E9E031B-7475-4D2E-B39B-C317F6E8CE07}"/>
    <cellStyle name="20% - Accent6 4 6 3" xfId="10842" xr:uid="{00F81ED2-3359-45DB-99A2-22DD5622B1E1}"/>
    <cellStyle name="20% - Accent6 4 7" xfId="4552" xr:uid="{00000000-0005-0000-0000-0000AD030000}"/>
    <cellStyle name="20% - Accent6 4 7 2" xfId="12994" xr:uid="{4C06C5F2-A418-4F55-98C9-F97FCA481420}"/>
    <cellStyle name="20% - Accent6 4 8" xfId="8776" xr:uid="{E62A280D-DC56-4B5D-A16F-0D2CC104ADA9}"/>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8B4C274C-594C-4783-9D7D-5C5CD304F545}"/>
    <cellStyle name="20% - Accent6 5 2 3" xfId="11328" xr:uid="{E0392CC9-5540-45AA-86EC-FB931EC54918}"/>
    <cellStyle name="20% - Accent6 5 3" xfId="4959" xr:uid="{00000000-0005-0000-0000-0000B1030000}"/>
    <cellStyle name="20% - Accent6 5 3 2" xfId="13401" xr:uid="{3BFB0096-245D-4780-B6A5-C3ACF6A58C4C}"/>
    <cellStyle name="20% - Accent6 5 4" xfId="9183" xr:uid="{36912A44-EC50-4530-AA95-451DA24B07E9}"/>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7942F0A4-0DB3-402E-8C89-177DD94A348E}"/>
    <cellStyle name="20% - Accent6 6 2 3" xfId="11741" xr:uid="{118A3FB6-481B-4F8C-AC39-6272F5E1AF41}"/>
    <cellStyle name="20% - Accent6 6 3" xfId="5372" xr:uid="{00000000-0005-0000-0000-0000B5030000}"/>
    <cellStyle name="20% - Accent6 6 3 2" xfId="13814" xr:uid="{56F96F48-2206-45E7-BB23-8ADF9510CF8D}"/>
    <cellStyle name="20% - Accent6 6 4" xfId="9596" xr:uid="{59A9622B-AE39-496A-AFAE-F6E5CCE9D7B8}"/>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50D944CF-045F-40C2-9CD7-0EFC13580F71}"/>
    <cellStyle name="20% - Accent6 7 2 3" xfId="12154" xr:uid="{C02641B9-3CD6-473B-8BEF-CD875088CBDB}"/>
    <cellStyle name="20% - Accent6 7 3" xfId="5785" xr:uid="{00000000-0005-0000-0000-0000B9030000}"/>
    <cellStyle name="20% - Accent6 7 3 2" xfId="14227" xr:uid="{3ADCEE4A-AD9C-4B2E-B334-55663881919B}"/>
    <cellStyle name="20% - Accent6 7 4" xfId="10009" xr:uid="{0BBABE72-F975-4D75-ACA8-F19E2868A977}"/>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9FE828BB-582A-411B-9195-1CC3C2AC2B76}"/>
    <cellStyle name="20% - Accent6 8 2 3" xfId="12567" xr:uid="{827AAA67-904A-416C-AA19-B9F76CDC975D}"/>
    <cellStyle name="20% - Accent6 8 3" xfId="6198" xr:uid="{00000000-0005-0000-0000-0000BD030000}"/>
    <cellStyle name="20% - Accent6 8 3 2" xfId="14640" xr:uid="{43A6BA7B-E740-4757-B23B-E03756849353}"/>
    <cellStyle name="20% - Accent6 8 4" xfId="10422" xr:uid="{2B4C67FA-B447-4030-A6DE-98AAF69CF74E}"/>
    <cellStyle name="20% - Accent6 9" xfId="2304" xr:uid="{00000000-0005-0000-0000-0000BE030000}"/>
    <cellStyle name="20% - Accent6 9 2" xfId="6611" xr:uid="{00000000-0005-0000-0000-0000BF030000}"/>
    <cellStyle name="20% - Accent6 9 2 2" xfId="15053" xr:uid="{6BD764F9-719E-43E8-A6BD-17E0E189F4E0}"/>
    <cellStyle name="20% - Accent6 9 3" xfId="10835" xr:uid="{972C157A-22C4-47DB-ADD1-3A36676981F3}"/>
    <cellStyle name="40% - Accent1" xfId="49" builtinId="31" customBuiltin="1"/>
    <cellStyle name="40% - Accent1 10" xfId="4553" xr:uid="{00000000-0005-0000-0000-0000C1030000}"/>
    <cellStyle name="40% - Accent1 10 2" xfId="12995" xr:uid="{FA289CF4-997C-466E-8B0D-E715B63C9F14}"/>
    <cellStyle name="40% - Accent1 11" xfId="8777" xr:uid="{23D14790-457D-4BFF-A808-AB2D8E15A077}"/>
    <cellStyle name="40% - Accent1 2" xfId="50" xr:uid="{00000000-0005-0000-0000-0000C2030000}"/>
    <cellStyle name="40% - Accent1 2 10" xfId="8778" xr:uid="{091D3DDF-93B0-419C-84A3-A3E244BF3967}"/>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46B7DE0E-370F-4828-9890-58B8F1B8FE5A}"/>
    <cellStyle name="40% - Accent1 2 2 2 2 2 3" xfId="11339" xr:uid="{B88C77D2-7DF2-4637-BE6C-F5CE1511ABE4}"/>
    <cellStyle name="40% - Accent1 2 2 2 2 3" xfId="4970" xr:uid="{00000000-0005-0000-0000-0000C8030000}"/>
    <cellStyle name="40% - Accent1 2 2 2 2 3 2" xfId="13412" xr:uid="{9BECFC41-4E30-4470-B0C9-7A53B4A4CAF8}"/>
    <cellStyle name="40% - Accent1 2 2 2 2 4" xfId="9194" xr:uid="{615A0959-81C4-4B75-8A51-9F4E786A1C3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7D7AB814-A3FC-4BA8-A6CF-D6F849476605}"/>
    <cellStyle name="40% - Accent1 2 2 2 3 2 3" xfId="11752" xr:uid="{C6EFF9BF-25ED-4556-BCDD-04E8579306BA}"/>
    <cellStyle name="40% - Accent1 2 2 2 3 3" xfId="5383" xr:uid="{00000000-0005-0000-0000-0000CC030000}"/>
    <cellStyle name="40% - Accent1 2 2 2 3 3 2" xfId="13825" xr:uid="{6C626115-5D14-442F-BC8E-8342A67EBDBD}"/>
    <cellStyle name="40% - Accent1 2 2 2 3 4" xfId="9607" xr:uid="{C566D8FA-42FA-4868-A39A-2945061DA645}"/>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255EFE99-7BC3-4D5E-BC43-E64F2E451531}"/>
    <cellStyle name="40% - Accent1 2 2 2 4 2 3" xfId="12165" xr:uid="{D63FE610-74B0-44BA-B23A-4661C0B0BAAC}"/>
    <cellStyle name="40% - Accent1 2 2 2 4 3" xfId="5796" xr:uid="{00000000-0005-0000-0000-0000D0030000}"/>
    <cellStyle name="40% - Accent1 2 2 2 4 3 2" xfId="14238" xr:uid="{49B99E99-DCD2-4E6D-BE66-094D131BDEEE}"/>
    <cellStyle name="40% - Accent1 2 2 2 4 4" xfId="10020" xr:uid="{2E8B66C7-AADD-4C8C-953D-5876934412A1}"/>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2FB9A6CC-F2FB-4004-AE28-1BB52FE7FEC9}"/>
    <cellStyle name="40% - Accent1 2 2 2 5 2 3" xfId="12578" xr:uid="{55098E67-201F-44CB-9251-6ADA9021C0E0}"/>
    <cellStyle name="40% - Accent1 2 2 2 5 3" xfId="6209" xr:uid="{00000000-0005-0000-0000-0000D4030000}"/>
    <cellStyle name="40% - Accent1 2 2 2 5 3 2" xfId="14651" xr:uid="{E7A6E2A2-CB22-4808-BF6A-30E7B4DEAD65}"/>
    <cellStyle name="40% - Accent1 2 2 2 5 4" xfId="10433" xr:uid="{0FDC53E3-44A5-426A-977C-E56F93E3FC29}"/>
    <cellStyle name="40% - Accent1 2 2 2 6" xfId="2315" xr:uid="{00000000-0005-0000-0000-0000D5030000}"/>
    <cellStyle name="40% - Accent1 2 2 2 6 2" xfId="6622" xr:uid="{00000000-0005-0000-0000-0000D6030000}"/>
    <cellStyle name="40% - Accent1 2 2 2 6 2 2" xfId="15064" xr:uid="{B832C1A6-137C-4328-BEAD-EAE0081A89C7}"/>
    <cellStyle name="40% - Accent1 2 2 2 6 3" xfId="10846" xr:uid="{0FDD93BE-99F8-4ABD-BB32-1FD36D5122AD}"/>
    <cellStyle name="40% - Accent1 2 2 2 7" xfId="4556" xr:uid="{00000000-0005-0000-0000-0000D7030000}"/>
    <cellStyle name="40% - Accent1 2 2 2 7 2" xfId="12998" xr:uid="{AEFA1391-C210-4E40-8013-0DB2A9ED2533}"/>
    <cellStyle name="40% - Accent1 2 2 2 8" xfId="8780" xr:uid="{D76A7AC5-C20A-45F0-9971-E46BF126027B}"/>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A5D16E66-801F-4F07-B84C-922BDEE42C5C}"/>
    <cellStyle name="40% - Accent1 2 2 3 2 3" xfId="11338" xr:uid="{1368AA30-B87B-47BA-A65D-774A56C9DEE6}"/>
    <cellStyle name="40% - Accent1 2 2 3 3" xfId="4969" xr:uid="{00000000-0005-0000-0000-0000DB030000}"/>
    <cellStyle name="40% - Accent1 2 2 3 3 2" xfId="13411" xr:uid="{D6079E30-1212-416E-8D79-3721C58E59BC}"/>
    <cellStyle name="40% - Accent1 2 2 3 4" xfId="9193" xr:uid="{9BBF2F52-26B8-45E8-B773-2E7975C10F91}"/>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4382621C-B51E-4256-85CF-A63A9A85151E}"/>
    <cellStyle name="40% - Accent1 2 2 4 2 3" xfId="11751" xr:uid="{B9B7D427-FC85-488F-8506-EEC780E2E359}"/>
    <cellStyle name="40% - Accent1 2 2 4 3" xfId="5382" xr:uid="{00000000-0005-0000-0000-0000DF030000}"/>
    <cellStyle name="40% - Accent1 2 2 4 3 2" xfId="13824" xr:uid="{E2FAA94F-0DF7-4EC5-958E-90C8DB308598}"/>
    <cellStyle name="40% - Accent1 2 2 4 4" xfId="9606" xr:uid="{61E03E6A-8312-460D-ABB2-B3EA19FA43A2}"/>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B023DD89-6367-4457-AF45-48C5FF532352}"/>
    <cellStyle name="40% - Accent1 2 2 5 2 3" xfId="12164" xr:uid="{1A84EF3C-3357-4E11-A722-3B8B44B5A02F}"/>
    <cellStyle name="40% - Accent1 2 2 5 3" xfId="5795" xr:uid="{00000000-0005-0000-0000-0000E3030000}"/>
    <cellStyle name="40% - Accent1 2 2 5 3 2" xfId="14237" xr:uid="{17129B3E-35B9-4E66-9D0D-3C447EE9BE82}"/>
    <cellStyle name="40% - Accent1 2 2 5 4" xfId="10019" xr:uid="{4770A93C-227A-4FA7-BB57-D238FED53CBE}"/>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79554DC7-77C1-4A9E-9C8A-3C51ECAF75A4}"/>
    <cellStyle name="40% - Accent1 2 2 6 2 3" xfId="12577" xr:uid="{99FDCEAA-3A3D-4258-92B4-DB0356469CF0}"/>
    <cellStyle name="40% - Accent1 2 2 6 3" xfId="6208" xr:uid="{00000000-0005-0000-0000-0000E7030000}"/>
    <cellStyle name="40% - Accent1 2 2 6 3 2" xfId="14650" xr:uid="{082A93CD-D76E-4377-868F-B57C8341A9DC}"/>
    <cellStyle name="40% - Accent1 2 2 6 4" xfId="10432" xr:uid="{3CB192C6-52C8-46B1-A889-ADA04CA20ABA}"/>
    <cellStyle name="40% - Accent1 2 2 7" xfId="2314" xr:uid="{00000000-0005-0000-0000-0000E8030000}"/>
    <cellStyle name="40% - Accent1 2 2 7 2" xfId="6621" xr:uid="{00000000-0005-0000-0000-0000E9030000}"/>
    <cellStyle name="40% - Accent1 2 2 7 2 2" xfId="15063" xr:uid="{6FCFF5D6-2891-4675-87B1-D21552462E70}"/>
    <cellStyle name="40% - Accent1 2 2 7 3" xfId="10845" xr:uid="{B000BA0C-62AC-435A-A7F9-94229ED82304}"/>
    <cellStyle name="40% - Accent1 2 2 8" xfId="4555" xr:uid="{00000000-0005-0000-0000-0000EA030000}"/>
    <cellStyle name="40% - Accent1 2 2 8 2" xfId="12997" xr:uid="{D45C0544-7CBF-4674-8945-BDC2F5B820E6}"/>
    <cellStyle name="40% - Accent1 2 2 9" xfId="8779" xr:uid="{5118309E-BB48-4FFA-A483-286299312F92}"/>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9F32E189-CBAE-41D4-A22B-1D535B2156B5}"/>
    <cellStyle name="40% - Accent1 2 3 2 2 3" xfId="11340" xr:uid="{EED75A21-ABF7-427A-AEE4-0D5362447824}"/>
    <cellStyle name="40% - Accent1 2 3 2 3" xfId="4971" xr:uid="{00000000-0005-0000-0000-0000EF030000}"/>
    <cellStyle name="40% - Accent1 2 3 2 3 2" xfId="13413" xr:uid="{7F9026C5-F617-4965-9620-628A0622339B}"/>
    <cellStyle name="40% - Accent1 2 3 2 4" xfId="9195" xr:uid="{4ADE7184-267F-4552-8A1B-3E2845E6A72D}"/>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FDCA657E-6F2D-4AC9-890F-75FEFE2EDD2A}"/>
    <cellStyle name="40% - Accent1 2 3 3 2 3" xfId="11753" xr:uid="{A9CB7BB2-3DD7-4839-B1EF-465FB9648550}"/>
    <cellStyle name="40% - Accent1 2 3 3 3" xfId="5384" xr:uid="{00000000-0005-0000-0000-0000F3030000}"/>
    <cellStyle name="40% - Accent1 2 3 3 3 2" xfId="13826" xr:uid="{3B1E44D8-1387-42B8-B7F3-029804471163}"/>
    <cellStyle name="40% - Accent1 2 3 3 4" xfId="9608" xr:uid="{63CACDF9-01D7-4E08-9A2B-7BA838880281}"/>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559DF7A4-7F2D-4738-A115-3F258A05606D}"/>
    <cellStyle name="40% - Accent1 2 3 4 2 3" xfId="12166" xr:uid="{6CC5003B-894C-4B48-A59F-AF0D15EF58C8}"/>
    <cellStyle name="40% - Accent1 2 3 4 3" xfId="5797" xr:uid="{00000000-0005-0000-0000-0000F7030000}"/>
    <cellStyle name="40% - Accent1 2 3 4 3 2" xfId="14239" xr:uid="{62366C24-5154-43C9-956A-E690E7AA9528}"/>
    <cellStyle name="40% - Accent1 2 3 4 4" xfId="10021" xr:uid="{93CF9EEF-4658-45A1-9CF8-15C1BB00CC57}"/>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DEF95A43-83E9-4081-8C63-7EAD99C6DFB0}"/>
    <cellStyle name="40% - Accent1 2 3 5 2 3" xfId="12579" xr:uid="{97BCDB47-D10E-48FC-980C-316CC99E5FF3}"/>
    <cellStyle name="40% - Accent1 2 3 5 3" xfId="6210" xr:uid="{00000000-0005-0000-0000-0000FB030000}"/>
    <cellStyle name="40% - Accent1 2 3 5 3 2" xfId="14652" xr:uid="{AA99D30B-13A4-416D-816B-BFA8D7240CF2}"/>
    <cellStyle name="40% - Accent1 2 3 5 4" xfId="10434" xr:uid="{0C7B6D0C-DC53-468E-8A7C-9ADD89368FC3}"/>
    <cellStyle name="40% - Accent1 2 3 6" xfId="2316" xr:uid="{00000000-0005-0000-0000-0000FC030000}"/>
    <cellStyle name="40% - Accent1 2 3 6 2" xfId="6623" xr:uid="{00000000-0005-0000-0000-0000FD030000}"/>
    <cellStyle name="40% - Accent1 2 3 6 2 2" xfId="15065" xr:uid="{68A6DBD9-65AA-4190-A1B3-D477CD0C5BC1}"/>
    <cellStyle name="40% - Accent1 2 3 6 3" xfId="10847" xr:uid="{AC834B3A-69FD-4B22-80A3-3F4EF24009E9}"/>
    <cellStyle name="40% - Accent1 2 3 7" xfId="4557" xr:uid="{00000000-0005-0000-0000-0000FE030000}"/>
    <cellStyle name="40% - Accent1 2 3 7 2" xfId="12999" xr:uid="{F6010BD3-DB33-4856-ADA7-85B96DD0C186}"/>
    <cellStyle name="40% - Accent1 2 3 8" xfId="8781" xr:uid="{FAF6C7A2-3ACB-49F2-829A-57FCE39D6CEB}"/>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2B3EACE4-004A-4500-86C5-8258088FB3F8}"/>
    <cellStyle name="40% - Accent1 2 4 2 3" xfId="11337" xr:uid="{C3B0BF11-994D-4950-BC74-7199E77BAD78}"/>
    <cellStyle name="40% - Accent1 2 4 3" xfId="4968" xr:uid="{00000000-0005-0000-0000-000002040000}"/>
    <cellStyle name="40% - Accent1 2 4 3 2" xfId="13410" xr:uid="{4FE1C747-92AC-46B9-A6B0-6CA08F50C370}"/>
    <cellStyle name="40% - Accent1 2 4 4" xfId="9192" xr:uid="{80394E53-475E-4050-88E4-B498802FBD22}"/>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5C0EE23E-19C5-4A51-B42D-9018BE40A5C7}"/>
    <cellStyle name="40% - Accent1 2 5 2 3" xfId="11750" xr:uid="{200D99A8-B39E-4FEA-8D56-F23AC0B1FA0E}"/>
    <cellStyle name="40% - Accent1 2 5 3" xfId="5381" xr:uid="{00000000-0005-0000-0000-000006040000}"/>
    <cellStyle name="40% - Accent1 2 5 3 2" xfId="13823" xr:uid="{1A9D23DE-83C8-46A9-AF06-DBB8E141B573}"/>
    <cellStyle name="40% - Accent1 2 5 4" xfId="9605" xr:uid="{3A49EC95-A555-4BB2-9826-879E1B59BFF5}"/>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33C101E8-A1E1-417C-BD93-F2D68E24E42F}"/>
    <cellStyle name="40% - Accent1 2 6 2 3" xfId="12163" xr:uid="{10F9CBAF-7840-4C94-B2E6-2285B57E99ED}"/>
    <cellStyle name="40% - Accent1 2 6 3" xfId="5794" xr:uid="{00000000-0005-0000-0000-00000A040000}"/>
    <cellStyle name="40% - Accent1 2 6 3 2" xfId="14236" xr:uid="{652EF8AB-55F3-45F6-8B49-B492465B45B4}"/>
    <cellStyle name="40% - Accent1 2 6 4" xfId="10018" xr:uid="{CB1A10B6-A476-4B8B-B6B7-1377E5B8D81D}"/>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1DC2527B-C0F2-439F-8F32-0588F4F14C4A}"/>
    <cellStyle name="40% - Accent1 2 7 2 3" xfId="12576" xr:uid="{11ED9A13-AB03-4D8D-B992-A07A85EB5ECA}"/>
    <cellStyle name="40% - Accent1 2 7 3" xfId="6207" xr:uid="{00000000-0005-0000-0000-00000E040000}"/>
    <cellStyle name="40% - Accent1 2 7 3 2" xfId="14649" xr:uid="{4185F0B5-359B-4A16-8F1C-BA9A9A4AFE1F}"/>
    <cellStyle name="40% - Accent1 2 7 4" xfId="10431" xr:uid="{299BC7DB-0F26-47C0-84AF-AB5918E020D9}"/>
    <cellStyle name="40% - Accent1 2 8" xfId="2313" xr:uid="{00000000-0005-0000-0000-00000F040000}"/>
    <cellStyle name="40% - Accent1 2 8 2" xfId="6620" xr:uid="{00000000-0005-0000-0000-000010040000}"/>
    <cellStyle name="40% - Accent1 2 8 2 2" xfId="15062" xr:uid="{D1425B94-57CF-407D-A4EA-ED01ACDC32B3}"/>
    <cellStyle name="40% - Accent1 2 8 3" xfId="10844" xr:uid="{558FA05E-57FA-4B93-839B-3818C32DFB6D}"/>
    <cellStyle name="40% - Accent1 2 9" xfId="4554" xr:uid="{00000000-0005-0000-0000-000011040000}"/>
    <cellStyle name="40% - Accent1 2 9 2" xfId="12996" xr:uid="{3B1F1F9D-699C-418A-BFF2-E923B7B4FA81}"/>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1CCED097-FE6E-417A-B2DC-D553828CFC85}"/>
    <cellStyle name="40% - Accent1 3 2 2 2 3" xfId="11342" xr:uid="{C7BA6C5C-D7FD-4CE9-BB47-C0826941BFB8}"/>
    <cellStyle name="40% - Accent1 3 2 2 3" xfId="4973" xr:uid="{00000000-0005-0000-0000-000017040000}"/>
    <cellStyle name="40% - Accent1 3 2 2 3 2" xfId="13415" xr:uid="{1853B386-0261-4767-AEA4-4A1C23400C05}"/>
    <cellStyle name="40% - Accent1 3 2 2 4" xfId="9197" xr:uid="{48E6EE37-4F66-4C25-8F94-CF234EF7CC32}"/>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4059B2A7-0A83-4B03-9D7F-0DAA074ECA69}"/>
    <cellStyle name="40% - Accent1 3 2 3 2 3" xfId="11755" xr:uid="{47C4A209-7F6F-4604-A70B-75058FABA8F7}"/>
    <cellStyle name="40% - Accent1 3 2 3 3" xfId="5386" xr:uid="{00000000-0005-0000-0000-00001B040000}"/>
    <cellStyle name="40% - Accent1 3 2 3 3 2" xfId="13828" xr:uid="{A7926CFF-F31E-4FD4-88F2-A8B847098ECF}"/>
    <cellStyle name="40% - Accent1 3 2 3 4" xfId="9610" xr:uid="{47CBF149-DC4E-4BB6-9084-E5C7F5590EF2}"/>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B77E941A-3CA8-4429-A496-0C0C61E794F0}"/>
    <cellStyle name="40% - Accent1 3 2 4 2 3" xfId="12168" xr:uid="{2931C3B7-C0C1-4B45-AC04-FBA78AA5A044}"/>
    <cellStyle name="40% - Accent1 3 2 4 3" xfId="5799" xr:uid="{00000000-0005-0000-0000-00001F040000}"/>
    <cellStyle name="40% - Accent1 3 2 4 3 2" xfId="14241" xr:uid="{71389239-BCB6-49F5-BFF3-EF8275ABDCBF}"/>
    <cellStyle name="40% - Accent1 3 2 4 4" xfId="10023" xr:uid="{B69CD6BA-5C51-470D-909A-2E2DA0E39102}"/>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174E4FC4-58A7-4835-A3DF-00BCAFFAF45A}"/>
    <cellStyle name="40% - Accent1 3 2 5 2 3" xfId="12581" xr:uid="{3B656B34-1E1E-4B39-B75C-7DCD954DDDDA}"/>
    <cellStyle name="40% - Accent1 3 2 5 3" xfId="6212" xr:uid="{00000000-0005-0000-0000-000023040000}"/>
    <cellStyle name="40% - Accent1 3 2 5 3 2" xfId="14654" xr:uid="{97B579D1-D72C-4518-A59F-6F124DB4ED72}"/>
    <cellStyle name="40% - Accent1 3 2 5 4" xfId="10436" xr:uid="{7B44BB74-1B59-4257-AF24-31C619C53623}"/>
    <cellStyle name="40% - Accent1 3 2 6" xfId="2318" xr:uid="{00000000-0005-0000-0000-000024040000}"/>
    <cellStyle name="40% - Accent1 3 2 6 2" xfId="6625" xr:uid="{00000000-0005-0000-0000-000025040000}"/>
    <cellStyle name="40% - Accent1 3 2 6 2 2" xfId="15067" xr:uid="{BA95B16A-EDF4-4789-99F3-371F176E8619}"/>
    <cellStyle name="40% - Accent1 3 2 6 3" xfId="10849" xr:uid="{590A88A9-8F2B-4236-AB0B-37175235E2DE}"/>
    <cellStyle name="40% - Accent1 3 2 7" xfId="4559" xr:uid="{00000000-0005-0000-0000-000026040000}"/>
    <cellStyle name="40% - Accent1 3 2 7 2" xfId="13001" xr:uid="{D5E089D1-48F0-476C-B5A4-4F0E9CFD1E19}"/>
    <cellStyle name="40% - Accent1 3 2 8" xfId="8783" xr:uid="{D3467FE1-8793-4221-89AF-F97114DE624A}"/>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9D614012-FD6D-44EC-8FC2-DB7BB211A33A}"/>
    <cellStyle name="40% - Accent1 3 3 2 3" xfId="11341" xr:uid="{CA68D17A-FDCE-45E7-B42D-4FA0CBAB8FA4}"/>
    <cellStyle name="40% - Accent1 3 3 3" xfId="4972" xr:uid="{00000000-0005-0000-0000-00002A040000}"/>
    <cellStyle name="40% - Accent1 3 3 3 2" xfId="13414" xr:uid="{B5B8C069-8D7F-4EEA-8AD6-1C41B0966283}"/>
    <cellStyle name="40% - Accent1 3 3 4" xfId="9196" xr:uid="{A61CB42E-6A30-4DDB-8A8E-46E73FE12B92}"/>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7ED69EE7-ECE7-4EC6-A0BB-D21DE97139FF}"/>
    <cellStyle name="40% - Accent1 3 4 2 3" xfId="11754" xr:uid="{D0BD2C94-F360-4E3C-BA8D-4724E02DFE82}"/>
    <cellStyle name="40% - Accent1 3 4 3" xfId="5385" xr:uid="{00000000-0005-0000-0000-00002E040000}"/>
    <cellStyle name="40% - Accent1 3 4 3 2" xfId="13827" xr:uid="{E2FEC37E-0675-4CF6-A262-16427668667F}"/>
    <cellStyle name="40% - Accent1 3 4 4" xfId="9609" xr:uid="{C20BCF54-1BA9-4F46-A606-57521895156A}"/>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BB340B40-B3E0-4DC3-9512-F7A4B18E74A1}"/>
    <cellStyle name="40% - Accent1 3 5 2 3" xfId="12167" xr:uid="{B1977378-CD3A-41DB-938D-BA82D68EF07F}"/>
    <cellStyle name="40% - Accent1 3 5 3" xfId="5798" xr:uid="{00000000-0005-0000-0000-000032040000}"/>
    <cellStyle name="40% - Accent1 3 5 3 2" xfId="14240" xr:uid="{59AD36C8-8D86-4D1B-9D62-DE16D3B50965}"/>
    <cellStyle name="40% - Accent1 3 5 4" xfId="10022" xr:uid="{B2189992-A362-4E16-87E9-9800BF17E837}"/>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209D233E-D44E-4608-8E89-F7E93CAC3875}"/>
    <cellStyle name="40% - Accent1 3 6 2 3" xfId="12580" xr:uid="{824D2DA2-8A48-4B26-906D-C9BDE4FE2937}"/>
    <cellStyle name="40% - Accent1 3 6 3" xfId="6211" xr:uid="{00000000-0005-0000-0000-000036040000}"/>
    <cellStyle name="40% - Accent1 3 6 3 2" xfId="14653" xr:uid="{73C4205B-6AC4-484F-8EED-506BE9374466}"/>
    <cellStyle name="40% - Accent1 3 6 4" xfId="10435" xr:uid="{1BCE53BC-58C2-42F0-A212-BC9DBB392BDA}"/>
    <cellStyle name="40% - Accent1 3 7" xfId="2317" xr:uid="{00000000-0005-0000-0000-000037040000}"/>
    <cellStyle name="40% - Accent1 3 7 2" xfId="6624" xr:uid="{00000000-0005-0000-0000-000038040000}"/>
    <cellStyle name="40% - Accent1 3 7 2 2" xfId="15066" xr:uid="{996152A5-3522-4D25-B9D5-DC3A6C8672A6}"/>
    <cellStyle name="40% - Accent1 3 7 3" xfId="10848" xr:uid="{F5F62CE7-0CE9-45A2-9AEE-BF8BDD9FAB8E}"/>
    <cellStyle name="40% - Accent1 3 8" xfId="4558" xr:uid="{00000000-0005-0000-0000-000039040000}"/>
    <cellStyle name="40% - Accent1 3 8 2" xfId="13000" xr:uid="{4183CB29-BA90-46FF-8304-CE9D493C716F}"/>
    <cellStyle name="40% - Accent1 3 9" xfId="8782" xr:uid="{B35EA7C8-D4D7-4DC4-AAFD-BA5E29C72A69}"/>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094A7049-0293-4735-AC95-A7A4CFD183B6}"/>
    <cellStyle name="40% - Accent1 4 2 2 3" xfId="11343" xr:uid="{FC1F6FDD-4EF6-4B83-9D2F-AA6DE71CD059}"/>
    <cellStyle name="40% - Accent1 4 2 3" xfId="4974" xr:uid="{00000000-0005-0000-0000-00003E040000}"/>
    <cellStyle name="40% - Accent1 4 2 3 2" xfId="13416" xr:uid="{2E2024C6-6E31-46E6-89E9-0FBE437C838A}"/>
    <cellStyle name="40% - Accent1 4 2 4" xfId="9198" xr:uid="{C3D9D5ED-DFD9-487C-A321-734097DB24B4}"/>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966B7414-8191-4432-955B-9594E80DD872}"/>
    <cellStyle name="40% - Accent1 4 3 2 3" xfId="11756" xr:uid="{AA545B6E-A3ED-436F-AD5C-C0C8C978AA20}"/>
    <cellStyle name="40% - Accent1 4 3 3" xfId="5387" xr:uid="{00000000-0005-0000-0000-000042040000}"/>
    <cellStyle name="40% - Accent1 4 3 3 2" xfId="13829" xr:uid="{B8037190-E723-4CBF-B692-AE8028F2F87F}"/>
    <cellStyle name="40% - Accent1 4 3 4" xfId="9611" xr:uid="{A299E88E-EEDE-4599-981C-98DF70403D34}"/>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52C409F4-EF6F-4705-BB65-301833D15A31}"/>
    <cellStyle name="40% - Accent1 4 4 2 3" xfId="12169" xr:uid="{FE6B2721-BFAF-4503-BA8B-D9CD0782C05C}"/>
    <cellStyle name="40% - Accent1 4 4 3" xfId="5800" xr:uid="{00000000-0005-0000-0000-000046040000}"/>
    <cellStyle name="40% - Accent1 4 4 3 2" xfId="14242" xr:uid="{3429817C-5A34-47F6-9373-DF93328D2B3B}"/>
    <cellStyle name="40% - Accent1 4 4 4" xfId="10024" xr:uid="{16595518-CDF9-476C-85C7-E1D626EC71B8}"/>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9CA8F0F4-B509-4B9B-B224-01F161E5317C}"/>
    <cellStyle name="40% - Accent1 4 5 2 3" xfId="12582" xr:uid="{45052486-3E8E-4B38-ACDC-0E0F0A63038D}"/>
    <cellStyle name="40% - Accent1 4 5 3" xfId="6213" xr:uid="{00000000-0005-0000-0000-00004A040000}"/>
    <cellStyle name="40% - Accent1 4 5 3 2" xfId="14655" xr:uid="{8FC4D812-35EC-4217-90EB-995280D3851D}"/>
    <cellStyle name="40% - Accent1 4 5 4" xfId="10437" xr:uid="{2E6F014E-423A-4D37-9C05-40D9BD7615FF}"/>
    <cellStyle name="40% - Accent1 4 6" xfId="2319" xr:uid="{00000000-0005-0000-0000-00004B040000}"/>
    <cellStyle name="40% - Accent1 4 6 2" xfId="6626" xr:uid="{00000000-0005-0000-0000-00004C040000}"/>
    <cellStyle name="40% - Accent1 4 6 2 2" xfId="15068" xr:uid="{9ABDCA2C-0C41-421E-BA45-5707F5A0161A}"/>
    <cellStyle name="40% - Accent1 4 6 3" xfId="10850" xr:uid="{0D3A541A-2442-4D95-AD72-11DCE0E3157B}"/>
    <cellStyle name="40% - Accent1 4 7" xfId="4560" xr:uid="{00000000-0005-0000-0000-00004D040000}"/>
    <cellStyle name="40% - Accent1 4 7 2" xfId="13002" xr:uid="{AA4A6BAD-BF4F-4465-A19C-61D7FD84C743}"/>
    <cellStyle name="40% - Accent1 4 8" xfId="8784" xr:uid="{281EEA7A-C418-4899-BABB-AC4457F3ACDF}"/>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511AE5B5-839E-4EE4-BE80-11B613EA2FC4}"/>
    <cellStyle name="40% - Accent1 5 2 3" xfId="11336" xr:uid="{589AEC9D-358C-45C9-8649-6FF2231B550A}"/>
    <cellStyle name="40% - Accent1 5 3" xfId="4967" xr:uid="{00000000-0005-0000-0000-000051040000}"/>
    <cellStyle name="40% - Accent1 5 3 2" xfId="13409" xr:uid="{70D5C20D-E729-4715-9883-27E8BA0DC23D}"/>
    <cellStyle name="40% - Accent1 5 4" xfId="9191" xr:uid="{6F9B0B5E-53B9-472D-A011-ADE924B9A8EB}"/>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930846CD-18D4-44FB-94A1-52992B786CA3}"/>
    <cellStyle name="40% - Accent1 6 2 3" xfId="11749" xr:uid="{2D32BB6C-FDB0-4B75-900E-699E10EA6069}"/>
    <cellStyle name="40% - Accent1 6 3" xfId="5380" xr:uid="{00000000-0005-0000-0000-000055040000}"/>
    <cellStyle name="40% - Accent1 6 3 2" xfId="13822" xr:uid="{56DC8DEF-05BB-4D3F-B139-2884FA7EAE25}"/>
    <cellStyle name="40% - Accent1 6 4" xfId="9604" xr:uid="{2FF661AB-F4A4-4584-A52A-E35929E53214}"/>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32B043E6-EF6A-4C77-9801-49BED970E80A}"/>
    <cellStyle name="40% - Accent1 7 2 3" xfId="12162" xr:uid="{79F4CF2A-7A78-42FF-8864-1C91F8ADED9A}"/>
    <cellStyle name="40% - Accent1 7 3" xfId="5793" xr:uid="{00000000-0005-0000-0000-000059040000}"/>
    <cellStyle name="40% - Accent1 7 3 2" xfId="14235" xr:uid="{B009947F-6C12-4622-97B2-54E3CCBC57E7}"/>
    <cellStyle name="40% - Accent1 7 4" xfId="10017" xr:uid="{0BC98F60-1D14-4338-8342-518E7EB9EC27}"/>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F4A6A6A3-9A80-42E9-B67E-F46CC879C920}"/>
    <cellStyle name="40% - Accent1 8 2 3" xfId="12575" xr:uid="{C5B2C8C2-F1C9-4E2E-A354-1D533C320103}"/>
    <cellStyle name="40% - Accent1 8 3" xfId="6206" xr:uid="{00000000-0005-0000-0000-00005D040000}"/>
    <cellStyle name="40% - Accent1 8 3 2" xfId="14648" xr:uid="{8A7B89E9-4FC3-4248-BB00-82FC1D32DDCA}"/>
    <cellStyle name="40% - Accent1 8 4" xfId="10430" xr:uid="{DA1EDB54-94F0-4C42-A030-BD5B10415664}"/>
    <cellStyle name="40% - Accent1 9" xfId="2312" xr:uid="{00000000-0005-0000-0000-00005E040000}"/>
    <cellStyle name="40% - Accent1 9 2" xfId="6619" xr:uid="{00000000-0005-0000-0000-00005F040000}"/>
    <cellStyle name="40% - Accent1 9 2 2" xfId="15061" xr:uid="{C3D38076-1189-402E-90E9-C11933E044B7}"/>
    <cellStyle name="40% - Accent1 9 3" xfId="10843" xr:uid="{DC010592-BED7-46DB-84E5-732CDE942681}"/>
    <cellStyle name="40% - Accent2" xfId="57" builtinId="35" customBuiltin="1"/>
    <cellStyle name="40% - Accent2 10" xfId="4561" xr:uid="{00000000-0005-0000-0000-000061040000}"/>
    <cellStyle name="40% - Accent2 10 2" xfId="13003" xr:uid="{F81B60EE-E809-4546-9C91-10D292AF319C}"/>
    <cellStyle name="40% - Accent2 11" xfId="8785" xr:uid="{52F8ED45-FFAA-4033-981C-FA969E4C1D43}"/>
    <cellStyle name="40% - Accent2 2" xfId="58" xr:uid="{00000000-0005-0000-0000-000062040000}"/>
    <cellStyle name="40% - Accent2 2 10" xfId="8786" xr:uid="{894783F7-93A2-436B-971F-229922395827}"/>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07E092EC-A3C4-42D9-BF6F-07712E4C2BFC}"/>
    <cellStyle name="40% - Accent2 2 2 2 2 2 3" xfId="11347" xr:uid="{A3A4E22B-7424-4DC6-A762-0B935BD28569}"/>
    <cellStyle name="40% - Accent2 2 2 2 2 3" xfId="4978" xr:uid="{00000000-0005-0000-0000-000068040000}"/>
    <cellStyle name="40% - Accent2 2 2 2 2 3 2" xfId="13420" xr:uid="{8A5D69DF-D75B-4FC1-BB9E-A74522E748A5}"/>
    <cellStyle name="40% - Accent2 2 2 2 2 4" xfId="9202" xr:uid="{D3E87FDF-D48F-4607-AB0C-2DA9E4850986}"/>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558EFD97-E4C8-41C9-9D37-93B2EDB71BA7}"/>
    <cellStyle name="40% - Accent2 2 2 2 3 2 3" xfId="11760" xr:uid="{C2C6F361-85E8-4B51-B05F-2BDFA12B22EE}"/>
    <cellStyle name="40% - Accent2 2 2 2 3 3" xfId="5391" xr:uid="{00000000-0005-0000-0000-00006C040000}"/>
    <cellStyle name="40% - Accent2 2 2 2 3 3 2" xfId="13833" xr:uid="{3F969E3D-377E-4368-B99F-FA781710E388}"/>
    <cellStyle name="40% - Accent2 2 2 2 3 4" xfId="9615" xr:uid="{535B2290-5CBF-42B3-AFB3-0F80744D823F}"/>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8413F455-53A2-40A9-8C67-9280862AB2EA}"/>
    <cellStyle name="40% - Accent2 2 2 2 4 2 3" xfId="12173" xr:uid="{65894995-F05E-461B-A689-98DC394B038D}"/>
    <cellStyle name="40% - Accent2 2 2 2 4 3" xfId="5804" xr:uid="{00000000-0005-0000-0000-000070040000}"/>
    <cellStyle name="40% - Accent2 2 2 2 4 3 2" xfId="14246" xr:uid="{A7E0F608-6AD1-4E56-A874-9C86A9860454}"/>
    <cellStyle name="40% - Accent2 2 2 2 4 4" xfId="10028" xr:uid="{C00BD8FE-83D5-4546-8323-BD9491F1534B}"/>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C17EC4DC-4AFE-470D-8CA8-2FE008D3CE4A}"/>
    <cellStyle name="40% - Accent2 2 2 2 5 2 3" xfId="12586" xr:uid="{39A3AE82-6291-476B-AC64-59D503086E48}"/>
    <cellStyle name="40% - Accent2 2 2 2 5 3" xfId="6217" xr:uid="{00000000-0005-0000-0000-000074040000}"/>
    <cellStyle name="40% - Accent2 2 2 2 5 3 2" xfId="14659" xr:uid="{64BD476C-B7A7-4CD8-9B95-DB924D363C3E}"/>
    <cellStyle name="40% - Accent2 2 2 2 5 4" xfId="10441" xr:uid="{9D6FCAA0-49EE-417C-84E1-F0FC0062BA93}"/>
    <cellStyle name="40% - Accent2 2 2 2 6" xfId="2323" xr:uid="{00000000-0005-0000-0000-000075040000}"/>
    <cellStyle name="40% - Accent2 2 2 2 6 2" xfId="6630" xr:uid="{00000000-0005-0000-0000-000076040000}"/>
    <cellStyle name="40% - Accent2 2 2 2 6 2 2" xfId="15072" xr:uid="{66825B5D-581E-432B-8A6E-924C938D303D}"/>
    <cellStyle name="40% - Accent2 2 2 2 6 3" xfId="10854" xr:uid="{5FB77982-E98A-45EB-8EE9-625137EC23E2}"/>
    <cellStyle name="40% - Accent2 2 2 2 7" xfId="4564" xr:uid="{00000000-0005-0000-0000-000077040000}"/>
    <cellStyle name="40% - Accent2 2 2 2 7 2" xfId="13006" xr:uid="{7B4A18CD-C9A0-4287-8AD1-2C1BBBDF7048}"/>
    <cellStyle name="40% - Accent2 2 2 2 8" xfId="8788" xr:uid="{E0513CE0-8B6D-4AEB-8ECD-E07AEA6EF453}"/>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033C546D-E156-419A-9099-FC713EBBB7D1}"/>
    <cellStyle name="40% - Accent2 2 2 3 2 3" xfId="11346" xr:uid="{E0C415B3-B9C4-40FF-91B7-0716F523CBFC}"/>
    <cellStyle name="40% - Accent2 2 2 3 3" xfId="4977" xr:uid="{00000000-0005-0000-0000-00007B040000}"/>
    <cellStyle name="40% - Accent2 2 2 3 3 2" xfId="13419" xr:uid="{4212DBC6-F028-46AF-83A8-71CEB40F716F}"/>
    <cellStyle name="40% - Accent2 2 2 3 4" xfId="9201" xr:uid="{E3EEE9B7-C567-4FE4-8F77-196F73AABD89}"/>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F5A0CC65-4BE5-4554-B61B-8DD67B3B1B82}"/>
    <cellStyle name="40% - Accent2 2 2 4 2 3" xfId="11759" xr:uid="{2E5DE229-033C-4B91-9A08-D63FE3B5D015}"/>
    <cellStyle name="40% - Accent2 2 2 4 3" xfId="5390" xr:uid="{00000000-0005-0000-0000-00007F040000}"/>
    <cellStyle name="40% - Accent2 2 2 4 3 2" xfId="13832" xr:uid="{0E77E25F-F4F9-45B1-AD1D-082CE0C01EFC}"/>
    <cellStyle name="40% - Accent2 2 2 4 4" xfId="9614" xr:uid="{FF008633-4764-4452-9341-7F1D57B5E9D9}"/>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F3EB4625-E8D8-404A-9C2D-3D1BF048E7EE}"/>
    <cellStyle name="40% - Accent2 2 2 5 2 3" xfId="12172" xr:uid="{E3902F60-90F5-4671-BC5A-3D453721FCDC}"/>
    <cellStyle name="40% - Accent2 2 2 5 3" xfId="5803" xr:uid="{00000000-0005-0000-0000-000083040000}"/>
    <cellStyle name="40% - Accent2 2 2 5 3 2" xfId="14245" xr:uid="{A6763F4F-C525-476E-ACB6-FBD263AE2DBE}"/>
    <cellStyle name="40% - Accent2 2 2 5 4" xfId="10027" xr:uid="{2507F736-E3DB-4564-8C74-870A1AD39D1C}"/>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930CEB21-D94C-48A4-85E0-C6080816996A}"/>
    <cellStyle name="40% - Accent2 2 2 6 2 3" xfId="12585" xr:uid="{87298067-A33A-43E2-8FEA-79638A45D24B}"/>
    <cellStyle name="40% - Accent2 2 2 6 3" xfId="6216" xr:uid="{00000000-0005-0000-0000-000087040000}"/>
    <cellStyle name="40% - Accent2 2 2 6 3 2" xfId="14658" xr:uid="{AB683DBB-0185-4545-96FD-0B63D75EF05F}"/>
    <cellStyle name="40% - Accent2 2 2 6 4" xfId="10440" xr:uid="{16162807-0880-44CF-A2DC-CBD9E4B1DBF9}"/>
    <cellStyle name="40% - Accent2 2 2 7" xfId="2322" xr:uid="{00000000-0005-0000-0000-000088040000}"/>
    <cellStyle name="40% - Accent2 2 2 7 2" xfId="6629" xr:uid="{00000000-0005-0000-0000-000089040000}"/>
    <cellStyle name="40% - Accent2 2 2 7 2 2" xfId="15071" xr:uid="{C70DB595-FEC2-426B-93DA-5CC87D468B72}"/>
    <cellStyle name="40% - Accent2 2 2 7 3" xfId="10853" xr:uid="{97108F86-353F-4FDD-B181-618572BCEDFC}"/>
    <cellStyle name="40% - Accent2 2 2 8" xfId="4563" xr:uid="{00000000-0005-0000-0000-00008A040000}"/>
    <cellStyle name="40% - Accent2 2 2 8 2" xfId="13005" xr:uid="{D6667456-AC4F-421E-BD6F-6E6EF49ECC29}"/>
    <cellStyle name="40% - Accent2 2 2 9" xfId="8787" xr:uid="{5308E5AF-30EE-46EF-A5A7-5997CDD67C84}"/>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C0060396-3F6F-442C-91DA-05A2DAECD0EF}"/>
    <cellStyle name="40% - Accent2 2 3 2 2 3" xfId="11348" xr:uid="{C616448C-21BF-4D51-8D33-E4BDA06EF881}"/>
    <cellStyle name="40% - Accent2 2 3 2 3" xfId="4979" xr:uid="{00000000-0005-0000-0000-00008F040000}"/>
    <cellStyle name="40% - Accent2 2 3 2 3 2" xfId="13421" xr:uid="{E3C91BC1-061A-4B8B-960B-064719BFCA57}"/>
    <cellStyle name="40% - Accent2 2 3 2 4" xfId="9203" xr:uid="{BFB3D939-9658-4154-A0B8-2BBC8A993A3E}"/>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77BA977F-D707-4E23-B45C-704E822AAE86}"/>
    <cellStyle name="40% - Accent2 2 3 3 2 3" xfId="11761" xr:uid="{2902E5B8-1752-4FB9-9452-CB67EAF96E1C}"/>
    <cellStyle name="40% - Accent2 2 3 3 3" xfId="5392" xr:uid="{00000000-0005-0000-0000-000093040000}"/>
    <cellStyle name="40% - Accent2 2 3 3 3 2" xfId="13834" xr:uid="{6BD5B109-6164-47BD-B320-CCECBA3D118F}"/>
    <cellStyle name="40% - Accent2 2 3 3 4" xfId="9616" xr:uid="{8C306FB0-28E5-4B11-8FF2-C3FE7B4CB258}"/>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83C37AF1-74A9-4AAC-A3B8-50BECFF37DD9}"/>
    <cellStyle name="40% - Accent2 2 3 4 2 3" xfId="12174" xr:uid="{20E96CFA-1817-4882-8462-CB2E040B5507}"/>
    <cellStyle name="40% - Accent2 2 3 4 3" xfId="5805" xr:uid="{00000000-0005-0000-0000-000097040000}"/>
    <cellStyle name="40% - Accent2 2 3 4 3 2" xfId="14247" xr:uid="{CBB70FE4-F97F-4D53-8DDC-89399C0DA4B4}"/>
    <cellStyle name="40% - Accent2 2 3 4 4" xfId="10029" xr:uid="{5CCD9783-B470-4826-BA57-3763709E69FF}"/>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DCBF4B07-8C93-4B0A-A57F-2AE885B827D2}"/>
    <cellStyle name="40% - Accent2 2 3 5 2 3" xfId="12587" xr:uid="{040510EC-7C0E-4137-BBD5-6F2BF4C26E14}"/>
    <cellStyle name="40% - Accent2 2 3 5 3" xfId="6218" xr:uid="{00000000-0005-0000-0000-00009B040000}"/>
    <cellStyle name="40% - Accent2 2 3 5 3 2" xfId="14660" xr:uid="{C80BBADE-6EB7-4120-9243-29FE01E2DBC9}"/>
    <cellStyle name="40% - Accent2 2 3 5 4" xfId="10442" xr:uid="{7C59F6D6-D04D-4E7C-8195-38B37E2E1A7E}"/>
    <cellStyle name="40% - Accent2 2 3 6" xfId="2324" xr:uid="{00000000-0005-0000-0000-00009C040000}"/>
    <cellStyle name="40% - Accent2 2 3 6 2" xfId="6631" xr:uid="{00000000-0005-0000-0000-00009D040000}"/>
    <cellStyle name="40% - Accent2 2 3 6 2 2" xfId="15073" xr:uid="{D7BE6BAC-C4D3-4C57-80DB-2BF614752441}"/>
    <cellStyle name="40% - Accent2 2 3 6 3" xfId="10855" xr:uid="{C9EE9029-C9E0-47D3-9276-C1DD76F3166E}"/>
    <cellStyle name="40% - Accent2 2 3 7" xfId="4565" xr:uid="{00000000-0005-0000-0000-00009E040000}"/>
    <cellStyle name="40% - Accent2 2 3 7 2" xfId="13007" xr:uid="{16B3B34C-ECD1-413C-B432-F02609DA80B2}"/>
    <cellStyle name="40% - Accent2 2 3 8" xfId="8789" xr:uid="{22EFC795-500D-4A72-9838-B5107E26E109}"/>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7D1A02E4-CDB3-4B7C-89B1-4E5C6E5868AA}"/>
    <cellStyle name="40% - Accent2 2 4 2 3" xfId="11345" xr:uid="{E4C59CBF-744A-44A6-B9C7-E3FC4273D56A}"/>
    <cellStyle name="40% - Accent2 2 4 3" xfId="4976" xr:uid="{00000000-0005-0000-0000-0000A2040000}"/>
    <cellStyle name="40% - Accent2 2 4 3 2" xfId="13418" xr:uid="{83D8EECA-FDDF-4270-B6C5-31B8215235DF}"/>
    <cellStyle name="40% - Accent2 2 4 4" xfId="9200" xr:uid="{55E78A6C-913E-40BD-8BC7-E3AC2814A224}"/>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51BE63C2-FEC1-4CED-9006-17F3D549E274}"/>
    <cellStyle name="40% - Accent2 2 5 2 3" xfId="11758" xr:uid="{CDE3FF2D-67D5-41E6-AA95-17C86F3ED48A}"/>
    <cellStyle name="40% - Accent2 2 5 3" xfId="5389" xr:uid="{00000000-0005-0000-0000-0000A6040000}"/>
    <cellStyle name="40% - Accent2 2 5 3 2" xfId="13831" xr:uid="{9A3EC154-52CE-46BB-8612-A34A80B43E20}"/>
    <cellStyle name="40% - Accent2 2 5 4" xfId="9613" xr:uid="{879E8DC4-6C1F-4E42-B544-DF17A15CAA48}"/>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46C405D5-8BAF-4977-AF80-706672246EDC}"/>
    <cellStyle name="40% - Accent2 2 6 2 3" xfId="12171" xr:uid="{980BD9E7-0AE2-477E-A20E-C07CB22A9421}"/>
    <cellStyle name="40% - Accent2 2 6 3" xfId="5802" xr:uid="{00000000-0005-0000-0000-0000AA040000}"/>
    <cellStyle name="40% - Accent2 2 6 3 2" xfId="14244" xr:uid="{CB12EB18-DD86-4398-B7A1-F0BA19B81E9B}"/>
    <cellStyle name="40% - Accent2 2 6 4" xfId="10026" xr:uid="{53549394-8657-4526-9154-B434C787CC63}"/>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5E5B9B64-D95A-40D4-BD6A-2971061CD7D4}"/>
    <cellStyle name="40% - Accent2 2 7 2 3" xfId="12584" xr:uid="{F349161D-0CAE-40B9-B4A4-EFBD52C3DE76}"/>
    <cellStyle name="40% - Accent2 2 7 3" xfId="6215" xr:uid="{00000000-0005-0000-0000-0000AE040000}"/>
    <cellStyle name="40% - Accent2 2 7 3 2" xfId="14657" xr:uid="{4BB8CF4E-4107-476E-A979-E52D4315B2FF}"/>
    <cellStyle name="40% - Accent2 2 7 4" xfId="10439" xr:uid="{B365BBDF-9964-4CAF-95D8-55DF0D5AC787}"/>
    <cellStyle name="40% - Accent2 2 8" xfId="2321" xr:uid="{00000000-0005-0000-0000-0000AF040000}"/>
    <cellStyle name="40% - Accent2 2 8 2" xfId="6628" xr:uid="{00000000-0005-0000-0000-0000B0040000}"/>
    <cellStyle name="40% - Accent2 2 8 2 2" xfId="15070" xr:uid="{752A077E-A77E-4CED-93A1-C572EA13227D}"/>
    <cellStyle name="40% - Accent2 2 8 3" xfId="10852" xr:uid="{AFE850BC-04B1-42B8-9A48-A6763C8EE09B}"/>
    <cellStyle name="40% - Accent2 2 9" xfId="4562" xr:uid="{00000000-0005-0000-0000-0000B1040000}"/>
    <cellStyle name="40% - Accent2 2 9 2" xfId="13004" xr:uid="{0BB65C86-52B8-43FF-BB97-8CB3CF3786B6}"/>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F46716E3-11EE-43FB-B282-098E175C9725}"/>
    <cellStyle name="40% - Accent2 3 2 2 2 3" xfId="11350" xr:uid="{BC36894F-C0E6-4D89-8B29-DED8653605AA}"/>
    <cellStyle name="40% - Accent2 3 2 2 3" xfId="4981" xr:uid="{00000000-0005-0000-0000-0000B7040000}"/>
    <cellStyle name="40% - Accent2 3 2 2 3 2" xfId="13423" xr:uid="{C7906126-121A-4518-B38C-B11BE68452A7}"/>
    <cellStyle name="40% - Accent2 3 2 2 4" xfId="9205" xr:uid="{0344E164-ECD1-4084-A51A-00D21BB60E11}"/>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73300895-5BCA-4FFF-AF49-AE5993844531}"/>
    <cellStyle name="40% - Accent2 3 2 3 2 3" xfId="11763" xr:uid="{0DC68DD5-E2ED-4629-AEBC-6AE8FDD198FD}"/>
    <cellStyle name="40% - Accent2 3 2 3 3" xfId="5394" xr:uid="{00000000-0005-0000-0000-0000BB040000}"/>
    <cellStyle name="40% - Accent2 3 2 3 3 2" xfId="13836" xr:uid="{0DFAE649-305F-4584-A648-AEB22501C9CF}"/>
    <cellStyle name="40% - Accent2 3 2 3 4" xfId="9618" xr:uid="{F8B11B73-2610-43C3-810B-90443DF32C87}"/>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BEFE7A46-D83E-4831-8654-D5A74B0BC27B}"/>
    <cellStyle name="40% - Accent2 3 2 4 2 3" xfId="12176" xr:uid="{A96F4864-E2F0-4A83-9850-21F85C5033C9}"/>
    <cellStyle name="40% - Accent2 3 2 4 3" xfId="5807" xr:uid="{00000000-0005-0000-0000-0000BF040000}"/>
    <cellStyle name="40% - Accent2 3 2 4 3 2" xfId="14249" xr:uid="{A8E9C54C-C975-4674-B1CA-0C8AE5800598}"/>
    <cellStyle name="40% - Accent2 3 2 4 4" xfId="10031" xr:uid="{6741A420-FE81-458F-8890-00CE002FD6FC}"/>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58261A9F-4857-4D40-9071-5A68CC40275A}"/>
    <cellStyle name="40% - Accent2 3 2 5 2 3" xfId="12589" xr:uid="{0A4403CA-2D21-4808-8FF6-BD2787925D0B}"/>
    <cellStyle name="40% - Accent2 3 2 5 3" xfId="6220" xr:uid="{00000000-0005-0000-0000-0000C3040000}"/>
    <cellStyle name="40% - Accent2 3 2 5 3 2" xfId="14662" xr:uid="{BFCAFC52-8E8B-4FAE-AA8D-5C83CED9D2C4}"/>
    <cellStyle name="40% - Accent2 3 2 5 4" xfId="10444" xr:uid="{7288E52D-ACE3-4F52-A7AB-864FC1A09B58}"/>
    <cellStyle name="40% - Accent2 3 2 6" xfId="2326" xr:uid="{00000000-0005-0000-0000-0000C4040000}"/>
    <cellStyle name="40% - Accent2 3 2 6 2" xfId="6633" xr:uid="{00000000-0005-0000-0000-0000C5040000}"/>
    <cellStyle name="40% - Accent2 3 2 6 2 2" xfId="15075" xr:uid="{DDD507B9-3161-4F6C-9F15-984E84C4D17E}"/>
    <cellStyle name="40% - Accent2 3 2 6 3" xfId="10857" xr:uid="{7003A3C9-8124-47AC-B0E9-DDC1F83FAEA8}"/>
    <cellStyle name="40% - Accent2 3 2 7" xfId="4567" xr:uid="{00000000-0005-0000-0000-0000C6040000}"/>
    <cellStyle name="40% - Accent2 3 2 7 2" xfId="13009" xr:uid="{B4AF89D3-9412-4819-9A72-1D7EA3CD315F}"/>
    <cellStyle name="40% - Accent2 3 2 8" xfId="8791" xr:uid="{2B59EF4B-25FD-42D0-BA74-46249DDD7E8D}"/>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BCE1ADAE-747D-4BF0-9F29-CBF0A29204F0}"/>
    <cellStyle name="40% - Accent2 3 3 2 3" xfId="11349" xr:uid="{AA221106-BE1C-4692-B92D-7B4EBD1E1A12}"/>
    <cellStyle name="40% - Accent2 3 3 3" xfId="4980" xr:uid="{00000000-0005-0000-0000-0000CA040000}"/>
    <cellStyle name="40% - Accent2 3 3 3 2" xfId="13422" xr:uid="{6FF64D19-1492-4925-B3A4-ED5A70C46B25}"/>
    <cellStyle name="40% - Accent2 3 3 4" xfId="9204" xr:uid="{AA8C0F80-E006-419E-9819-FC59A62EE6C4}"/>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A541556B-01AB-4415-93E6-4F9BE3A7CD89}"/>
    <cellStyle name="40% - Accent2 3 4 2 3" xfId="11762" xr:uid="{A9FF6ED3-2839-4DB2-9DEC-492A58437581}"/>
    <cellStyle name="40% - Accent2 3 4 3" xfId="5393" xr:uid="{00000000-0005-0000-0000-0000CE040000}"/>
    <cellStyle name="40% - Accent2 3 4 3 2" xfId="13835" xr:uid="{BBEBFEAF-C5F9-45EB-A45C-A6931D2D3C51}"/>
    <cellStyle name="40% - Accent2 3 4 4" xfId="9617" xr:uid="{2A1322DB-AA69-4E55-8D3C-CD16AF5F2B15}"/>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70F7A459-0B9A-478D-87D5-566E3BE4D766}"/>
    <cellStyle name="40% - Accent2 3 5 2 3" xfId="12175" xr:uid="{12F89A0F-793C-44EA-97FD-AE2095965C4C}"/>
    <cellStyle name="40% - Accent2 3 5 3" xfId="5806" xr:uid="{00000000-0005-0000-0000-0000D2040000}"/>
    <cellStyle name="40% - Accent2 3 5 3 2" xfId="14248" xr:uid="{5F03C512-9500-4FA9-92A9-8AEE014EED90}"/>
    <cellStyle name="40% - Accent2 3 5 4" xfId="10030" xr:uid="{5DDA056A-1323-490C-AF81-508CCF7E1477}"/>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ABD546F6-C3E2-4283-9EFE-20614707D4F4}"/>
    <cellStyle name="40% - Accent2 3 6 2 3" xfId="12588" xr:uid="{74A788E0-7ACE-4672-97D4-0B69C6DCDD91}"/>
    <cellStyle name="40% - Accent2 3 6 3" xfId="6219" xr:uid="{00000000-0005-0000-0000-0000D6040000}"/>
    <cellStyle name="40% - Accent2 3 6 3 2" xfId="14661" xr:uid="{03F1EC1C-7557-4565-83DC-1BA97CC769BE}"/>
    <cellStyle name="40% - Accent2 3 6 4" xfId="10443" xr:uid="{CF7D168A-FCCC-4437-8C6D-9749C1964B9B}"/>
    <cellStyle name="40% - Accent2 3 7" xfId="2325" xr:uid="{00000000-0005-0000-0000-0000D7040000}"/>
    <cellStyle name="40% - Accent2 3 7 2" xfId="6632" xr:uid="{00000000-0005-0000-0000-0000D8040000}"/>
    <cellStyle name="40% - Accent2 3 7 2 2" xfId="15074" xr:uid="{D34B23F4-78C5-4321-894F-83551007FF72}"/>
    <cellStyle name="40% - Accent2 3 7 3" xfId="10856" xr:uid="{924E52AE-2318-46F3-80E4-8129742147BF}"/>
    <cellStyle name="40% - Accent2 3 8" xfId="4566" xr:uid="{00000000-0005-0000-0000-0000D9040000}"/>
    <cellStyle name="40% - Accent2 3 8 2" xfId="13008" xr:uid="{01C2F057-EB76-42E5-A8D5-CA03B03A1624}"/>
    <cellStyle name="40% - Accent2 3 9" xfId="8790" xr:uid="{E5B69D35-8FEC-47D4-9085-664C2A0A80E3}"/>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6261261D-9542-44A3-922E-3DD36A37B0D6}"/>
    <cellStyle name="40% - Accent2 4 2 2 3" xfId="11351" xr:uid="{F7AB54E0-A982-4351-A130-FC19E21127CB}"/>
    <cellStyle name="40% - Accent2 4 2 3" xfId="4982" xr:uid="{00000000-0005-0000-0000-0000DE040000}"/>
    <cellStyle name="40% - Accent2 4 2 3 2" xfId="13424" xr:uid="{DD49C080-A54E-4568-968D-3FC1B663B621}"/>
    <cellStyle name="40% - Accent2 4 2 4" xfId="9206" xr:uid="{1F0F3A86-B013-4FE3-BD82-44820EB9ABFF}"/>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C9075FC2-257E-47A5-9BC0-022836F15B7C}"/>
    <cellStyle name="40% - Accent2 4 3 2 3" xfId="11764" xr:uid="{D600D299-27F5-43AD-9E9B-1B0326F48A5E}"/>
    <cellStyle name="40% - Accent2 4 3 3" xfId="5395" xr:uid="{00000000-0005-0000-0000-0000E2040000}"/>
    <cellStyle name="40% - Accent2 4 3 3 2" xfId="13837" xr:uid="{61F6C0E0-0852-4630-8468-ABADDDF1C776}"/>
    <cellStyle name="40% - Accent2 4 3 4" xfId="9619" xr:uid="{FF417E04-B4CD-4448-AC85-ADB51F5E5A66}"/>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1872DABC-CBB9-4C7D-AFDC-0D5883DC247E}"/>
    <cellStyle name="40% - Accent2 4 4 2 3" xfId="12177" xr:uid="{282F4E4D-65AC-4B59-88FB-77AC155DF0C0}"/>
    <cellStyle name="40% - Accent2 4 4 3" xfId="5808" xr:uid="{00000000-0005-0000-0000-0000E6040000}"/>
    <cellStyle name="40% - Accent2 4 4 3 2" xfId="14250" xr:uid="{30D07CCB-AD1F-4E07-B079-101B3DEA9B1E}"/>
    <cellStyle name="40% - Accent2 4 4 4" xfId="10032" xr:uid="{1A84491E-E1DE-41EF-AD96-0A15C728671A}"/>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FEEAAA0A-91B7-4F7A-A590-3F9E3852D37C}"/>
    <cellStyle name="40% - Accent2 4 5 2 3" xfId="12590" xr:uid="{014018F7-170D-44C7-8E9A-4F9113598E57}"/>
    <cellStyle name="40% - Accent2 4 5 3" xfId="6221" xr:uid="{00000000-0005-0000-0000-0000EA040000}"/>
    <cellStyle name="40% - Accent2 4 5 3 2" xfId="14663" xr:uid="{47842F8A-792A-4439-8F2D-7BA6EFB50879}"/>
    <cellStyle name="40% - Accent2 4 5 4" xfId="10445" xr:uid="{942C1891-FA6D-4327-8936-86EB71D633E4}"/>
    <cellStyle name="40% - Accent2 4 6" xfId="2327" xr:uid="{00000000-0005-0000-0000-0000EB040000}"/>
    <cellStyle name="40% - Accent2 4 6 2" xfId="6634" xr:uid="{00000000-0005-0000-0000-0000EC040000}"/>
    <cellStyle name="40% - Accent2 4 6 2 2" xfId="15076" xr:uid="{709B3BB8-F2B9-4E65-B180-1D4D90B07875}"/>
    <cellStyle name="40% - Accent2 4 6 3" xfId="10858" xr:uid="{A7CC2C19-8322-4D3B-B1D1-4ED71B8C1055}"/>
    <cellStyle name="40% - Accent2 4 7" xfId="4568" xr:uid="{00000000-0005-0000-0000-0000ED040000}"/>
    <cellStyle name="40% - Accent2 4 7 2" xfId="13010" xr:uid="{2056397E-709F-409A-BA7D-908541AD557D}"/>
    <cellStyle name="40% - Accent2 4 8" xfId="8792" xr:uid="{7560F172-0551-4A7E-9922-8FF4C41C45CD}"/>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4B0F14E8-458B-45A4-8EA3-E0E4DD897AE5}"/>
    <cellStyle name="40% - Accent2 5 2 3" xfId="11344" xr:uid="{95F7D5BF-C726-4966-AB97-DA64EBE78F40}"/>
    <cellStyle name="40% - Accent2 5 3" xfId="4975" xr:uid="{00000000-0005-0000-0000-0000F1040000}"/>
    <cellStyle name="40% - Accent2 5 3 2" xfId="13417" xr:uid="{524075D6-7682-480E-BD33-30B2736B6421}"/>
    <cellStyle name="40% - Accent2 5 4" xfId="9199" xr:uid="{209B011C-8388-4FCD-A999-0DC5E1264F9B}"/>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106A5C6B-608A-4E16-A779-C00182C23274}"/>
    <cellStyle name="40% - Accent2 6 2 3" xfId="11757" xr:uid="{4640D505-B5F8-41E3-BFF7-D4B748220905}"/>
    <cellStyle name="40% - Accent2 6 3" xfId="5388" xr:uid="{00000000-0005-0000-0000-0000F5040000}"/>
    <cellStyle name="40% - Accent2 6 3 2" xfId="13830" xr:uid="{1DC396EB-D0FF-4A74-92B6-1A4A71731A79}"/>
    <cellStyle name="40% - Accent2 6 4" xfId="9612" xr:uid="{1A445188-531D-4ADE-8759-BFE8863AB76D}"/>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D9492A19-68FF-4977-AC13-CB4BED60D99B}"/>
    <cellStyle name="40% - Accent2 7 2 3" xfId="12170" xr:uid="{0FEBEF28-57A7-4759-B6EE-A57002ADABFB}"/>
    <cellStyle name="40% - Accent2 7 3" xfId="5801" xr:uid="{00000000-0005-0000-0000-0000F9040000}"/>
    <cellStyle name="40% - Accent2 7 3 2" xfId="14243" xr:uid="{9D39CFBB-12A7-4A18-8A19-290C5F7E6B51}"/>
    <cellStyle name="40% - Accent2 7 4" xfId="10025" xr:uid="{62E27CD8-E200-4D6E-8561-A82F70EF170F}"/>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AB43285D-5EF6-4B50-B776-A0C368818925}"/>
    <cellStyle name="40% - Accent2 8 2 3" xfId="12583" xr:uid="{02019514-69CF-44D9-892E-5A4B4A4A7F2E}"/>
    <cellStyle name="40% - Accent2 8 3" xfId="6214" xr:uid="{00000000-0005-0000-0000-0000FD040000}"/>
    <cellStyle name="40% - Accent2 8 3 2" xfId="14656" xr:uid="{2C68AC01-15AD-4C51-A9C2-104193A6B9BB}"/>
    <cellStyle name="40% - Accent2 8 4" xfId="10438" xr:uid="{D3D4820F-99DD-44DE-B47A-27E10F77EC72}"/>
    <cellStyle name="40% - Accent2 9" xfId="2320" xr:uid="{00000000-0005-0000-0000-0000FE040000}"/>
    <cellStyle name="40% - Accent2 9 2" xfId="6627" xr:uid="{00000000-0005-0000-0000-0000FF040000}"/>
    <cellStyle name="40% - Accent2 9 2 2" xfId="15069" xr:uid="{6B243E64-751A-459A-B8B3-968CE6F025DB}"/>
    <cellStyle name="40% - Accent2 9 3" xfId="10851" xr:uid="{4BA2EBE4-F98D-4ABA-A235-2222D872636C}"/>
    <cellStyle name="40% - Accent3" xfId="65" builtinId="39" customBuiltin="1"/>
    <cellStyle name="40% - Accent3 10" xfId="4569" xr:uid="{00000000-0005-0000-0000-000001050000}"/>
    <cellStyle name="40% - Accent3 10 2" xfId="13011" xr:uid="{377C310B-A195-4AD7-82EC-A0BB84610DE5}"/>
    <cellStyle name="40% - Accent3 11" xfId="8793" xr:uid="{6245B4FB-9CF7-4026-95D8-5D5B46A8C5E3}"/>
    <cellStyle name="40% - Accent3 2" xfId="66" xr:uid="{00000000-0005-0000-0000-000002050000}"/>
    <cellStyle name="40% - Accent3 2 10" xfId="8794" xr:uid="{2814FAFA-98DD-4540-A812-0E206F037F07}"/>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A17BFA1C-0408-49F8-8FAD-D9EE3D041D21}"/>
    <cellStyle name="40% - Accent3 2 2 2 2 2 3" xfId="11355" xr:uid="{59485198-8288-48A7-BCC2-59176A995900}"/>
    <cellStyle name="40% - Accent3 2 2 2 2 3" xfId="4986" xr:uid="{00000000-0005-0000-0000-000008050000}"/>
    <cellStyle name="40% - Accent3 2 2 2 2 3 2" xfId="13428" xr:uid="{649A6158-E4A0-4BF6-B279-B7F52B04A066}"/>
    <cellStyle name="40% - Accent3 2 2 2 2 4" xfId="9210" xr:uid="{1D1C2934-5ECD-4F59-A607-FDE3A6C985BD}"/>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8304887F-4CAA-4CDE-8905-6FBAA2FC990F}"/>
    <cellStyle name="40% - Accent3 2 2 2 3 2 3" xfId="11768" xr:uid="{D8EA09EF-5255-4A3F-A17C-D794E5BD5942}"/>
    <cellStyle name="40% - Accent3 2 2 2 3 3" xfId="5399" xr:uid="{00000000-0005-0000-0000-00000C050000}"/>
    <cellStyle name="40% - Accent3 2 2 2 3 3 2" xfId="13841" xr:uid="{5C527A20-8623-4102-A31A-3013C5D6109C}"/>
    <cellStyle name="40% - Accent3 2 2 2 3 4" xfId="9623" xr:uid="{1945E582-4389-4853-8694-5910DE80B84A}"/>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A5E33487-1048-47F6-A396-066DDE577EA6}"/>
    <cellStyle name="40% - Accent3 2 2 2 4 2 3" xfId="12181" xr:uid="{0EC610B0-3206-4CF9-BA0B-18FA28A5EC56}"/>
    <cellStyle name="40% - Accent3 2 2 2 4 3" xfId="5812" xr:uid="{00000000-0005-0000-0000-000010050000}"/>
    <cellStyle name="40% - Accent3 2 2 2 4 3 2" xfId="14254" xr:uid="{9FC0379B-98EE-40EC-B279-43B9EC093783}"/>
    <cellStyle name="40% - Accent3 2 2 2 4 4" xfId="10036" xr:uid="{EB0C4AFF-8706-4A7A-8DDF-CFC4F615535C}"/>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A54D1D6D-A31F-4B49-A3D7-1E34548B7D26}"/>
    <cellStyle name="40% - Accent3 2 2 2 5 2 3" xfId="12594" xr:uid="{88BBB325-0365-455E-BFF4-C2349D5E4D33}"/>
    <cellStyle name="40% - Accent3 2 2 2 5 3" xfId="6225" xr:uid="{00000000-0005-0000-0000-000014050000}"/>
    <cellStyle name="40% - Accent3 2 2 2 5 3 2" xfId="14667" xr:uid="{7B209482-53C8-4276-A637-294F8A5CC546}"/>
    <cellStyle name="40% - Accent3 2 2 2 5 4" xfId="10449" xr:uid="{87D7F58C-6CB3-4459-BFC8-4B54F64D4DC1}"/>
    <cellStyle name="40% - Accent3 2 2 2 6" xfId="2331" xr:uid="{00000000-0005-0000-0000-000015050000}"/>
    <cellStyle name="40% - Accent3 2 2 2 6 2" xfId="6638" xr:uid="{00000000-0005-0000-0000-000016050000}"/>
    <cellStyle name="40% - Accent3 2 2 2 6 2 2" xfId="15080" xr:uid="{0D651813-68E9-4F64-9BE9-0DB5B28D6FDB}"/>
    <cellStyle name="40% - Accent3 2 2 2 6 3" xfId="10862" xr:uid="{9C51107A-FD53-47BD-875C-609FCAACE176}"/>
    <cellStyle name="40% - Accent3 2 2 2 7" xfId="4572" xr:uid="{00000000-0005-0000-0000-000017050000}"/>
    <cellStyle name="40% - Accent3 2 2 2 7 2" xfId="13014" xr:uid="{56EC42EA-7D4E-4BE6-8C0B-51642DAFCB8D}"/>
    <cellStyle name="40% - Accent3 2 2 2 8" xfId="8796" xr:uid="{C4929A9B-ED63-4D85-BFFE-112FD9251297}"/>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40693D03-B2CC-43F3-92F6-FC53FC943215}"/>
    <cellStyle name="40% - Accent3 2 2 3 2 3" xfId="11354" xr:uid="{70E00B8D-F43F-4D4C-85D8-C8E18F836DD1}"/>
    <cellStyle name="40% - Accent3 2 2 3 3" xfId="4985" xr:uid="{00000000-0005-0000-0000-00001B050000}"/>
    <cellStyle name="40% - Accent3 2 2 3 3 2" xfId="13427" xr:uid="{42114509-2B4E-4DF2-8E8C-F372A0D3AB2E}"/>
    <cellStyle name="40% - Accent3 2 2 3 4" xfId="9209" xr:uid="{3826B7F5-348C-4EF4-86E3-4155030B2659}"/>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E6E8F144-EB6E-43F1-B6F1-B6EDF8E940B8}"/>
    <cellStyle name="40% - Accent3 2 2 4 2 3" xfId="11767" xr:uid="{AFE629BE-478C-4ED2-BBFD-B86FB16D2610}"/>
    <cellStyle name="40% - Accent3 2 2 4 3" xfId="5398" xr:uid="{00000000-0005-0000-0000-00001F050000}"/>
    <cellStyle name="40% - Accent3 2 2 4 3 2" xfId="13840" xr:uid="{1B4D20EF-B85D-46D6-8252-2D2D081B8DDD}"/>
    <cellStyle name="40% - Accent3 2 2 4 4" xfId="9622" xr:uid="{21EEA11E-A70E-47EB-8DD0-8EFD2F1AA421}"/>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8D8BD721-1EC1-4F6D-AE77-34FE90C25463}"/>
    <cellStyle name="40% - Accent3 2 2 5 2 3" xfId="12180" xr:uid="{57127A24-B38A-4F08-B74F-422EF823A81A}"/>
    <cellStyle name="40% - Accent3 2 2 5 3" xfId="5811" xr:uid="{00000000-0005-0000-0000-000023050000}"/>
    <cellStyle name="40% - Accent3 2 2 5 3 2" xfId="14253" xr:uid="{7D57BF6E-CEE7-4B5C-A3E2-BB964B889FD9}"/>
    <cellStyle name="40% - Accent3 2 2 5 4" xfId="10035" xr:uid="{179DE909-B587-412F-9708-99A0C96740F1}"/>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8317ACC5-0EC3-406C-A316-80E1913AC166}"/>
    <cellStyle name="40% - Accent3 2 2 6 2 3" xfId="12593" xr:uid="{40A50035-A390-4EC4-A78C-08A9284A08EB}"/>
    <cellStyle name="40% - Accent3 2 2 6 3" xfId="6224" xr:uid="{00000000-0005-0000-0000-000027050000}"/>
    <cellStyle name="40% - Accent3 2 2 6 3 2" xfId="14666" xr:uid="{83586A97-5885-4F14-A63C-D377E3606F9B}"/>
    <cellStyle name="40% - Accent3 2 2 6 4" xfId="10448" xr:uid="{E5D53C8C-4430-4E18-BDAF-1AB610BA66D4}"/>
    <cellStyle name="40% - Accent3 2 2 7" xfId="2330" xr:uid="{00000000-0005-0000-0000-000028050000}"/>
    <cellStyle name="40% - Accent3 2 2 7 2" xfId="6637" xr:uid="{00000000-0005-0000-0000-000029050000}"/>
    <cellStyle name="40% - Accent3 2 2 7 2 2" xfId="15079" xr:uid="{12D292F1-7173-43FD-BA4C-65D1DAB5A945}"/>
    <cellStyle name="40% - Accent3 2 2 7 3" xfId="10861" xr:uid="{C7D97694-A55C-4FC2-9F2F-117A662A8AAB}"/>
    <cellStyle name="40% - Accent3 2 2 8" xfId="4571" xr:uid="{00000000-0005-0000-0000-00002A050000}"/>
    <cellStyle name="40% - Accent3 2 2 8 2" xfId="13013" xr:uid="{B824ABFF-BC50-4321-B4A5-939C03256989}"/>
    <cellStyle name="40% - Accent3 2 2 9" xfId="8795" xr:uid="{2614F4D8-C829-4696-8E34-237FCE958F2D}"/>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A6985F1B-B781-46EB-914A-496CB42F3980}"/>
    <cellStyle name="40% - Accent3 2 3 2 2 3" xfId="11356" xr:uid="{A7A80844-DEBD-4DB9-BD29-96875D863199}"/>
    <cellStyle name="40% - Accent3 2 3 2 3" xfId="4987" xr:uid="{00000000-0005-0000-0000-00002F050000}"/>
    <cellStyle name="40% - Accent3 2 3 2 3 2" xfId="13429" xr:uid="{11CE31C3-9F09-408A-9981-5DE005C423A9}"/>
    <cellStyle name="40% - Accent3 2 3 2 4" xfId="9211" xr:uid="{66E519FA-164E-455D-B1A5-A57AC8BB6B0D}"/>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111ECA64-2AB6-4D81-B037-23075062BCC8}"/>
    <cellStyle name="40% - Accent3 2 3 3 2 3" xfId="11769" xr:uid="{6DD584FF-C541-4925-A653-8E8658039083}"/>
    <cellStyle name="40% - Accent3 2 3 3 3" xfId="5400" xr:uid="{00000000-0005-0000-0000-000033050000}"/>
    <cellStyle name="40% - Accent3 2 3 3 3 2" xfId="13842" xr:uid="{4D5942F2-D12B-41D5-8A48-CC6E41ACBD7C}"/>
    <cellStyle name="40% - Accent3 2 3 3 4" xfId="9624" xr:uid="{B0F0BA25-C6B2-4886-8EBD-26895C3FC96E}"/>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4D7D3C37-A574-49CD-9002-2B324BF1E125}"/>
    <cellStyle name="40% - Accent3 2 3 4 2 3" xfId="12182" xr:uid="{1C11A913-A723-48A9-A403-2DBDBECEE038}"/>
    <cellStyle name="40% - Accent3 2 3 4 3" xfId="5813" xr:uid="{00000000-0005-0000-0000-000037050000}"/>
    <cellStyle name="40% - Accent3 2 3 4 3 2" xfId="14255" xr:uid="{78FA9E4D-C05C-4D76-9523-92E16CE69E22}"/>
    <cellStyle name="40% - Accent3 2 3 4 4" xfId="10037" xr:uid="{0D124FD7-F0D5-4568-B160-1CB126848967}"/>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D5325403-91E3-4507-A633-6411C8C75F82}"/>
    <cellStyle name="40% - Accent3 2 3 5 2 3" xfId="12595" xr:uid="{A8443DF4-9D44-4726-961F-137D0BDC2087}"/>
    <cellStyle name="40% - Accent3 2 3 5 3" xfId="6226" xr:uid="{00000000-0005-0000-0000-00003B050000}"/>
    <cellStyle name="40% - Accent3 2 3 5 3 2" xfId="14668" xr:uid="{56F1678C-57CF-4674-95DC-3D92F564B41F}"/>
    <cellStyle name="40% - Accent3 2 3 5 4" xfId="10450" xr:uid="{BEC917D4-BFA0-4F48-AD1A-E3ABA904AD4D}"/>
    <cellStyle name="40% - Accent3 2 3 6" xfId="2332" xr:uid="{00000000-0005-0000-0000-00003C050000}"/>
    <cellStyle name="40% - Accent3 2 3 6 2" xfId="6639" xr:uid="{00000000-0005-0000-0000-00003D050000}"/>
    <cellStyle name="40% - Accent3 2 3 6 2 2" xfId="15081" xr:uid="{AC413133-A8FA-4467-9B11-825786141959}"/>
    <cellStyle name="40% - Accent3 2 3 6 3" xfId="10863" xr:uid="{378971A6-283F-42FF-AA76-D077B3DA2286}"/>
    <cellStyle name="40% - Accent3 2 3 7" xfId="4573" xr:uid="{00000000-0005-0000-0000-00003E050000}"/>
    <cellStyle name="40% - Accent3 2 3 7 2" xfId="13015" xr:uid="{1A8386E7-A0CE-41C5-929E-A7F6DDC63A24}"/>
    <cellStyle name="40% - Accent3 2 3 8" xfId="8797" xr:uid="{2F18FD96-FA6E-4F00-B8CE-436A880852E5}"/>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4177387D-F3C7-4421-99F7-B0E8328A7D98}"/>
    <cellStyle name="40% - Accent3 2 4 2 3" xfId="11353" xr:uid="{30356259-5CA5-4C1A-8F88-10396F50D45B}"/>
    <cellStyle name="40% - Accent3 2 4 3" xfId="4984" xr:uid="{00000000-0005-0000-0000-000042050000}"/>
    <cellStyle name="40% - Accent3 2 4 3 2" xfId="13426" xr:uid="{EFDD5ADB-6610-4D01-BC39-5E3492D5C2F3}"/>
    <cellStyle name="40% - Accent3 2 4 4" xfId="9208" xr:uid="{C0A047F6-AF3F-4F5E-BBE2-C4DBAD1CA9A3}"/>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7CF77E2B-DEE0-491F-A0C7-5610F48D379A}"/>
    <cellStyle name="40% - Accent3 2 5 2 3" xfId="11766" xr:uid="{C3B809FC-45DB-4A91-8B34-7F354B92B277}"/>
    <cellStyle name="40% - Accent3 2 5 3" xfId="5397" xr:uid="{00000000-0005-0000-0000-000046050000}"/>
    <cellStyle name="40% - Accent3 2 5 3 2" xfId="13839" xr:uid="{BAB3A5DF-2D50-4763-9F8C-389AB6D90BF7}"/>
    <cellStyle name="40% - Accent3 2 5 4" xfId="9621" xr:uid="{F6A23795-1653-4BE6-B71E-5154B8E35092}"/>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8B9C8180-C922-45E0-8EE1-F7232E548170}"/>
    <cellStyle name="40% - Accent3 2 6 2 3" xfId="12179" xr:uid="{CB437354-49BE-43AA-9D01-AF2A67DDCE00}"/>
    <cellStyle name="40% - Accent3 2 6 3" xfId="5810" xr:uid="{00000000-0005-0000-0000-00004A050000}"/>
    <cellStyle name="40% - Accent3 2 6 3 2" xfId="14252" xr:uid="{C15C2B62-CC1B-4E80-8464-59E535F6A570}"/>
    <cellStyle name="40% - Accent3 2 6 4" xfId="10034" xr:uid="{245122CE-A50E-4B14-91CE-218CEFA2FD98}"/>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8E2AE1AB-EC35-47C4-ADDF-FE75AF2F91EC}"/>
    <cellStyle name="40% - Accent3 2 7 2 3" xfId="12592" xr:uid="{6AFC91DD-6617-438B-B96F-9295C91B6E90}"/>
    <cellStyle name="40% - Accent3 2 7 3" xfId="6223" xr:uid="{00000000-0005-0000-0000-00004E050000}"/>
    <cellStyle name="40% - Accent3 2 7 3 2" xfId="14665" xr:uid="{AAC57EA8-21EF-4003-B794-ACC3F1A45B0E}"/>
    <cellStyle name="40% - Accent3 2 7 4" xfId="10447" xr:uid="{6E10B18E-EFD7-4B35-AB3F-F04D7FBFBA08}"/>
    <cellStyle name="40% - Accent3 2 8" xfId="2329" xr:uid="{00000000-0005-0000-0000-00004F050000}"/>
    <cellStyle name="40% - Accent3 2 8 2" xfId="6636" xr:uid="{00000000-0005-0000-0000-000050050000}"/>
    <cellStyle name="40% - Accent3 2 8 2 2" xfId="15078" xr:uid="{D82148AC-FE13-41EA-9875-1C23DACC5111}"/>
    <cellStyle name="40% - Accent3 2 8 3" xfId="10860" xr:uid="{086B16C8-8ECD-43C6-8B12-6B77B718F193}"/>
    <cellStyle name="40% - Accent3 2 9" xfId="4570" xr:uid="{00000000-0005-0000-0000-000051050000}"/>
    <cellStyle name="40% - Accent3 2 9 2" xfId="13012" xr:uid="{2BECCCB6-218B-48FF-B06F-85C7AF6CE2B2}"/>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C962F53E-4211-4221-8C7D-779CA0715251}"/>
    <cellStyle name="40% - Accent3 3 2 2 2 3" xfId="11358" xr:uid="{CC2CA834-2AF4-4473-9E5B-AD15D808175F}"/>
    <cellStyle name="40% - Accent3 3 2 2 3" xfId="4989" xr:uid="{00000000-0005-0000-0000-000057050000}"/>
    <cellStyle name="40% - Accent3 3 2 2 3 2" xfId="13431" xr:uid="{3F9BD8C1-034E-45BE-9ACC-F1FDD5D59F20}"/>
    <cellStyle name="40% - Accent3 3 2 2 4" xfId="9213" xr:uid="{96A797BA-3D2F-4552-B5E8-B3789EC00828}"/>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E1170907-1DEA-4EA7-8027-4CB618450DF3}"/>
    <cellStyle name="40% - Accent3 3 2 3 2 3" xfId="11771" xr:uid="{5DDB27AA-E6FA-472A-9182-44A34DAAEFED}"/>
    <cellStyle name="40% - Accent3 3 2 3 3" xfId="5402" xr:uid="{00000000-0005-0000-0000-00005B050000}"/>
    <cellStyle name="40% - Accent3 3 2 3 3 2" xfId="13844" xr:uid="{E102D5F0-9179-4205-B9F2-26BE5F665754}"/>
    <cellStyle name="40% - Accent3 3 2 3 4" xfId="9626" xr:uid="{57DCB7BC-9C81-42D9-9213-62994348BB9E}"/>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B4CF94BE-2012-48F4-BB5F-EDD1A5C0A567}"/>
    <cellStyle name="40% - Accent3 3 2 4 2 3" xfId="12184" xr:uid="{1CD7EE5B-6AA7-4C4F-B749-B213D212505B}"/>
    <cellStyle name="40% - Accent3 3 2 4 3" xfId="5815" xr:uid="{00000000-0005-0000-0000-00005F050000}"/>
    <cellStyle name="40% - Accent3 3 2 4 3 2" xfId="14257" xr:uid="{E45C069E-CCFC-4AF6-AEFD-8A7C0F27AA31}"/>
    <cellStyle name="40% - Accent3 3 2 4 4" xfId="10039" xr:uid="{00DE54B2-939C-4B4D-8854-CE2BCDE82AFC}"/>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879F0DE9-18B9-4E55-BA09-3FE978AC9928}"/>
    <cellStyle name="40% - Accent3 3 2 5 2 3" xfId="12597" xr:uid="{7CBDAB33-29F9-4D4A-B4D4-8315F80D40AF}"/>
    <cellStyle name="40% - Accent3 3 2 5 3" xfId="6228" xr:uid="{00000000-0005-0000-0000-000063050000}"/>
    <cellStyle name="40% - Accent3 3 2 5 3 2" xfId="14670" xr:uid="{67E9ECEC-1BB3-4841-98FE-EB3CF4602600}"/>
    <cellStyle name="40% - Accent3 3 2 5 4" xfId="10452" xr:uid="{23B182DF-0F81-4FD7-AC49-B23310ECC452}"/>
    <cellStyle name="40% - Accent3 3 2 6" xfId="2334" xr:uid="{00000000-0005-0000-0000-000064050000}"/>
    <cellStyle name="40% - Accent3 3 2 6 2" xfId="6641" xr:uid="{00000000-0005-0000-0000-000065050000}"/>
    <cellStyle name="40% - Accent3 3 2 6 2 2" xfId="15083" xr:uid="{50A51EF4-1EAB-4DC8-8AAA-C36C5009FDF8}"/>
    <cellStyle name="40% - Accent3 3 2 6 3" xfId="10865" xr:uid="{BB037E07-C444-4C22-AAF8-B22A55096FB0}"/>
    <cellStyle name="40% - Accent3 3 2 7" xfId="4575" xr:uid="{00000000-0005-0000-0000-000066050000}"/>
    <cellStyle name="40% - Accent3 3 2 7 2" xfId="13017" xr:uid="{C68D476F-F947-4E69-81B8-C4DF1D439864}"/>
    <cellStyle name="40% - Accent3 3 2 8" xfId="8799" xr:uid="{1CE90DCD-D18D-49DC-96FD-34862D146EF5}"/>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7D83B740-E10A-4D06-8CCB-2420506555A6}"/>
    <cellStyle name="40% - Accent3 3 3 2 3" xfId="11357" xr:uid="{A5EA380C-B534-4689-95AB-FEDB92255562}"/>
    <cellStyle name="40% - Accent3 3 3 3" xfId="4988" xr:uid="{00000000-0005-0000-0000-00006A050000}"/>
    <cellStyle name="40% - Accent3 3 3 3 2" xfId="13430" xr:uid="{8B3F7B7D-1318-4F7A-8027-6AB4F00376D8}"/>
    <cellStyle name="40% - Accent3 3 3 4" xfId="9212" xr:uid="{41547677-3E4C-42E9-84AF-67563A2DD7E0}"/>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52CDE8FB-7F96-4CB2-8DCA-A10A9EC8C1C6}"/>
    <cellStyle name="40% - Accent3 3 4 2 3" xfId="11770" xr:uid="{35D980C1-CC3B-46C9-8B6C-B5B6DCF9E6DF}"/>
    <cellStyle name="40% - Accent3 3 4 3" xfId="5401" xr:uid="{00000000-0005-0000-0000-00006E050000}"/>
    <cellStyle name="40% - Accent3 3 4 3 2" xfId="13843" xr:uid="{153BB508-4BF8-4977-821A-E34240A0A493}"/>
    <cellStyle name="40% - Accent3 3 4 4" xfId="9625" xr:uid="{925518E8-6FAD-468A-A4CD-ACA14987DDC0}"/>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F40E9ABD-F7A0-4137-8697-764B79D23C7E}"/>
    <cellStyle name="40% - Accent3 3 5 2 3" xfId="12183" xr:uid="{39F66F21-D080-49DB-83D1-6E328EBEDF2B}"/>
    <cellStyle name="40% - Accent3 3 5 3" xfId="5814" xr:uid="{00000000-0005-0000-0000-000072050000}"/>
    <cellStyle name="40% - Accent3 3 5 3 2" xfId="14256" xr:uid="{D5A3E6A4-C456-4447-8E43-9F5B9C94773B}"/>
    <cellStyle name="40% - Accent3 3 5 4" xfId="10038" xr:uid="{8DB806E0-442A-4D31-BC3C-CD11845DF6A8}"/>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3557242F-F174-4588-B4E1-B061685596DB}"/>
    <cellStyle name="40% - Accent3 3 6 2 3" xfId="12596" xr:uid="{EEEE591E-4D19-4E9D-BB1E-46CBDBF5E27F}"/>
    <cellStyle name="40% - Accent3 3 6 3" xfId="6227" xr:uid="{00000000-0005-0000-0000-000076050000}"/>
    <cellStyle name="40% - Accent3 3 6 3 2" xfId="14669" xr:uid="{23F2A96B-F3FD-4D42-9F54-42A6E5548C9C}"/>
    <cellStyle name="40% - Accent3 3 6 4" xfId="10451" xr:uid="{F319394D-1E92-4B01-8DA4-9D84C616B00F}"/>
    <cellStyle name="40% - Accent3 3 7" xfId="2333" xr:uid="{00000000-0005-0000-0000-000077050000}"/>
    <cellStyle name="40% - Accent3 3 7 2" xfId="6640" xr:uid="{00000000-0005-0000-0000-000078050000}"/>
    <cellStyle name="40% - Accent3 3 7 2 2" xfId="15082" xr:uid="{C41DF7E5-D1FF-42B0-8D0A-148363F1F35D}"/>
    <cellStyle name="40% - Accent3 3 7 3" xfId="10864" xr:uid="{05DE3067-89C6-4359-9F79-81132A4A17CE}"/>
    <cellStyle name="40% - Accent3 3 8" xfId="4574" xr:uid="{00000000-0005-0000-0000-000079050000}"/>
    <cellStyle name="40% - Accent3 3 8 2" xfId="13016" xr:uid="{757B2335-303F-49D8-8DAB-80FBE5621EDF}"/>
    <cellStyle name="40% - Accent3 3 9" xfId="8798" xr:uid="{BD53BC7F-3B28-48EF-BB40-FE3B7DCC7E4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1011D7B6-9451-4AC3-8454-5B64FFC9D735}"/>
    <cellStyle name="40% - Accent3 4 2 2 3" xfId="11359" xr:uid="{A1654976-F96F-4011-8465-181A8EAD8875}"/>
    <cellStyle name="40% - Accent3 4 2 3" xfId="4990" xr:uid="{00000000-0005-0000-0000-00007E050000}"/>
    <cellStyle name="40% - Accent3 4 2 3 2" xfId="13432" xr:uid="{73897FC7-7CB0-4CE7-B852-03AD745D02FB}"/>
    <cellStyle name="40% - Accent3 4 2 4" xfId="9214" xr:uid="{F45F43FC-2BAF-47DF-9A6E-4E3AA8321304}"/>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AB7D586F-95DF-4EDB-A716-FF7344087DC8}"/>
    <cellStyle name="40% - Accent3 4 3 2 3" xfId="11772" xr:uid="{7AEEC930-23A6-4A8F-88DC-97F920F51831}"/>
    <cellStyle name="40% - Accent3 4 3 3" xfId="5403" xr:uid="{00000000-0005-0000-0000-000082050000}"/>
    <cellStyle name="40% - Accent3 4 3 3 2" xfId="13845" xr:uid="{6B31CC82-F931-4E5B-A304-FDE792D1329F}"/>
    <cellStyle name="40% - Accent3 4 3 4" xfId="9627" xr:uid="{B8EA035E-F25C-4BFD-9A3F-DB905AB7918D}"/>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2E5F1174-9611-46FE-9ED5-008C368552CA}"/>
    <cellStyle name="40% - Accent3 4 4 2 3" xfId="12185" xr:uid="{4244A48A-BF95-4697-9C6A-F1E100949C88}"/>
    <cellStyle name="40% - Accent3 4 4 3" xfId="5816" xr:uid="{00000000-0005-0000-0000-000086050000}"/>
    <cellStyle name="40% - Accent3 4 4 3 2" xfId="14258" xr:uid="{254413B4-8B14-49BA-877F-5A2BD87A483D}"/>
    <cellStyle name="40% - Accent3 4 4 4" xfId="10040" xr:uid="{F3F1A9D1-0871-4777-9425-33B7CF3DA2F5}"/>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75440D97-DCB9-4738-AEDE-4A2A8D79B043}"/>
    <cellStyle name="40% - Accent3 4 5 2 3" xfId="12598" xr:uid="{357920D5-93F2-46AD-AEFF-F7BEF89874CA}"/>
    <cellStyle name="40% - Accent3 4 5 3" xfId="6229" xr:uid="{00000000-0005-0000-0000-00008A050000}"/>
    <cellStyle name="40% - Accent3 4 5 3 2" xfId="14671" xr:uid="{E07F5C89-6703-4441-8FBE-B5CE14976050}"/>
    <cellStyle name="40% - Accent3 4 5 4" xfId="10453" xr:uid="{E903E6E9-94DD-42E5-BFD1-10D23E2D5452}"/>
    <cellStyle name="40% - Accent3 4 6" xfId="2335" xr:uid="{00000000-0005-0000-0000-00008B050000}"/>
    <cellStyle name="40% - Accent3 4 6 2" xfId="6642" xr:uid="{00000000-0005-0000-0000-00008C050000}"/>
    <cellStyle name="40% - Accent3 4 6 2 2" xfId="15084" xr:uid="{98EA1784-769E-4005-8F31-884BABF16C39}"/>
    <cellStyle name="40% - Accent3 4 6 3" xfId="10866" xr:uid="{9D969E13-8AB5-4F3F-9101-8687730BDF34}"/>
    <cellStyle name="40% - Accent3 4 7" xfId="4576" xr:uid="{00000000-0005-0000-0000-00008D050000}"/>
    <cellStyle name="40% - Accent3 4 7 2" xfId="13018" xr:uid="{FA527A7D-F88D-4E50-A46F-73B647CAF9FC}"/>
    <cellStyle name="40% - Accent3 4 8" xfId="8800" xr:uid="{C88CE247-09E0-40B9-9E36-663F44E5282F}"/>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2FD8FC8E-C721-4619-AB41-2C08466441EA}"/>
    <cellStyle name="40% - Accent3 5 2 3" xfId="11352" xr:uid="{E6A162DC-6020-4197-B588-729013645F33}"/>
    <cellStyle name="40% - Accent3 5 3" xfId="4983" xr:uid="{00000000-0005-0000-0000-000091050000}"/>
    <cellStyle name="40% - Accent3 5 3 2" xfId="13425" xr:uid="{7D9AD749-5608-481E-B4FE-D2BF0B1D39B1}"/>
    <cellStyle name="40% - Accent3 5 4" xfId="9207" xr:uid="{54500047-3DE7-4029-9949-677EAEF0350E}"/>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4E6F50B8-D556-4E5E-978C-13E95292BBFA}"/>
    <cellStyle name="40% - Accent3 6 2 3" xfId="11765" xr:uid="{81AFE974-A56C-4F2F-ABDB-5DDE8DA7867E}"/>
    <cellStyle name="40% - Accent3 6 3" xfId="5396" xr:uid="{00000000-0005-0000-0000-000095050000}"/>
    <cellStyle name="40% - Accent3 6 3 2" xfId="13838" xr:uid="{A0853BB7-4BF3-437B-A9C5-CEDC07DA8F8F}"/>
    <cellStyle name="40% - Accent3 6 4" xfId="9620" xr:uid="{0BFDDB22-1B64-42ED-AF9A-821C835D204E}"/>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2A7C6931-41B4-4CBD-9A3A-0954774DE3DB}"/>
    <cellStyle name="40% - Accent3 7 2 3" xfId="12178" xr:uid="{BB8FD947-E187-4B5D-87B2-F9C35BF790ED}"/>
    <cellStyle name="40% - Accent3 7 3" xfId="5809" xr:uid="{00000000-0005-0000-0000-000099050000}"/>
    <cellStyle name="40% - Accent3 7 3 2" xfId="14251" xr:uid="{366DA8F1-B70B-476A-9A03-ED4E623415C5}"/>
    <cellStyle name="40% - Accent3 7 4" xfId="10033" xr:uid="{39F5D92A-403E-45A1-8A2D-D33DFCED9A0F}"/>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856816FF-DB1C-4E31-87EC-4ED1560813AA}"/>
    <cellStyle name="40% - Accent3 8 2 3" xfId="12591" xr:uid="{90E73DB6-F11C-4050-85F6-F9B6D4D3BA11}"/>
    <cellStyle name="40% - Accent3 8 3" xfId="6222" xr:uid="{00000000-0005-0000-0000-00009D050000}"/>
    <cellStyle name="40% - Accent3 8 3 2" xfId="14664" xr:uid="{3B1E4CC3-9A5B-46C7-943A-2DFEA1732AB4}"/>
    <cellStyle name="40% - Accent3 8 4" xfId="10446" xr:uid="{ED6C3D70-81CA-4509-8CD6-990A20EF3CD4}"/>
    <cellStyle name="40% - Accent3 9" xfId="2328" xr:uid="{00000000-0005-0000-0000-00009E050000}"/>
    <cellStyle name="40% - Accent3 9 2" xfId="6635" xr:uid="{00000000-0005-0000-0000-00009F050000}"/>
    <cellStyle name="40% - Accent3 9 2 2" xfId="15077" xr:uid="{3444C261-D6B9-4864-A43B-68D780863CA4}"/>
    <cellStyle name="40% - Accent3 9 3" xfId="10859" xr:uid="{193F516C-9BCE-4AEC-95AC-B9EB08E84046}"/>
    <cellStyle name="40% - Accent4" xfId="73" builtinId="43" customBuiltin="1"/>
    <cellStyle name="40% - Accent4 10" xfId="4577" xr:uid="{00000000-0005-0000-0000-0000A1050000}"/>
    <cellStyle name="40% - Accent4 10 2" xfId="13019" xr:uid="{B7687D70-FA64-4E96-997E-4BAA9113AFB4}"/>
    <cellStyle name="40% - Accent4 11" xfId="8801" xr:uid="{6D2A2DEA-5914-42F9-A083-2A9E2A9B3F69}"/>
    <cellStyle name="40% - Accent4 2" xfId="74" xr:uid="{00000000-0005-0000-0000-0000A2050000}"/>
    <cellStyle name="40% - Accent4 2 10" xfId="8802" xr:uid="{C63C555E-392E-4220-9B20-AB7180E4C158}"/>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C54BB704-3BFE-4491-A4A5-C6BBFBEE5C1A}"/>
    <cellStyle name="40% - Accent4 2 2 2 2 2 3" xfId="11363" xr:uid="{1A0F34CD-A6E4-4C6D-957F-B6D5B70CE15C}"/>
    <cellStyle name="40% - Accent4 2 2 2 2 3" xfId="4994" xr:uid="{00000000-0005-0000-0000-0000A8050000}"/>
    <cellStyle name="40% - Accent4 2 2 2 2 3 2" xfId="13436" xr:uid="{397671B5-3FA2-4B5A-81C7-F7F476A58189}"/>
    <cellStyle name="40% - Accent4 2 2 2 2 4" xfId="9218" xr:uid="{B29F4526-B5C3-4464-8552-C1A071C434F6}"/>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548DA310-4B4D-41F3-AD43-19FABBF6CC3E}"/>
    <cellStyle name="40% - Accent4 2 2 2 3 2 3" xfId="11776" xr:uid="{03D82280-6AB7-44B8-A33E-A62605E52B80}"/>
    <cellStyle name="40% - Accent4 2 2 2 3 3" xfId="5407" xr:uid="{00000000-0005-0000-0000-0000AC050000}"/>
    <cellStyle name="40% - Accent4 2 2 2 3 3 2" xfId="13849" xr:uid="{96EF1940-E418-49F0-84AF-7889A3222F13}"/>
    <cellStyle name="40% - Accent4 2 2 2 3 4" xfId="9631" xr:uid="{1B5F93E4-61BD-4C2B-8EDE-73A55D495A32}"/>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55447CBE-BB22-4FA4-9EA1-43FC253B2DAB}"/>
    <cellStyle name="40% - Accent4 2 2 2 4 2 3" xfId="12189" xr:uid="{6CCD2C29-37C5-413A-A47C-3394951D171F}"/>
    <cellStyle name="40% - Accent4 2 2 2 4 3" xfId="5820" xr:uid="{00000000-0005-0000-0000-0000B0050000}"/>
    <cellStyle name="40% - Accent4 2 2 2 4 3 2" xfId="14262" xr:uid="{CEF8D333-6247-4760-B53D-7FE2EF182C69}"/>
    <cellStyle name="40% - Accent4 2 2 2 4 4" xfId="10044" xr:uid="{7B77BC9B-CA48-4C94-AD4B-C1CDF287C028}"/>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20979948-8D1E-4BCE-862C-EF9E8747A887}"/>
    <cellStyle name="40% - Accent4 2 2 2 5 2 3" xfId="12602" xr:uid="{CED4D8EE-0506-4251-83F4-DD73FF4527BA}"/>
    <cellStyle name="40% - Accent4 2 2 2 5 3" xfId="6233" xr:uid="{00000000-0005-0000-0000-0000B4050000}"/>
    <cellStyle name="40% - Accent4 2 2 2 5 3 2" xfId="14675" xr:uid="{636C147A-AD1B-48DC-B9BD-476C571B365C}"/>
    <cellStyle name="40% - Accent4 2 2 2 5 4" xfId="10457" xr:uid="{0F842011-4273-4126-9E53-37883F2D57DF}"/>
    <cellStyle name="40% - Accent4 2 2 2 6" xfId="2339" xr:uid="{00000000-0005-0000-0000-0000B5050000}"/>
    <cellStyle name="40% - Accent4 2 2 2 6 2" xfId="6646" xr:uid="{00000000-0005-0000-0000-0000B6050000}"/>
    <cellStyle name="40% - Accent4 2 2 2 6 2 2" xfId="15088" xr:uid="{09FBF7D2-A9B9-4812-9950-CAB1523B9518}"/>
    <cellStyle name="40% - Accent4 2 2 2 6 3" xfId="10870" xr:uid="{9D93364E-132B-4B7B-A44B-4E2237C54206}"/>
    <cellStyle name="40% - Accent4 2 2 2 7" xfId="4580" xr:uid="{00000000-0005-0000-0000-0000B7050000}"/>
    <cellStyle name="40% - Accent4 2 2 2 7 2" xfId="13022" xr:uid="{F4662A5F-1231-4FE5-A8E3-5DBF903C08F0}"/>
    <cellStyle name="40% - Accent4 2 2 2 8" xfId="8804" xr:uid="{DE756107-7E54-4DC3-9EC2-F38122335852}"/>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86ACF961-39CB-41AE-A6AA-BA96CFA0B666}"/>
    <cellStyle name="40% - Accent4 2 2 3 2 3" xfId="11362" xr:uid="{121C95F4-20F2-4987-BD15-771C7B6E51AC}"/>
    <cellStyle name="40% - Accent4 2 2 3 3" xfId="4993" xr:uid="{00000000-0005-0000-0000-0000BB050000}"/>
    <cellStyle name="40% - Accent4 2 2 3 3 2" xfId="13435" xr:uid="{6579AAE1-B3A7-420D-A224-B6985D74E13A}"/>
    <cellStyle name="40% - Accent4 2 2 3 4" xfId="9217" xr:uid="{B817E668-901B-44A0-B09C-1C78C4C2664E}"/>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097A946A-CCCC-4CC8-A59D-D1ED39B84093}"/>
    <cellStyle name="40% - Accent4 2 2 4 2 3" xfId="11775" xr:uid="{75C3D735-EA37-414F-8FCC-A7A6E6592905}"/>
    <cellStyle name="40% - Accent4 2 2 4 3" xfId="5406" xr:uid="{00000000-0005-0000-0000-0000BF050000}"/>
    <cellStyle name="40% - Accent4 2 2 4 3 2" xfId="13848" xr:uid="{00EAD779-C752-45EB-912F-423482A222E7}"/>
    <cellStyle name="40% - Accent4 2 2 4 4" xfId="9630" xr:uid="{97A1708D-298A-4348-AC26-2ED93412C3BD}"/>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B690FA53-0923-45CA-9C53-82CBABAD0E61}"/>
    <cellStyle name="40% - Accent4 2 2 5 2 3" xfId="12188" xr:uid="{CEBBE520-E088-43BD-9430-07E6F820DF7A}"/>
    <cellStyle name="40% - Accent4 2 2 5 3" xfId="5819" xr:uid="{00000000-0005-0000-0000-0000C3050000}"/>
    <cellStyle name="40% - Accent4 2 2 5 3 2" xfId="14261" xr:uid="{B38E74E5-D58A-4289-94D7-5A66E2DC7B45}"/>
    <cellStyle name="40% - Accent4 2 2 5 4" xfId="10043" xr:uid="{889E93DA-4306-4CBF-95E3-C9AFFAE409B2}"/>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2E5EA1FB-3841-4AAD-B09C-C64FB125A235}"/>
    <cellStyle name="40% - Accent4 2 2 6 2 3" xfId="12601" xr:uid="{FF2CEB68-5D8F-4C7A-A8A9-A8BE6F1FAEA8}"/>
    <cellStyle name="40% - Accent4 2 2 6 3" xfId="6232" xr:uid="{00000000-0005-0000-0000-0000C7050000}"/>
    <cellStyle name="40% - Accent4 2 2 6 3 2" xfId="14674" xr:uid="{23E86115-C5CD-4D9E-874F-110D3F6A3AF8}"/>
    <cellStyle name="40% - Accent4 2 2 6 4" xfId="10456" xr:uid="{DDDB6A33-B181-4486-BE83-E833A5002304}"/>
    <cellStyle name="40% - Accent4 2 2 7" xfId="2338" xr:uid="{00000000-0005-0000-0000-0000C8050000}"/>
    <cellStyle name="40% - Accent4 2 2 7 2" xfId="6645" xr:uid="{00000000-0005-0000-0000-0000C9050000}"/>
    <cellStyle name="40% - Accent4 2 2 7 2 2" xfId="15087" xr:uid="{A967D39F-DE20-4440-97A8-E0251B2B1DD9}"/>
    <cellStyle name="40% - Accent4 2 2 7 3" xfId="10869" xr:uid="{C0FC0F6E-61FA-420F-92BC-6318E2CDC952}"/>
    <cellStyle name="40% - Accent4 2 2 8" xfId="4579" xr:uid="{00000000-0005-0000-0000-0000CA050000}"/>
    <cellStyle name="40% - Accent4 2 2 8 2" xfId="13021" xr:uid="{FC3CED3A-546D-4DE4-AD35-CD9132F28EA1}"/>
    <cellStyle name="40% - Accent4 2 2 9" xfId="8803" xr:uid="{1A0CBA1B-C743-4911-85DA-CE23912160AD}"/>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6DC7CFD6-4631-42D6-8D99-2A77BF2D06E2}"/>
    <cellStyle name="40% - Accent4 2 3 2 2 3" xfId="11364" xr:uid="{97086DF3-2887-439E-AD0A-6047DD739D3A}"/>
    <cellStyle name="40% - Accent4 2 3 2 3" xfId="4995" xr:uid="{00000000-0005-0000-0000-0000CF050000}"/>
    <cellStyle name="40% - Accent4 2 3 2 3 2" xfId="13437" xr:uid="{DFA499C7-2FF0-4461-98F3-C90522CAE328}"/>
    <cellStyle name="40% - Accent4 2 3 2 4" xfId="9219" xr:uid="{68822FFC-0A47-4F44-8FEA-C54CF8643246}"/>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543DBA22-8831-4C6E-8EDF-B944A94710C2}"/>
    <cellStyle name="40% - Accent4 2 3 3 2 3" xfId="11777" xr:uid="{8265DFEB-DD91-4EE6-A23F-9799D9B9B858}"/>
    <cellStyle name="40% - Accent4 2 3 3 3" xfId="5408" xr:uid="{00000000-0005-0000-0000-0000D3050000}"/>
    <cellStyle name="40% - Accent4 2 3 3 3 2" xfId="13850" xr:uid="{1E31ACA4-597D-473F-B4F7-3AD1F56358E2}"/>
    <cellStyle name="40% - Accent4 2 3 3 4" xfId="9632" xr:uid="{0B14837B-35E3-45FD-97B2-091F56E7C86C}"/>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08A3381A-2D2D-48B7-BF2D-3316B6EBA37D}"/>
    <cellStyle name="40% - Accent4 2 3 4 2 3" xfId="12190" xr:uid="{12498B3E-8F8B-4987-A67B-B994D03284F3}"/>
    <cellStyle name="40% - Accent4 2 3 4 3" xfId="5821" xr:uid="{00000000-0005-0000-0000-0000D7050000}"/>
    <cellStyle name="40% - Accent4 2 3 4 3 2" xfId="14263" xr:uid="{93F896F3-BB15-44EB-AE21-4EABF094A90E}"/>
    <cellStyle name="40% - Accent4 2 3 4 4" xfId="10045" xr:uid="{33E4EB1E-BFC7-4D40-BD67-149C1FABF919}"/>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D41D347D-C204-44C6-B53A-8FAB1F15A31E}"/>
    <cellStyle name="40% - Accent4 2 3 5 2 3" xfId="12603" xr:uid="{33DD6400-F375-43EE-88F4-A73081ACDDC7}"/>
    <cellStyle name="40% - Accent4 2 3 5 3" xfId="6234" xr:uid="{00000000-0005-0000-0000-0000DB050000}"/>
    <cellStyle name="40% - Accent4 2 3 5 3 2" xfId="14676" xr:uid="{17467FDB-F77C-4053-84FB-51887B4FD45F}"/>
    <cellStyle name="40% - Accent4 2 3 5 4" xfId="10458" xr:uid="{674D5D81-52ED-434B-BD8A-9F2B1FE2DF9E}"/>
    <cellStyle name="40% - Accent4 2 3 6" xfId="2340" xr:uid="{00000000-0005-0000-0000-0000DC050000}"/>
    <cellStyle name="40% - Accent4 2 3 6 2" xfId="6647" xr:uid="{00000000-0005-0000-0000-0000DD050000}"/>
    <cellStyle name="40% - Accent4 2 3 6 2 2" xfId="15089" xr:uid="{BE009DC1-1E42-4AF0-BC63-C04A5A1D59BD}"/>
    <cellStyle name="40% - Accent4 2 3 6 3" xfId="10871" xr:uid="{1F697B68-3966-431C-96FF-50ED1E790869}"/>
    <cellStyle name="40% - Accent4 2 3 7" xfId="4581" xr:uid="{00000000-0005-0000-0000-0000DE050000}"/>
    <cellStyle name="40% - Accent4 2 3 7 2" xfId="13023" xr:uid="{5FF0DF81-8D97-4E26-971C-7C4DE5652C58}"/>
    <cellStyle name="40% - Accent4 2 3 8" xfId="8805" xr:uid="{83718751-FA66-4784-82FD-96BEDE4877FC}"/>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5D56D753-F1CE-4214-80FF-723D97A43E0C}"/>
    <cellStyle name="40% - Accent4 2 4 2 3" xfId="11361" xr:uid="{E334381B-4341-41CE-A23D-208A872315E1}"/>
    <cellStyle name="40% - Accent4 2 4 3" xfId="4992" xr:uid="{00000000-0005-0000-0000-0000E2050000}"/>
    <cellStyle name="40% - Accent4 2 4 3 2" xfId="13434" xr:uid="{CCE84E59-0FDD-46C7-ADAF-EB265EEBF1A3}"/>
    <cellStyle name="40% - Accent4 2 4 4" xfId="9216" xr:uid="{552D71BC-474C-43C7-B60C-713EFDD12381}"/>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9F872D58-927E-45CF-B155-5FA2A1327E25}"/>
    <cellStyle name="40% - Accent4 2 5 2 3" xfId="11774" xr:uid="{29C6F9BC-7BEF-4514-9FCE-B481F3DD0EB2}"/>
    <cellStyle name="40% - Accent4 2 5 3" xfId="5405" xr:uid="{00000000-0005-0000-0000-0000E6050000}"/>
    <cellStyle name="40% - Accent4 2 5 3 2" xfId="13847" xr:uid="{E767EC7D-3368-4EFA-826B-A777E7283359}"/>
    <cellStyle name="40% - Accent4 2 5 4" xfId="9629" xr:uid="{36BB7F06-7DB7-4C19-ABC2-6CBF29E984D9}"/>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F5C25468-4B48-44AB-9A1C-AA9E175B98C9}"/>
    <cellStyle name="40% - Accent4 2 6 2 3" xfId="12187" xr:uid="{37AB0FA9-F9E2-4575-B125-8937112AFD72}"/>
    <cellStyle name="40% - Accent4 2 6 3" xfId="5818" xr:uid="{00000000-0005-0000-0000-0000EA050000}"/>
    <cellStyle name="40% - Accent4 2 6 3 2" xfId="14260" xr:uid="{60AE05DE-8FBC-49C2-9568-577D1EC857FC}"/>
    <cellStyle name="40% - Accent4 2 6 4" xfId="10042" xr:uid="{BA657202-EE58-4109-B584-2E082041329A}"/>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FE525E42-B533-4680-BE97-F7EB9D062789}"/>
    <cellStyle name="40% - Accent4 2 7 2 3" xfId="12600" xr:uid="{3EAB60A5-1F0A-4C97-9512-032E9575E6A4}"/>
    <cellStyle name="40% - Accent4 2 7 3" xfId="6231" xr:uid="{00000000-0005-0000-0000-0000EE050000}"/>
    <cellStyle name="40% - Accent4 2 7 3 2" xfId="14673" xr:uid="{DD41914C-F86C-4E67-9CF2-3AF432C9A8FD}"/>
    <cellStyle name="40% - Accent4 2 7 4" xfId="10455" xr:uid="{427E854C-10C1-473D-A709-2ACAD0E3E9F8}"/>
    <cellStyle name="40% - Accent4 2 8" xfId="2337" xr:uid="{00000000-0005-0000-0000-0000EF050000}"/>
    <cellStyle name="40% - Accent4 2 8 2" xfId="6644" xr:uid="{00000000-0005-0000-0000-0000F0050000}"/>
    <cellStyle name="40% - Accent4 2 8 2 2" xfId="15086" xr:uid="{1076ABFD-9418-44B6-9FD1-9BD53A4BF1D8}"/>
    <cellStyle name="40% - Accent4 2 8 3" xfId="10868" xr:uid="{CF94ED61-544D-40AE-B7F4-6A6AB92F4C3C}"/>
    <cellStyle name="40% - Accent4 2 9" xfId="4578" xr:uid="{00000000-0005-0000-0000-0000F1050000}"/>
    <cellStyle name="40% - Accent4 2 9 2" xfId="13020" xr:uid="{766D9730-1E54-480B-919B-786D712E0D71}"/>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A52C77A5-D0EE-4248-ADF2-A355A4362056}"/>
    <cellStyle name="40% - Accent4 3 2 2 2 3" xfId="11366" xr:uid="{3CD39A80-65A7-43B9-A2B3-DBFC21D5201C}"/>
    <cellStyle name="40% - Accent4 3 2 2 3" xfId="4997" xr:uid="{00000000-0005-0000-0000-0000F7050000}"/>
    <cellStyle name="40% - Accent4 3 2 2 3 2" xfId="13439" xr:uid="{C455211C-216E-467D-87E7-322866834207}"/>
    <cellStyle name="40% - Accent4 3 2 2 4" xfId="9221" xr:uid="{CFF8AFA3-761D-43C1-8C7D-41E76449FF8E}"/>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3744676E-FBBD-403F-AAB4-291AF6846026}"/>
    <cellStyle name="40% - Accent4 3 2 3 2 3" xfId="11779" xr:uid="{CE65F16B-117D-4FF6-B883-FDFB2EE38EAC}"/>
    <cellStyle name="40% - Accent4 3 2 3 3" xfId="5410" xr:uid="{00000000-0005-0000-0000-0000FB050000}"/>
    <cellStyle name="40% - Accent4 3 2 3 3 2" xfId="13852" xr:uid="{39C75A84-4B93-48A5-B2A7-27EE5CF053F9}"/>
    <cellStyle name="40% - Accent4 3 2 3 4" xfId="9634" xr:uid="{D2457B5F-374A-44CA-9310-8250592B5177}"/>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90687E33-A602-4EF2-8AF7-6BF55DB3A041}"/>
    <cellStyle name="40% - Accent4 3 2 4 2 3" xfId="12192" xr:uid="{DDBB9EB5-BA47-484A-8A1E-0171D204D1E7}"/>
    <cellStyle name="40% - Accent4 3 2 4 3" xfId="5823" xr:uid="{00000000-0005-0000-0000-0000FF050000}"/>
    <cellStyle name="40% - Accent4 3 2 4 3 2" xfId="14265" xr:uid="{CF4A0353-13FB-468E-B89D-1EDAD1FF0115}"/>
    <cellStyle name="40% - Accent4 3 2 4 4" xfId="10047" xr:uid="{D344657B-0CCF-4FBF-A596-FB641DEC34BE}"/>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090416E0-9A47-4383-9D2B-BBD368257D34}"/>
    <cellStyle name="40% - Accent4 3 2 5 2 3" xfId="12605" xr:uid="{B8DE574D-EBEF-47A4-995F-84A79DA227A7}"/>
    <cellStyle name="40% - Accent4 3 2 5 3" xfId="6236" xr:uid="{00000000-0005-0000-0000-000003060000}"/>
    <cellStyle name="40% - Accent4 3 2 5 3 2" xfId="14678" xr:uid="{A9ADF531-E389-4C57-9B78-106E1361A749}"/>
    <cellStyle name="40% - Accent4 3 2 5 4" xfId="10460" xr:uid="{9D75846C-6C92-4BE1-88F9-0A7495BCA2F2}"/>
    <cellStyle name="40% - Accent4 3 2 6" xfId="2342" xr:uid="{00000000-0005-0000-0000-000004060000}"/>
    <cellStyle name="40% - Accent4 3 2 6 2" xfId="6649" xr:uid="{00000000-0005-0000-0000-000005060000}"/>
    <cellStyle name="40% - Accent4 3 2 6 2 2" xfId="15091" xr:uid="{4F14C599-E9BC-4054-ADB5-EB829D60AA37}"/>
    <cellStyle name="40% - Accent4 3 2 6 3" xfId="10873" xr:uid="{60262D5E-286E-48A4-9319-4AAF13C99AB8}"/>
    <cellStyle name="40% - Accent4 3 2 7" xfId="4583" xr:uid="{00000000-0005-0000-0000-000006060000}"/>
    <cellStyle name="40% - Accent4 3 2 7 2" xfId="13025" xr:uid="{F77D0754-6F1B-4CBF-BCA1-F56278F4B33A}"/>
    <cellStyle name="40% - Accent4 3 2 8" xfId="8807" xr:uid="{64E216AE-BE23-4338-B536-1353746C795D}"/>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E756996C-815A-440C-B6EF-2D4E537778BA}"/>
    <cellStyle name="40% - Accent4 3 3 2 3" xfId="11365" xr:uid="{FCCE5246-455C-4D7D-99C7-001D5AF11FFF}"/>
    <cellStyle name="40% - Accent4 3 3 3" xfId="4996" xr:uid="{00000000-0005-0000-0000-00000A060000}"/>
    <cellStyle name="40% - Accent4 3 3 3 2" xfId="13438" xr:uid="{B765D45E-FB7A-4A38-A268-01D94B7E9AC0}"/>
    <cellStyle name="40% - Accent4 3 3 4" xfId="9220" xr:uid="{2040B2C9-B8A4-42ED-9AB6-EB55BD6A4B3D}"/>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D9721F20-DA7D-4A62-B861-08AE9EFD3346}"/>
    <cellStyle name="40% - Accent4 3 4 2 3" xfId="11778" xr:uid="{B8AD2FC6-65DB-4C56-8FB6-6D127FDD095E}"/>
    <cellStyle name="40% - Accent4 3 4 3" xfId="5409" xr:uid="{00000000-0005-0000-0000-00000E060000}"/>
    <cellStyle name="40% - Accent4 3 4 3 2" xfId="13851" xr:uid="{60A00D6F-6C7A-49EB-B299-242B0CF67CB8}"/>
    <cellStyle name="40% - Accent4 3 4 4" xfId="9633" xr:uid="{818C6E9C-325F-410D-85C2-6920B7770FD3}"/>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23F890A5-09EE-4113-A862-9D511B08C728}"/>
    <cellStyle name="40% - Accent4 3 5 2 3" xfId="12191" xr:uid="{67D0AE21-0A0E-45C1-8EE7-093447125FAD}"/>
    <cellStyle name="40% - Accent4 3 5 3" xfId="5822" xr:uid="{00000000-0005-0000-0000-000012060000}"/>
    <cellStyle name="40% - Accent4 3 5 3 2" xfId="14264" xr:uid="{793BA8A7-1143-47F8-B596-94070601F515}"/>
    <cellStyle name="40% - Accent4 3 5 4" xfId="10046" xr:uid="{965526E8-C318-4C3F-AB3C-7AFBDA95FA8A}"/>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6F57A652-323C-41E7-A408-997310A133B1}"/>
    <cellStyle name="40% - Accent4 3 6 2 3" xfId="12604" xr:uid="{5D51566F-571C-4D07-9FAC-203919AA223E}"/>
    <cellStyle name="40% - Accent4 3 6 3" xfId="6235" xr:uid="{00000000-0005-0000-0000-000016060000}"/>
    <cellStyle name="40% - Accent4 3 6 3 2" xfId="14677" xr:uid="{4D27167C-D634-426C-B1BD-7AAF2F37B298}"/>
    <cellStyle name="40% - Accent4 3 6 4" xfId="10459" xr:uid="{E1F66873-9506-4377-91CC-DE6F21D5178D}"/>
    <cellStyle name="40% - Accent4 3 7" xfId="2341" xr:uid="{00000000-0005-0000-0000-000017060000}"/>
    <cellStyle name="40% - Accent4 3 7 2" xfId="6648" xr:uid="{00000000-0005-0000-0000-000018060000}"/>
    <cellStyle name="40% - Accent4 3 7 2 2" xfId="15090" xr:uid="{CFF92506-AAB7-42BE-8C53-B1F4D0A3BF59}"/>
    <cellStyle name="40% - Accent4 3 7 3" xfId="10872" xr:uid="{4C6842E9-F575-41BD-80BF-AE18D3D83963}"/>
    <cellStyle name="40% - Accent4 3 8" xfId="4582" xr:uid="{00000000-0005-0000-0000-000019060000}"/>
    <cellStyle name="40% - Accent4 3 8 2" xfId="13024" xr:uid="{F30A5D59-CC7A-462F-848D-012F44ABA63A}"/>
    <cellStyle name="40% - Accent4 3 9" xfId="8806" xr:uid="{2E361C4C-C33E-41A1-AA01-A7223EB91C93}"/>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2D9F5A83-B4F9-4B45-A125-1B033CEFCC40}"/>
    <cellStyle name="40% - Accent4 4 2 2 3" xfId="11367" xr:uid="{590D145D-28BF-4819-BA41-0990F3F97376}"/>
    <cellStyle name="40% - Accent4 4 2 3" xfId="4998" xr:uid="{00000000-0005-0000-0000-00001E060000}"/>
    <cellStyle name="40% - Accent4 4 2 3 2" xfId="13440" xr:uid="{37EE1C54-E8C8-429F-AFD2-A076C83348BF}"/>
    <cellStyle name="40% - Accent4 4 2 4" xfId="9222" xr:uid="{D447664E-9106-49C1-90A6-1716EB51DCF5}"/>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4CE141FE-988B-45D6-B88F-DAECB5A4362F}"/>
    <cellStyle name="40% - Accent4 4 3 2 3" xfId="11780" xr:uid="{AC1DE108-28DE-463F-BB82-8976DBB74BAC}"/>
    <cellStyle name="40% - Accent4 4 3 3" xfId="5411" xr:uid="{00000000-0005-0000-0000-000022060000}"/>
    <cellStyle name="40% - Accent4 4 3 3 2" xfId="13853" xr:uid="{A709C634-86DB-4850-B535-7C1D156C6ADF}"/>
    <cellStyle name="40% - Accent4 4 3 4" xfId="9635" xr:uid="{B5B183FC-23FC-4925-BDF3-966978B1EC40}"/>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65CDD60D-D2B9-4E71-A7F3-D102B0E33B40}"/>
    <cellStyle name="40% - Accent4 4 4 2 3" xfId="12193" xr:uid="{87B7CC8A-4CE2-4EC6-92DB-E04634A3978D}"/>
    <cellStyle name="40% - Accent4 4 4 3" xfId="5824" xr:uid="{00000000-0005-0000-0000-000026060000}"/>
    <cellStyle name="40% - Accent4 4 4 3 2" xfId="14266" xr:uid="{489E4DD7-D861-4E55-BB45-4C0FF72A08B6}"/>
    <cellStyle name="40% - Accent4 4 4 4" xfId="10048" xr:uid="{0FB33BAA-A22F-40F7-98E0-71E3A4711BEF}"/>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13559A19-146C-487C-BE7A-45372C4DE2D9}"/>
    <cellStyle name="40% - Accent4 4 5 2 3" xfId="12606" xr:uid="{F577420E-9E7E-4E84-AD25-1001EC503C4C}"/>
    <cellStyle name="40% - Accent4 4 5 3" xfId="6237" xr:uid="{00000000-0005-0000-0000-00002A060000}"/>
    <cellStyle name="40% - Accent4 4 5 3 2" xfId="14679" xr:uid="{B14318BA-2CC3-45E2-979F-767DCD5E31A8}"/>
    <cellStyle name="40% - Accent4 4 5 4" xfId="10461" xr:uid="{3910752A-AAE2-4227-A835-20CA44EBEF0A}"/>
    <cellStyle name="40% - Accent4 4 6" xfId="2343" xr:uid="{00000000-0005-0000-0000-00002B060000}"/>
    <cellStyle name="40% - Accent4 4 6 2" xfId="6650" xr:uid="{00000000-0005-0000-0000-00002C060000}"/>
    <cellStyle name="40% - Accent4 4 6 2 2" xfId="15092" xr:uid="{E15E95BF-69E9-468E-81EA-53CE3D6B000D}"/>
    <cellStyle name="40% - Accent4 4 6 3" xfId="10874" xr:uid="{55E2705E-F4F5-4E14-8186-633224D72220}"/>
    <cellStyle name="40% - Accent4 4 7" xfId="4584" xr:uid="{00000000-0005-0000-0000-00002D060000}"/>
    <cellStyle name="40% - Accent4 4 7 2" xfId="13026" xr:uid="{193B07A4-3B73-4AB6-A11E-B3CBACDC281E}"/>
    <cellStyle name="40% - Accent4 4 8" xfId="8808" xr:uid="{294C314C-0F7D-46E9-90D8-D342BABD8EBA}"/>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51695FE3-159A-4FBC-9E0E-C13C3F0CE0F3}"/>
    <cellStyle name="40% - Accent4 5 2 3" xfId="11360" xr:uid="{94E5AB57-32D1-48D2-BC3D-702DD2A7141D}"/>
    <cellStyle name="40% - Accent4 5 3" xfId="4991" xr:uid="{00000000-0005-0000-0000-000031060000}"/>
    <cellStyle name="40% - Accent4 5 3 2" xfId="13433" xr:uid="{3F972253-CF86-4320-AD2F-3E75BA6A854D}"/>
    <cellStyle name="40% - Accent4 5 4" xfId="9215" xr:uid="{DB389012-8678-4D0D-B8A4-4F2FC7476E44}"/>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52848522-F3F8-4660-9765-F429FBC84748}"/>
    <cellStyle name="40% - Accent4 6 2 3" xfId="11773" xr:uid="{5EF0933B-FA91-4A10-AD52-0AB1F85C766A}"/>
    <cellStyle name="40% - Accent4 6 3" xfId="5404" xr:uid="{00000000-0005-0000-0000-000035060000}"/>
    <cellStyle name="40% - Accent4 6 3 2" xfId="13846" xr:uid="{8516CDB8-7C1C-4513-A80F-FDE6B61D1825}"/>
    <cellStyle name="40% - Accent4 6 4" xfId="9628" xr:uid="{36677C44-F295-440D-AC21-3F930ABC47F9}"/>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B8C11013-48BB-42F1-B958-FDF3F7C4AAE9}"/>
    <cellStyle name="40% - Accent4 7 2 3" xfId="12186" xr:uid="{EA1ED091-BB97-4591-B778-CB66D2463557}"/>
    <cellStyle name="40% - Accent4 7 3" xfId="5817" xr:uid="{00000000-0005-0000-0000-000039060000}"/>
    <cellStyle name="40% - Accent4 7 3 2" xfId="14259" xr:uid="{06AD4C91-E05C-4665-A9E0-190385C746EE}"/>
    <cellStyle name="40% - Accent4 7 4" xfId="10041" xr:uid="{E15D6092-4EF8-43DB-B06E-33B4C40C13AA}"/>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E6B244CD-86B2-414C-8C43-77CFAD9123BF}"/>
    <cellStyle name="40% - Accent4 8 2 3" xfId="12599" xr:uid="{66B46BEC-E4CA-4924-BF08-362E9D153D6F}"/>
    <cellStyle name="40% - Accent4 8 3" xfId="6230" xr:uid="{00000000-0005-0000-0000-00003D060000}"/>
    <cellStyle name="40% - Accent4 8 3 2" xfId="14672" xr:uid="{F54D11B3-45FF-4BEB-90F9-7D78833BAB27}"/>
    <cellStyle name="40% - Accent4 8 4" xfId="10454" xr:uid="{52E788ED-120E-4E5E-96FE-D105FDA841FB}"/>
    <cellStyle name="40% - Accent4 9" xfId="2336" xr:uid="{00000000-0005-0000-0000-00003E060000}"/>
    <cellStyle name="40% - Accent4 9 2" xfId="6643" xr:uid="{00000000-0005-0000-0000-00003F060000}"/>
    <cellStyle name="40% - Accent4 9 2 2" xfId="15085" xr:uid="{3813B62F-0AA6-4092-8E49-BD3730765E01}"/>
    <cellStyle name="40% - Accent4 9 3" xfId="10867" xr:uid="{FD9BEB5B-B7C0-456F-BCFF-832004A3A97A}"/>
    <cellStyle name="40% - Accent5" xfId="81" builtinId="47" customBuiltin="1"/>
    <cellStyle name="40% - Accent5 10" xfId="4585" xr:uid="{00000000-0005-0000-0000-000041060000}"/>
    <cellStyle name="40% - Accent5 10 2" xfId="13027" xr:uid="{8687C047-43ED-41DE-B208-0A7012C49D40}"/>
    <cellStyle name="40% - Accent5 11" xfId="8809" xr:uid="{DB476693-EF9D-4831-A0ED-661FF2F160EF}"/>
    <cellStyle name="40% - Accent5 2" xfId="82" xr:uid="{00000000-0005-0000-0000-000042060000}"/>
    <cellStyle name="40% - Accent5 2 10" xfId="8810" xr:uid="{B68E8976-4808-48A1-AA91-787B1133511F}"/>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05A9F051-664A-427B-8E1C-D72BA73BB42C}"/>
    <cellStyle name="40% - Accent5 2 2 2 2 2 3" xfId="11371" xr:uid="{C0CE052A-DD6C-47F2-AAE8-C7AD320BC5F3}"/>
    <cellStyle name="40% - Accent5 2 2 2 2 3" xfId="5002" xr:uid="{00000000-0005-0000-0000-000048060000}"/>
    <cellStyle name="40% - Accent5 2 2 2 2 3 2" xfId="13444" xr:uid="{8F65B37E-A4B3-4336-8F81-77AFEA82D3E6}"/>
    <cellStyle name="40% - Accent5 2 2 2 2 4" xfId="9226" xr:uid="{E85B3CA1-5F5C-4F35-9875-71E63E767E0A}"/>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FA8C718D-84A1-4961-8858-674D0CB0CB5A}"/>
    <cellStyle name="40% - Accent5 2 2 2 3 2 3" xfId="11784" xr:uid="{2EBD707C-73FA-46E5-9302-502325AF7BAD}"/>
    <cellStyle name="40% - Accent5 2 2 2 3 3" xfId="5415" xr:uid="{00000000-0005-0000-0000-00004C060000}"/>
    <cellStyle name="40% - Accent5 2 2 2 3 3 2" xfId="13857" xr:uid="{CA9EC66C-6624-458B-A66D-A632561168EF}"/>
    <cellStyle name="40% - Accent5 2 2 2 3 4" xfId="9639" xr:uid="{91B38516-D0E2-46F0-B39C-59924AFA149F}"/>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ED919126-482F-4FAE-B935-1BA710E2E17B}"/>
    <cellStyle name="40% - Accent5 2 2 2 4 2 3" xfId="12197" xr:uid="{11B1DEF1-9B9D-4E2E-94EE-342ECBAE596A}"/>
    <cellStyle name="40% - Accent5 2 2 2 4 3" xfId="5828" xr:uid="{00000000-0005-0000-0000-000050060000}"/>
    <cellStyle name="40% - Accent5 2 2 2 4 3 2" xfId="14270" xr:uid="{162BA426-06BE-400E-B44F-15CDB62BC1A5}"/>
    <cellStyle name="40% - Accent5 2 2 2 4 4" xfId="10052" xr:uid="{CD67A5E9-F702-4EF2-9C1A-F58A5F161D5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988B1B38-B650-41A3-B23E-A34317E6615F}"/>
    <cellStyle name="40% - Accent5 2 2 2 5 2 3" xfId="12610" xr:uid="{15A6F9B3-F6AB-4BF4-9B18-270006AA6B7B}"/>
    <cellStyle name="40% - Accent5 2 2 2 5 3" xfId="6241" xr:uid="{00000000-0005-0000-0000-000054060000}"/>
    <cellStyle name="40% - Accent5 2 2 2 5 3 2" xfId="14683" xr:uid="{59F158D3-75EB-4EEB-A18A-E50F98EF82E3}"/>
    <cellStyle name="40% - Accent5 2 2 2 5 4" xfId="10465" xr:uid="{759C33C0-A566-40D2-99A2-D76110863FF7}"/>
    <cellStyle name="40% - Accent5 2 2 2 6" xfId="2347" xr:uid="{00000000-0005-0000-0000-000055060000}"/>
    <cellStyle name="40% - Accent5 2 2 2 6 2" xfId="6654" xr:uid="{00000000-0005-0000-0000-000056060000}"/>
    <cellStyle name="40% - Accent5 2 2 2 6 2 2" xfId="15096" xr:uid="{EC2A37E0-EA81-401B-BB24-8B95980BAFA6}"/>
    <cellStyle name="40% - Accent5 2 2 2 6 3" xfId="10878" xr:uid="{AAA6DF98-BA79-4D6B-9867-51A91949EA56}"/>
    <cellStyle name="40% - Accent5 2 2 2 7" xfId="4588" xr:uid="{00000000-0005-0000-0000-000057060000}"/>
    <cellStyle name="40% - Accent5 2 2 2 7 2" xfId="13030" xr:uid="{12580459-C758-4CD6-AA33-77AD2F0051C4}"/>
    <cellStyle name="40% - Accent5 2 2 2 8" xfId="8812" xr:uid="{2911C434-097D-483C-8351-622188C08048}"/>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F39F671C-AB6B-4A6A-873E-971DAC481ECA}"/>
    <cellStyle name="40% - Accent5 2 2 3 2 3" xfId="11370" xr:uid="{E37EE36D-4ACA-4ABE-8EFA-E35F78F3F2E9}"/>
    <cellStyle name="40% - Accent5 2 2 3 3" xfId="5001" xr:uid="{00000000-0005-0000-0000-00005B060000}"/>
    <cellStyle name="40% - Accent5 2 2 3 3 2" xfId="13443" xr:uid="{CE96FFCA-CA8E-4B7D-909F-56F4CF33BC09}"/>
    <cellStyle name="40% - Accent5 2 2 3 4" xfId="9225" xr:uid="{D317AA0F-BA7B-4678-9295-63A787152FB2}"/>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7CCB9F61-0619-47A1-9EB4-C2BAA68EED56}"/>
    <cellStyle name="40% - Accent5 2 2 4 2 3" xfId="11783" xr:uid="{DAC3AF43-6966-4D30-BDFC-FCF1FA023816}"/>
    <cellStyle name="40% - Accent5 2 2 4 3" xfId="5414" xr:uid="{00000000-0005-0000-0000-00005F060000}"/>
    <cellStyle name="40% - Accent5 2 2 4 3 2" xfId="13856" xr:uid="{6E157385-D101-4C31-8FC0-18D9AB060A03}"/>
    <cellStyle name="40% - Accent5 2 2 4 4" xfId="9638" xr:uid="{199C2B27-736D-4171-BDDD-4F53A61FF50C}"/>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0E964E1D-46C0-4B13-B963-D203459A7742}"/>
    <cellStyle name="40% - Accent5 2 2 5 2 3" xfId="12196" xr:uid="{60AB7427-D249-4964-9B62-ED7231201DD5}"/>
    <cellStyle name="40% - Accent5 2 2 5 3" xfId="5827" xr:uid="{00000000-0005-0000-0000-000063060000}"/>
    <cellStyle name="40% - Accent5 2 2 5 3 2" xfId="14269" xr:uid="{1DB34D60-54B7-44EA-BA6A-5DEC613C00CD}"/>
    <cellStyle name="40% - Accent5 2 2 5 4" xfId="10051" xr:uid="{AEFDDEAF-FF1F-4963-8E29-19D26BDD08A8}"/>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B36ADF90-8C67-4DC3-9F29-ABD49B896E84}"/>
    <cellStyle name="40% - Accent5 2 2 6 2 3" xfId="12609" xr:uid="{49030D25-1593-4FC0-A8CF-ECD671F6F33A}"/>
    <cellStyle name="40% - Accent5 2 2 6 3" xfId="6240" xr:uid="{00000000-0005-0000-0000-000067060000}"/>
    <cellStyle name="40% - Accent5 2 2 6 3 2" xfId="14682" xr:uid="{88424865-346A-4BA8-A93A-4BF2759A6CB9}"/>
    <cellStyle name="40% - Accent5 2 2 6 4" xfId="10464" xr:uid="{E02BB4BC-34A8-4388-B488-85E6F17AB41D}"/>
    <cellStyle name="40% - Accent5 2 2 7" xfId="2346" xr:uid="{00000000-0005-0000-0000-000068060000}"/>
    <cellStyle name="40% - Accent5 2 2 7 2" xfId="6653" xr:uid="{00000000-0005-0000-0000-000069060000}"/>
    <cellStyle name="40% - Accent5 2 2 7 2 2" xfId="15095" xr:uid="{F9978A72-8819-4DCC-854E-E7BA90C6BEBE}"/>
    <cellStyle name="40% - Accent5 2 2 7 3" xfId="10877" xr:uid="{72E7F138-D7CA-41B3-B6DB-7D060D987921}"/>
    <cellStyle name="40% - Accent5 2 2 8" xfId="4587" xr:uid="{00000000-0005-0000-0000-00006A060000}"/>
    <cellStyle name="40% - Accent5 2 2 8 2" xfId="13029" xr:uid="{7E1F7550-A66A-4C83-B5CE-E5B7FD49474F}"/>
    <cellStyle name="40% - Accent5 2 2 9" xfId="8811" xr:uid="{46952E55-382F-4C29-8BE2-B59BBC1B6C6A}"/>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397875E5-1D64-4B7E-8759-1F5D45CA9700}"/>
    <cellStyle name="40% - Accent5 2 3 2 2 3" xfId="11372" xr:uid="{DC86ECD3-6CB7-4A38-8A2D-81DEE10F084D}"/>
    <cellStyle name="40% - Accent5 2 3 2 3" xfId="5003" xr:uid="{00000000-0005-0000-0000-00006F060000}"/>
    <cellStyle name="40% - Accent5 2 3 2 3 2" xfId="13445" xr:uid="{74B4A365-CF64-484A-88B8-5D52E93CE809}"/>
    <cellStyle name="40% - Accent5 2 3 2 4" xfId="9227" xr:uid="{07D83CEF-EBFE-40E1-B499-B1418EE69FE3}"/>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38319B3D-B85E-421B-BEC3-B1709196893D}"/>
    <cellStyle name="40% - Accent5 2 3 3 2 3" xfId="11785" xr:uid="{0ED3AFDA-43CF-4843-9D07-135414D28C3F}"/>
    <cellStyle name="40% - Accent5 2 3 3 3" xfId="5416" xr:uid="{00000000-0005-0000-0000-000073060000}"/>
    <cellStyle name="40% - Accent5 2 3 3 3 2" xfId="13858" xr:uid="{E42D4468-1E9E-4BF2-893E-B2B462290A90}"/>
    <cellStyle name="40% - Accent5 2 3 3 4" xfId="9640" xr:uid="{9421E003-C2A8-4A97-B55D-43E9696AE92B}"/>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6ABCBC26-595D-457D-94D0-4E868F8395FC}"/>
    <cellStyle name="40% - Accent5 2 3 4 2 3" xfId="12198" xr:uid="{2A8B5D5D-8F96-49B6-89DE-ECC0BEAF9738}"/>
    <cellStyle name="40% - Accent5 2 3 4 3" xfId="5829" xr:uid="{00000000-0005-0000-0000-000077060000}"/>
    <cellStyle name="40% - Accent5 2 3 4 3 2" xfId="14271" xr:uid="{981A4914-780F-4ACD-8785-D608649630C0}"/>
    <cellStyle name="40% - Accent5 2 3 4 4" xfId="10053" xr:uid="{F491B347-A828-41F6-970C-5320459587DE}"/>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29D6E11C-BC7D-438F-BA9C-C1C34696C62D}"/>
    <cellStyle name="40% - Accent5 2 3 5 2 3" xfId="12611" xr:uid="{E5D1AF37-C167-4D0E-9189-9269D4A132F4}"/>
    <cellStyle name="40% - Accent5 2 3 5 3" xfId="6242" xr:uid="{00000000-0005-0000-0000-00007B060000}"/>
    <cellStyle name="40% - Accent5 2 3 5 3 2" xfId="14684" xr:uid="{08FB66A1-B498-44EB-90F5-628B5AD78CF2}"/>
    <cellStyle name="40% - Accent5 2 3 5 4" xfId="10466" xr:uid="{9C108499-7DB5-42A1-A650-5E9824F33DDD}"/>
    <cellStyle name="40% - Accent5 2 3 6" xfId="2348" xr:uid="{00000000-0005-0000-0000-00007C060000}"/>
    <cellStyle name="40% - Accent5 2 3 6 2" xfId="6655" xr:uid="{00000000-0005-0000-0000-00007D060000}"/>
    <cellStyle name="40% - Accent5 2 3 6 2 2" xfId="15097" xr:uid="{A46547CA-5754-46D4-877C-6FE5B5EDE60B}"/>
    <cellStyle name="40% - Accent5 2 3 6 3" xfId="10879" xr:uid="{5ECBE718-DD30-4D3B-8C0D-82A509017B5F}"/>
    <cellStyle name="40% - Accent5 2 3 7" xfId="4589" xr:uid="{00000000-0005-0000-0000-00007E060000}"/>
    <cellStyle name="40% - Accent5 2 3 7 2" xfId="13031" xr:uid="{F2F39103-17FB-43BC-8F3B-53115332AEF6}"/>
    <cellStyle name="40% - Accent5 2 3 8" xfId="8813" xr:uid="{B2B145B4-B2C6-4CE1-8227-8CE7FFC14CC0}"/>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B01F7369-F533-423D-9C6B-E449904A0CDC}"/>
    <cellStyle name="40% - Accent5 2 4 2 3" xfId="11369" xr:uid="{C5877A94-FE65-4354-848B-51E51689ABD1}"/>
    <cellStyle name="40% - Accent5 2 4 3" xfId="5000" xr:uid="{00000000-0005-0000-0000-000082060000}"/>
    <cellStyle name="40% - Accent5 2 4 3 2" xfId="13442" xr:uid="{8A4E0F64-2AD0-4644-BAAC-76A44047A9EF}"/>
    <cellStyle name="40% - Accent5 2 4 4" xfId="9224" xr:uid="{2416D895-0FF9-4EE1-82A1-CBC32E485E72}"/>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9861F835-710F-4394-B3A3-FBEBE813CE16}"/>
    <cellStyle name="40% - Accent5 2 5 2 3" xfId="11782" xr:uid="{8E090FB2-56F1-486B-8010-9CA4C4CC9112}"/>
    <cellStyle name="40% - Accent5 2 5 3" xfId="5413" xr:uid="{00000000-0005-0000-0000-000086060000}"/>
    <cellStyle name="40% - Accent5 2 5 3 2" xfId="13855" xr:uid="{4E507A30-9C8B-499C-8F38-F8B0C48EC4C0}"/>
    <cellStyle name="40% - Accent5 2 5 4" xfId="9637" xr:uid="{08265BDE-B861-4799-966C-3D26E0884BC7}"/>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60919C36-C1AB-4DFD-9463-E31C0448DEE5}"/>
    <cellStyle name="40% - Accent5 2 6 2 3" xfId="12195" xr:uid="{2F9B122E-C1CF-4422-A228-A0D598C608AD}"/>
    <cellStyle name="40% - Accent5 2 6 3" xfId="5826" xr:uid="{00000000-0005-0000-0000-00008A060000}"/>
    <cellStyle name="40% - Accent5 2 6 3 2" xfId="14268" xr:uid="{483F1C28-30F7-4D18-AD4F-0C635D111AB1}"/>
    <cellStyle name="40% - Accent5 2 6 4" xfId="10050" xr:uid="{FB06D8A4-8AB7-4588-A1FC-0F34899878E1}"/>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AE16C5D4-05B6-49F3-A3F9-D76640196877}"/>
    <cellStyle name="40% - Accent5 2 7 2 3" xfId="12608" xr:uid="{8530F69F-4D6D-498F-AE7F-1672F94E0270}"/>
    <cellStyle name="40% - Accent5 2 7 3" xfId="6239" xr:uid="{00000000-0005-0000-0000-00008E060000}"/>
    <cellStyle name="40% - Accent5 2 7 3 2" xfId="14681" xr:uid="{3D5D6CB1-4D94-4881-9CB8-E6E44912230C}"/>
    <cellStyle name="40% - Accent5 2 7 4" xfId="10463" xr:uid="{9A24DF2A-F5F9-437A-9A77-E2A53831F6A8}"/>
    <cellStyle name="40% - Accent5 2 8" xfId="2345" xr:uid="{00000000-0005-0000-0000-00008F060000}"/>
    <cellStyle name="40% - Accent5 2 8 2" xfId="6652" xr:uid="{00000000-0005-0000-0000-000090060000}"/>
    <cellStyle name="40% - Accent5 2 8 2 2" xfId="15094" xr:uid="{EDF8DFF7-C44C-477A-81C0-8DA8E58A3BDF}"/>
    <cellStyle name="40% - Accent5 2 8 3" xfId="10876" xr:uid="{5E1AC8B3-6532-4681-88E5-2F1E82248612}"/>
    <cellStyle name="40% - Accent5 2 9" xfId="4586" xr:uid="{00000000-0005-0000-0000-000091060000}"/>
    <cellStyle name="40% - Accent5 2 9 2" xfId="13028" xr:uid="{C165D12B-7AC2-4F94-A46D-C01FD0F7BA66}"/>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5C047569-E103-49AD-87BF-602ED428B23C}"/>
    <cellStyle name="40% - Accent5 3 2 2 2 3" xfId="11374" xr:uid="{22FB27B7-627B-41A1-A583-4D0C62C56193}"/>
    <cellStyle name="40% - Accent5 3 2 2 3" xfId="5005" xr:uid="{00000000-0005-0000-0000-000097060000}"/>
    <cellStyle name="40% - Accent5 3 2 2 3 2" xfId="13447" xr:uid="{16D154A4-37C8-45E8-A9CD-B4B402D5F177}"/>
    <cellStyle name="40% - Accent5 3 2 2 4" xfId="9229" xr:uid="{54546E3C-CE60-4476-B43B-BB039D0B5BF6}"/>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8FF97573-5997-4A88-B540-3E068D9667B3}"/>
    <cellStyle name="40% - Accent5 3 2 3 2 3" xfId="11787" xr:uid="{E2455B3B-9D91-44EC-8223-F61B2337D6E7}"/>
    <cellStyle name="40% - Accent5 3 2 3 3" xfId="5418" xr:uid="{00000000-0005-0000-0000-00009B060000}"/>
    <cellStyle name="40% - Accent5 3 2 3 3 2" xfId="13860" xr:uid="{F60FEEB6-3639-41D1-B184-B7E3E254E02E}"/>
    <cellStyle name="40% - Accent5 3 2 3 4" xfId="9642" xr:uid="{A192841F-DBF3-4429-9B1E-8ACE4EB49B05}"/>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2E771E3F-0923-4837-8CCC-AF66BF62ECA3}"/>
    <cellStyle name="40% - Accent5 3 2 4 2 3" xfId="12200" xr:uid="{291A5F3C-4736-40CB-8878-3F53C65AD603}"/>
    <cellStyle name="40% - Accent5 3 2 4 3" xfId="5831" xr:uid="{00000000-0005-0000-0000-00009F060000}"/>
    <cellStyle name="40% - Accent5 3 2 4 3 2" xfId="14273" xr:uid="{AA4713BB-E57F-4438-ADB8-EEEDF9F90838}"/>
    <cellStyle name="40% - Accent5 3 2 4 4" xfId="10055" xr:uid="{0638F2EF-7016-4AF8-9B08-C5495E997420}"/>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DECB8CED-E28F-44CC-BCA9-2CDCB618F141}"/>
    <cellStyle name="40% - Accent5 3 2 5 2 3" xfId="12613" xr:uid="{64AB32F3-D4AA-414A-97FF-2FA680F3FF44}"/>
    <cellStyle name="40% - Accent5 3 2 5 3" xfId="6244" xr:uid="{00000000-0005-0000-0000-0000A3060000}"/>
    <cellStyle name="40% - Accent5 3 2 5 3 2" xfId="14686" xr:uid="{988BD3C6-DA68-40D7-99F9-47C9613B74BB}"/>
    <cellStyle name="40% - Accent5 3 2 5 4" xfId="10468" xr:uid="{BEB4DAA4-AE71-45C3-B6EB-8AA11ECA77E9}"/>
    <cellStyle name="40% - Accent5 3 2 6" xfId="2350" xr:uid="{00000000-0005-0000-0000-0000A4060000}"/>
    <cellStyle name="40% - Accent5 3 2 6 2" xfId="6657" xr:uid="{00000000-0005-0000-0000-0000A5060000}"/>
    <cellStyle name="40% - Accent5 3 2 6 2 2" xfId="15099" xr:uid="{BCFF0853-9FA4-4C51-83B9-E3BE0CBBB7FB}"/>
    <cellStyle name="40% - Accent5 3 2 6 3" xfId="10881" xr:uid="{1750E7E2-F0A3-4467-841A-092DD5F8E1B0}"/>
    <cellStyle name="40% - Accent5 3 2 7" xfId="4591" xr:uid="{00000000-0005-0000-0000-0000A6060000}"/>
    <cellStyle name="40% - Accent5 3 2 7 2" xfId="13033" xr:uid="{34C0F13D-075F-4E17-A238-DF41303E6DAC}"/>
    <cellStyle name="40% - Accent5 3 2 8" xfId="8815" xr:uid="{FF22397A-A504-4DBD-8CB4-2249C11241D1}"/>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B601474F-17B9-4739-94C9-86212F2CA68E}"/>
    <cellStyle name="40% - Accent5 3 3 2 3" xfId="11373" xr:uid="{FFF0C618-951E-49A4-BB96-0D3138518628}"/>
    <cellStyle name="40% - Accent5 3 3 3" xfId="5004" xr:uid="{00000000-0005-0000-0000-0000AA060000}"/>
    <cellStyle name="40% - Accent5 3 3 3 2" xfId="13446" xr:uid="{E4ABBA85-C0A5-4753-B816-9C6653F71DAE}"/>
    <cellStyle name="40% - Accent5 3 3 4" xfId="9228" xr:uid="{2F96445E-2660-4DAB-B1E2-7B68941F26E5}"/>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03571B6F-3343-4DB4-81D9-157BCAE9A292}"/>
    <cellStyle name="40% - Accent5 3 4 2 3" xfId="11786" xr:uid="{9B5F396A-6E3C-46D7-A444-74F9D7F58608}"/>
    <cellStyle name="40% - Accent5 3 4 3" xfId="5417" xr:uid="{00000000-0005-0000-0000-0000AE060000}"/>
    <cellStyle name="40% - Accent5 3 4 3 2" xfId="13859" xr:uid="{86496172-F8D1-4720-B146-A56BE448EDC4}"/>
    <cellStyle name="40% - Accent5 3 4 4" xfId="9641" xr:uid="{BA301870-BB9E-4352-8C13-A44F9E8311FF}"/>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2CCCABDB-9284-44BC-9FE8-725CF5FA2BE5}"/>
    <cellStyle name="40% - Accent5 3 5 2 3" xfId="12199" xr:uid="{FD9FDA0D-D2B5-4F45-AE49-309176CE3428}"/>
    <cellStyle name="40% - Accent5 3 5 3" xfId="5830" xr:uid="{00000000-0005-0000-0000-0000B2060000}"/>
    <cellStyle name="40% - Accent5 3 5 3 2" xfId="14272" xr:uid="{843B8E8D-9ED9-4287-B97F-775F9E83920A}"/>
    <cellStyle name="40% - Accent5 3 5 4" xfId="10054" xr:uid="{1ED460C9-E3FB-4E59-80E3-0C476712997A}"/>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F7811CC3-0B7D-42FF-8BFB-0DEED7D6ED5A}"/>
    <cellStyle name="40% - Accent5 3 6 2 3" xfId="12612" xr:uid="{A3CC4E69-7E4E-4E78-B8CE-9952D5D6B474}"/>
    <cellStyle name="40% - Accent5 3 6 3" xfId="6243" xr:uid="{00000000-0005-0000-0000-0000B6060000}"/>
    <cellStyle name="40% - Accent5 3 6 3 2" xfId="14685" xr:uid="{9EB48B81-98EB-4DB7-A49A-E8FEDD32C672}"/>
    <cellStyle name="40% - Accent5 3 6 4" xfId="10467" xr:uid="{1BD84129-212F-4A2F-92BE-6200B2A50AF4}"/>
    <cellStyle name="40% - Accent5 3 7" xfId="2349" xr:uid="{00000000-0005-0000-0000-0000B7060000}"/>
    <cellStyle name="40% - Accent5 3 7 2" xfId="6656" xr:uid="{00000000-0005-0000-0000-0000B8060000}"/>
    <cellStyle name="40% - Accent5 3 7 2 2" xfId="15098" xr:uid="{3BB787EF-3D5B-40DE-8667-4F0C097B525E}"/>
    <cellStyle name="40% - Accent5 3 7 3" xfId="10880" xr:uid="{F6B42338-A50D-4206-A1FB-BEADB8D09E22}"/>
    <cellStyle name="40% - Accent5 3 8" xfId="4590" xr:uid="{00000000-0005-0000-0000-0000B9060000}"/>
    <cellStyle name="40% - Accent5 3 8 2" xfId="13032" xr:uid="{DED2ADCD-3F4E-44B5-90CD-C3F97FE23DC3}"/>
    <cellStyle name="40% - Accent5 3 9" xfId="8814" xr:uid="{B4D16E45-9386-4658-BACE-CE04B8D09E48}"/>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C5BAEF9F-D7F1-4D75-B5EE-37CE7AAE81B7}"/>
    <cellStyle name="40% - Accent5 4 2 2 3" xfId="11375" xr:uid="{8FF870FB-3C44-4432-B431-F90FD6CAAC97}"/>
    <cellStyle name="40% - Accent5 4 2 3" xfId="5006" xr:uid="{00000000-0005-0000-0000-0000BE060000}"/>
    <cellStyle name="40% - Accent5 4 2 3 2" xfId="13448" xr:uid="{379519D6-66E5-4B56-B49E-C34982879B2F}"/>
    <cellStyle name="40% - Accent5 4 2 4" xfId="9230" xr:uid="{95B50DD0-A54C-43CB-9699-33CDEBA87F92}"/>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ED9FEBE1-19E4-468F-BDA5-B0076FC06211}"/>
    <cellStyle name="40% - Accent5 4 3 2 3" xfId="11788" xr:uid="{93890F13-886D-4599-847B-772FAAD3EC52}"/>
    <cellStyle name="40% - Accent5 4 3 3" xfId="5419" xr:uid="{00000000-0005-0000-0000-0000C2060000}"/>
    <cellStyle name="40% - Accent5 4 3 3 2" xfId="13861" xr:uid="{DC8F5B26-DDB0-453B-9A90-C81C767F042E}"/>
    <cellStyle name="40% - Accent5 4 3 4" xfId="9643" xr:uid="{766DE9F6-8324-40B5-B2A2-B02CAD0527EC}"/>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9508CA4E-6C89-42EE-AFDE-821D8B14431A}"/>
    <cellStyle name="40% - Accent5 4 4 2 3" xfId="12201" xr:uid="{AC827845-0252-4E03-9CB8-494708AAB710}"/>
    <cellStyle name="40% - Accent5 4 4 3" xfId="5832" xr:uid="{00000000-0005-0000-0000-0000C6060000}"/>
    <cellStyle name="40% - Accent5 4 4 3 2" xfId="14274" xr:uid="{2271CE05-6BC7-4E36-A1D3-50909EDDD0CA}"/>
    <cellStyle name="40% - Accent5 4 4 4" xfId="10056" xr:uid="{9615D3FF-F021-448C-93E3-5A36FB03C8C9}"/>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9B625A80-4BBC-4991-B28A-1CC90ABFD84F}"/>
    <cellStyle name="40% - Accent5 4 5 2 3" xfId="12614" xr:uid="{07F8A4FE-35C8-4E98-BFDC-C156358FDC24}"/>
    <cellStyle name="40% - Accent5 4 5 3" xfId="6245" xr:uid="{00000000-0005-0000-0000-0000CA060000}"/>
    <cellStyle name="40% - Accent5 4 5 3 2" xfId="14687" xr:uid="{A4FF0D3C-9A0F-48D3-8B18-A79E924D9BCD}"/>
    <cellStyle name="40% - Accent5 4 5 4" xfId="10469" xr:uid="{6F54C705-FD02-41BD-8D95-2732A8121903}"/>
    <cellStyle name="40% - Accent5 4 6" xfId="2351" xr:uid="{00000000-0005-0000-0000-0000CB060000}"/>
    <cellStyle name="40% - Accent5 4 6 2" xfId="6658" xr:uid="{00000000-0005-0000-0000-0000CC060000}"/>
    <cellStyle name="40% - Accent5 4 6 2 2" xfId="15100" xr:uid="{B6473620-3DF7-4780-A012-43FFB647C05C}"/>
    <cellStyle name="40% - Accent5 4 6 3" xfId="10882" xr:uid="{983090B0-D6D5-453C-BFD3-9DDEDED9B588}"/>
    <cellStyle name="40% - Accent5 4 7" xfId="4592" xr:uid="{00000000-0005-0000-0000-0000CD060000}"/>
    <cellStyle name="40% - Accent5 4 7 2" xfId="13034" xr:uid="{3F177480-66C0-4BAC-8E49-136EECA6842B}"/>
    <cellStyle name="40% - Accent5 4 8" xfId="8816" xr:uid="{90AEFA9B-EC2F-4B79-B8A3-588E71AFAB5C}"/>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B4670F65-D1CD-46F6-88BA-749E264D6BE3}"/>
    <cellStyle name="40% - Accent5 5 2 3" xfId="11368" xr:uid="{4D84C080-8123-4ABF-B337-081C5F4848BB}"/>
    <cellStyle name="40% - Accent5 5 3" xfId="4999" xr:uid="{00000000-0005-0000-0000-0000D1060000}"/>
    <cellStyle name="40% - Accent5 5 3 2" xfId="13441" xr:uid="{997776C4-E801-4F69-8712-35CAD41F0798}"/>
    <cellStyle name="40% - Accent5 5 4" xfId="9223" xr:uid="{58247CA3-F19D-44A9-AE1F-8101AA7BE2DD}"/>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89408B78-146B-441B-B916-A28D2306510A}"/>
    <cellStyle name="40% - Accent5 6 2 3" xfId="11781" xr:uid="{C8AC8E2A-4894-4AD6-A390-0D50F6A42D1C}"/>
    <cellStyle name="40% - Accent5 6 3" xfId="5412" xr:uid="{00000000-0005-0000-0000-0000D5060000}"/>
    <cellStyle name="40% - Accent5 6 3 2" xfId="13854" xr:uid="{763630FB-25B0-47B3-9335-C5653C773A4D}"/>
    <cellStyle name="40% - Accent5 6 4" xfId="9636" xr:uid="{416CF06F-23B4-4CD1-99A0-CF05286CC714}"/>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A715F4BC-62DC-4425-9BE6-CE1ED5A2070C}"/>
    <cellStyle name="40% - Accent5 7 2 3" xfId="12194" xr:uid="{DD18657E-3CF0-44C8-A0C7-0BA4D7F3F095}"/>
    <cellStyle name="40% - Accent5 7 3" xfId="5825" xr:uid="{00000000-0005-0000-0000-0000D9060000}"/>
    <cellStyle name="40% - Accent5 7 3 2" xfId="14267" xr:uid="{70571D6C-C688-49B7-BE1A-62D813ED15F2}"/>
    <cellStyle name="40% - Accent5 7 4" xfId="10049" xr:uid="{B0618A00-3465-4D3E-888A-37F11F687C05}"/>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F04F7B93-948A-441E-AA4F-196590A525F4}"/>
    <cellStyle name="40% - Accent5 8 2 3" xfId="12607" xr:uid="{B024AF0E-AF12-41AF-A966-9F1FB73ED006}"/>
    <cellStyle name="40% - Accent5 8 3" xfId="6238" xr:uid="{00000000-0005-0000-0000-0000DD060000}"/>
    <cellStyle name="40% - Accent5 8 3 2" xfId="14680" xr:uid="{1E2CF68F-E47B-43B3-AFC0-B58E385DF91E}"/>
    <cellStyle name="40% - Accent5 8 4" xfId="10462" xr:uid="{2E5A1BBA-9D53-4426-B477-AC7D98753944}"/>
    <cellStyle name="40% - Accent5 9" xfId="2344" xr:uid="{00000000-0005-0000-0000-0000DE060000}"/>
    <cellStyle name="40% - Accent5 9 2" xfId="6651" xr:uid="{00000000-0005-0000-0000-0000DF060000}"/>
    <cellStyle name="40% - Accent5 9 2 2" xfId="15093" xr:uid="{825FFB32-4396-424F-A745-2765176C2643}"/>
    <cellStyle name="40% - Accent5 9 3" xfId="10875" xr:uid="{0522151A-94B1-46D2-9AD5-0A96E579E1EF}"/>
    <cellStyle name="40% - Accent6" xfId="89" builtinId="51" customBuiltin="1"/>
    <cellStyle name="40% - Accent6 10" xfId="4593" xr:uid="{00000000-0005-0000-0000-0000E1060000}"/>
    <cellStyle name="40% - Accent6 10 2" xfId="13035" xr:uid="{51C0762F-1615-4093-9DED-53011F837BDB}"/>
    <cellStyle name="40% - Accent6 11" xfId="8817" xr:uid="{9DCC16C5-BBD7-4921-833B-8499B55C0048}"/>
    <cellStyle name="40% - Accent6 2" xfId="90" xr:uid="{00000000-0005-0000-0000-0000E2060000}"/>
    <cellStyle name="40% - Accent6 2 10" xfId="8818" xr:uid="{3CEBF107-C8FD-4A3B-917D-9222F54FD2B4}"/>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4518261C-63C5-4D53-AF34-1EF879521A8B}"/>
    <cellStyle name="40% - Accent6 2 2 2 2 2 3" xfId="11379" xr:uid="{B5EF1530-7C0F-433E-B307-2AE32F488DF4}"/>
    <cellStyle name="40% - Accent6 2 2 2 2 3" xfId="5010" xr:uid="{00000000-0005-0000-0000-0000E8060000}"/>
    <cellStyle name="40% - Accent6 2 2 2 2 3 2" xfId="13452" xr:uid="{95C932BD-9310-48BA-BBD8-5B6131BFF3AA}"/>
    <cellStyle name="40% - Accent6 2 2 2 2 4" xfId="9234" xr:uid="{37CEACDA-B131-493D-BD03-F6289082348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F312A170-CDBD-42AF-ACA0-61CE1B56BF9E}"/>
    <cellStyle name="40% - Accent6 2 2 2 3 2 3" xfId="11792" xr:uid="{338CA108-2DC3-4331-B83C-B4D460C7E3E1}"/>
    <cellStyle name="40% - Accent6 2 2 2 3 3" xfId="5423" xr:uid="{00000000-0005-0000-0000-0000EC060000}"/>
    <cellStyle name="40% - Accent6 2 2 2 3 3 2" xfId="13865" xr:uid="{C5DD9596-19D1-4A38-9D3B-FC83785BE003}"/>
    <cellStyle name="40% - Accent6 2 2 2 3 4" xfId="9647" xr:uid="{A94275A1-5E73-4792-83A2-E13591FE004A}"/>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8916CC1C-DFAB-4F0A-BB26-124C9CE88B08}"/>
    <cellStyle name="40% - Accent6 2 2 2 4 2 3" xfId="12205" xr:uid="{3172F2E0-FE7A-4A90-92B2-DF0765290A47}"/>
    <cellStyle name="40% - Accent6 2 2 2 4 3" xfId="5836" xr:uid="{00000000-0005-0000-0000-0000F0060000}"/>
    <cellStyle name="40% - Accent6 2 2 2 4 3 2" xfId="14278" xr:uid="{21E88455-11AE-4BF8-9211-6441328C52A4}"/>
    <cellStyle name="40% - Accent6 2 2 2 4 4" xfId="10060" xr:uid="{547106B1-4645-45F8-AE82-7A50B87708CC}"/>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5092A5FB-8AF9-481C-ADE9-534F0CA190DA}"/>
    <cellStyle name="40% - Accent6 2 2 2 5 2 3" xfId="12618" xr:uid="{A0A446E7-9BA5-4690-85F8-72ACE24B88A5}"/>
    <cellStyle name="40% - Accent6 2 2 2 5 3" xfId="6249" xr:uid="{00000000-0005-0000-0000-0000F4060000}"/>
    <cellStyle name="40% - Accent6 2 2 2 5 3 2" xfId="14691" xr:uid="{EBF02A1A-7FEC-41C6-94FD-9CCBD87B6E6B}"/>
    <cellStyle name="40% - Accent6 2 2 2 5 4" xfId="10473" xr:uid="{1523AC01-EBFF-4E7A-9D29-74A04D23C820}"/>
    <cellStyle name="40% - Accent6 2 2 2 6" xfId="2355" xr:uid="{00000000-0005-0000-0000-0000F5060000}"/>
    <cellStyle name="40% - Accent6 2 2 2 6 2" xfId="6662" xr:uid="{00000000-0005-0000-0000-0000F6060000}"/>
    <cellStyle name="40% - Accent6 2 2 2 6 2 2" xfId="15104" xr:uid="{42AFC277-41E3-4E65-8BF9-87BABCC5B64A}"/>
    <cellStyle name="40% - Accent6 2 2 2 6 3" xfId="10886" xr:uid="{C00E9DD8-A19C-4D46-8D8F-09E072794B28}"/>
    <cellStyle name="40% - Accent6 2 2 2 7" xfId="4596" xr:uid="{00000000-0005-0000-0000-0000F7060000}"/>
    <cellStyle name="40% - Accent6 2 2 2 7 2" xfId="13038" xr:uid="{3F2C29E9-27BE-4988-8E33-6FFBA3FD7482}"/>
    <cellStyle name="40% - Accent6 2 2 2 8" xfId="8820" xr:uid="{242B6DB8-BA8E-4143-99C9-BB879F33C3EC}"/>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3132DF6D-36C0-45F2-80AC-376CD7E43B8A}"/>
    <cellStyle name="40% - Accent6 2 2 3 2 3" xfId="11378" xr:uid="{5A26B8B9-33AF-45F4-8DCE-A282DB5D8268}"/>
    <cellStyle name="40% - Accent6 2 2 3 3" xfId="5009" xr:uid="{00000000-0005-0000-0000-0000FB060000}"/>
    <cellStyle name="40% - Accent6 2 2 3 3 2" xfId="13451" xr:uid="{FA6278DE-057A-4B56-9751-FCF562167E25}"/>
    <cellStyle name="40% - Accent6 2 2 3 4" xfId="9233" xr:uid="{39512678-0E6F-4508-8BCE-FE660E939947}"/>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73C3BD5F-29FA-4E81-95FF-A47860AF9484}"/>
    <cellStyle name="40% - Accent6 2 2 4 2 3" xfId="11791" xr:uid="{0363B991-56D0-40E8-A185-F8775689903A}"/>
    <cellStyle name="40% - Accent6 2 2 4 3" xfId="5422" xr:uid="{00000000-0005-0000-0000-0000FF060000}"/>
    <cellStyle name="40% - Accent6 2 2 4 3 2" xfId="13864" xr:uid="{4AA6BE56-1C33-407E-A0E5-290E434C2F0C}"/>
    <cellStyle name="40% - Accent6 2 2 4 4" xfId="9646" xr:uid="{27D88E6B-7D88-4C52-951E-2B3B48C1FEE6}"/>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060EF2B8-1DBF-45B6-AAF7-6FE01752E688}"/>
    <cellStyle name="40% - Accent6 2 2 5 2 3" xfId="12204" xr:uid="{DF489509-38BF-4A3D-8962-D8412D8F462E}"/>
    <cellStyle name="40% - Accent6 2 2 5 3" xfId="5835" xr:uid="{00000000-0005-0000-0000-000003070000}"/>
    <cellStyle name="40% - Accent6 2 2 5 3 2" xfId="14277" xr:uid="{D0D86723-8C16-4048-94DC-B86AB8A74E40}"/>
    <cellStyle name="40% - Accent6 2 2 5 4" xfId="10059" xr:uid="{AF8CFC09-70D1-4BB3-84B9-87ECD02056C0}"/>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B96BB72C-D93E-4D85-9DD4-2E6D5A0E4F56}"/>
    <cellStyle name="40% - Accent6 2 2 6 2 3" xfId="12617" xr:uid="{D338F290-1ED0-4584-9FE7-2995CF6DF4C8}"/>
    <cellStyle name="40% - Accent6 2 2 6 3" xfId="6248" xr:uid="{00000000-0005-0000-0000-000007070000}"/>
    <cellStyle name="40% - Accent6 2 2 6 3 2" xfId="14690" xr:uid="{B570C24C-EA5E-45FB-8092-D9FD8692263E}"/>
    <cellStyle name="40% - Accent6 2 2 6 4" xfId="10472" xr:uid="{589FACB9-190B-41E0-B317-8C4F33CDDB8C}"/>
    <cellStyle name="40% - Accent6 2 2 7" xfId="2354" xr:uid="{00000000-0005-0000-0000-000008070000}"/>
    <cellStyle name="40% - Accent6 2 2 7 2" xfId="6661" xr:uid="{00000000-0005-0000-0000-000009070000}"/>
    <cellStyle name="40% - Accent6 2 2 7 2 2" xfId="15103" xr:uid="{E52D3A29-7876-45FA-B324-F2B8ED784147}"/>
    <cellStyle name="40% - Accent6 2 2 7 3" xfId="10885" xr:uid="{16286BB5-A1A7-4613-AE7B-6B4675A171B1}"/>
    <cellStyle name="40% - Accent6 2 2 8" xfId="4595" xr:uid="{00000000-0005-0000-0000-00000A070000}"/>
    <cellStyle name="40% - Accent6 2 2 8 2" xfId="13037" xr:uid="{CCD2AA3D-8B75-4EF1-AAF6-8E9A6C333EEF}"/>
    <cellStyle name="40% - Accent6 2 2 9" xfId="8819" xr:uid="{6D5EA53E-3FD4-4AA4-A8F5-227E3F3596AB}"/>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41BFA725-71C1-49DD-A1A5-BA07B5C8A656}"/>
    <cellStyle name="40% - Accent6 2 3 2 2 3" xfId="11380" xr:uid="{365A8FBD-9AB6-43CC-A3E8-006DDF3D3B51}"/>
    <cellStyle name="40% - Accent6 2 3 2 3" xfId="5011" xr:uid="{00000000-0005-0000-0000-00000F070000}"/>
    <cellStyle name="40% - Accent6 2 3 2 3 2" xfId="13453" xr:uid="{14EE8E24-F4ED-4BC8-9703-D7E9B50565F4}"/>
    <cellStyle name="40% - Accent6 2 3 2 4" xfId="9235" xr:uid="{A0925FF5-108B-4451-A776-169336EBF19D}"/>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1377B6AC-1566-43B7-8E22-0C4452DC57EB}"/>
    <cellStyle name="40% - Accent6 2 3 3 2 3" xfId="11793" xr:uid="{89481523-5AA2-4FA5-AFC1-BF720E3E5861}"/>
    <cellStyle name="40% - Accent6 2 3 3 3" xfId="5424" xr:uid="{00000000-0005-0000-0000-000013070000}"/>
    <cellStyle name="40% - Accent6 2 3 3 3 2" xfId="13866" xr:uid="{55A8AE73-CF06-4D63-998B-7529436764D4}"/>
    <cellStyle name="40% - Accent6 2 3 3 4" xfId="9648" xr:uid="{38C7B338-038D-4DE2-AA56-7CA544CA37F1}"/>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7B002B51-CCD7-437C-9653-C26B52EB0C52}"/>
    <cellStyle name="40% - Accent6 2 3 4 2 3" xfId="12206" xr:uid="{9731E1E4-1FBB-4B07-B993-F400FEB00311}"/>
    <cellStyle name="40% - Accent6 2 3 4 3" xfId="5837" xr:uid="{00000000-0005-0000-0000-000017070000}"/>
    <cellStyle name="40% - Accent6 2 3 4 3 2" xfId="14279" xr:uid="{AC669638-C463-4CDC-9747-08AFEF88959A}"/>
    <cellStyle name="40% - Accent6 2 3 4 4" xfId="10061" xr:uid="{6CDC7899-6990-4036-98A8-9C6A09C7804F}"/>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ED3CE2F2-630C-4268-B6D7-BA17BAA8B789}"/>
    <cellStyle name="40% - Accent6 2 3 5 2 3" xfId="12619" xr:uid="{C9B7C9EC-E8EE-46DF-8228-721FD5D65BF9}"/>
    <cellStyle name="40% - Accent6 2 3 5 3" xfId="6250" xr:uid="{00000000-0005-0000-0000-00001B070000}"/>
    <cellStyle name="40% - Accent6 2 3 5 3 2" xfId="14692" xr:uid="{F98772FA-EB2D-430A-AE1B-61D3F589479C}"/>
    <cellStyle name="40% - Accent6 2 3 5 4" xfId="10474" xr:uid="{10B9EBE7-AC31-40E7-BE7E-AAE00C1BC4C2}"/>
    <cellStyle name="40% - Accent6 2 3 6" xfId="2356" xr:uid="{00000000-0005-0000-0000-00001C070000}"/>
    <cellStyle name="40% - Accent6 2 3 6 2" xfId="6663" xr:uid="{00000000-0005-0000-0000-00001D070000}"/>
    <cellStyle name="40% - Accent6 2 3 6 2 2" xfId="15105" xr:uid="{B3915E3A-B6B0-4CE6-84E1-FA9B1911D11C}"/>
    <cellStyle name="40% - Accent6 2 3 6 3" xfId="10887" xr:uid="{1D5D2757-3395-429B-AE3B-8FF53F6C2E66}"/>
    <cellStyle name="40% - Accent6 2 3 7" xfId="4597" xr:uid="{00000000-0005-0000-0000-00001E070000}"/>
    <cellStyle name="40% - Accent6 2 3 7 2" xfId="13039" xr:uid="{6B180BC7-8365-4B96-8448-C12C4DA4BF7A}"/>
    <cellStyle name="40% - Accent6 2 3 8" xfId="8821" xr:uid="{893A4D7F-0C06-45BA-AF4A-677D80686717}"/>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298589D8-48EA-4DE4-9924-9B1BCF4D310B}"/>
    <cellStyle name="40% - Accent6 2 4 2 3" xfId="11377" xr:uid="{1B74E453-A1B9-43CD-863A-B3791FA80775}"/>
    <cellStyle name="40% - Accent6 2 4 3" xfId="5008" xr:uid="{00000000-0005-0000-0000-000022070000}"/>
    <cellStyle name="40% - Accent6 2 4 3 2" xfId="13450" xr:uid="{1E34B05F-206F-4F95-B8D3-0DC7588CFEEA}"/>
    <cellStyle name="40% - Accent6 2 4 4" xfId="9232" xr:uid="{8CDC59E6-C1B5-4A18-9524-29D005C3FD50}"/>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4B320568-A1AB-471D-AE17-F5365F496CD5}"/>
    <cellStyle name="40% - Accent6 2 5 2 3" xfId="11790" xr:uid="{4DE78800-D908-4046-9708-90B2A5D015A7}"/>
    <cellStyle name="40% - Accent6 2 5 3" xfId="5421" xr:uid="{00000000-0005-0000-0000-000026070000}"/>
    <cellStyle name="40% - Accent6 2 5 3 2" xfId="13863" xr:uid="{F3BBFCAF-D177-40DD-BB2F-4641DEEEFBF9}"/>
    <cellStyle name="40% - Accent6 2 5 4" xfId="9645" xr:uid="{EC5A99BB-4920-4C31-8742-CDDBC5BFA518}"/>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8A76AE75-6974-4C0B-9C2E-9961EAB0B414}"/>
    <cellStyle name="40% - Accent6 2 6 2 3" xfId="12203" xr:uid="{05E374CC-FA2C-43E2-9ECF-EFA8243A3136}"/>
    <cellStyle name="40% - Accent6 2 6 3" xfId="5834" xr:uid="{00000000-0005-0000-0000-00002A070000}"/>
    <cellStyle name="40% - Accent6 2 6 3 2" xfId="14276" xr:uid="{8AEE4683-3B5E-4986-8C32-1AB856988C89}"/>
    <cellStyle name="40% - Accent6 2 6 4" xfId="10058" xr:uid="{FAFD1DF8-5D62-4ED4-AA54-61F1879A849B}"/>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F22CBB7C-4E2B-41B7-8B8F-53A66CA9B5B9}"/>
    <cellStyle name="40% - Accent6 2 7 2 3" xfId="12616" xr:uid="{F8ECAD37-9C04-4E34-8A3F-134F12C5BFD1}"/>
    <cellStyle name="40% - Accent6 2 7 3" xfId="6247" xr:uid="{00000000-0005-0000-0000-00002E070000}"/>
    <cellStyle name="40% - Accent6 2 7 3 2" xfId="14689" xr:uid="{54A8EE73-13BC-4897-A079-294C7182C297}"/>
    <cellStyle name="40% - Accent6 2 7 4" xfId="10471" xr:uid="{0E77C913-E647-49FE-906C-48F1B20C705C}"/>
    <cellStyle name="40% - Accent6 2 8" xfId="2353" xr:uid="{00000000-0005-0000-0000-00002F070000}"/>
    <cellStyle name="40% - Accent6 2 8 2" xfId="6660" xr:uid="{00000000-0005-0000-0000-000030070000}"/>
    <cellStyle name="40% - Accent6 2 8 2 2" xfId="15102" xr:uid="{E9751AFE-78A2-4F46-94CB-4A5C33648D04}"/>
    <cellStyle name="40% - Accent6 2 8 3" xfId="10884" xr:uid="{758DFB61-2318-4CBD-B022-1A679E5E8116}"/>
    <cellStyle name="40% - Accent6 2 9" xfId="4594" xr:uid="{00000000-0005-0000-0000-000031070000}"/>
    <cellStyle name="40% - Accent6 2 9 2" xfId="13036" xr:uid="{8D053E12-5135-4D9D-9336-82151E2ACAE9}"/>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6D1D28D4-CC6F-48B7-A223-EDC398B1E758}"/>
    <cellStyle name="40% - Accent6 3 2 2 2 3" xfId="11382" xr:uid="{E1BAC995-621F-4133-AE16-A98B11E759C0}"/>
    <cellStyle name="40% - Accent6 3 2 2 3" xfId="5013" xr:uid="{00000000-0005-0000-0000-000037070000}"/>
    <cellStyle name="40% - Accent6 3 2 2 3 2" xfId="13455" xr:uid="{6D3A3F58-E6E9-4BCB-8C8C-8CAC3C0B4A67}"/>
    <cellStyle name="40% - Accent6 3 2 2 4" xfId="9237" xr:uid="{9E034570-FD89-4221-B9D1-F9DCD66E7E21}"/>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D7A584D5-16D4-4D09-8C3F-C6D9189FB688}"/>
    <cellStyle name="40% - Accent6 3 2 3 2 3" xfId="11795" xr:uid="{A1E9361C-45AC-4D15-A802-5E0B0F127C4A}"/>
    <cellStyle name="40% - Accent6 3 2 3 3" xfId="5426" xr:uid="{00000000-0005-0000-0000-00003B070000}"/>
    <cellStyle name="40% - Accent6 3 2 3 3 2" xfId="13868" xr:uid="{67F655E7-1AB6-4811-A7B7-4AE74E6B6DE5}"/>
    <cellStyle name="40% - Accent6 3 2 3 4" xfId="9650" xr:uid="{630770CC-BABA-47DD-80B2-E2C4000629A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15FB3BE9-0CC1-4B9A-A535-F28656D35142}"/>
    <cellStyle name="40% - Accent6 3 2 4 2 3" xfId="12208" xr:uid="{0B841F47-F8D4-4E8D-AF4A-F092BE9CFA8C}"/>
    <cellStyle name="40% - Accent6 3 2 4 3" xfId="5839" xr:uid="{00000000-0005-0000-0000-00003F070000}"/>
    <cellStyle name="40% - Accent6 3 2 4 3 2" xfId="14281" xr:uid="{9496E502-76DF-4D9E-A650-04E87415873C}"/>
    <cellStyle name="40% - Accent6 3 2 4 4" xfId="10063" xr:uid="{CE9F8D38-D636-495F-9D70-A86EE595888A}"/>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47E90A71-1F1F-4B3A-BB2D-BC7CFF505BF6}"/>
    <cellStyle name="40% - Accent6 3 2 5 2 3" xfId="12621" xr:uid="{2BCA7B00-5BFB-40E9-A5F0-A26BE42DBCCC}"/>
    <cellStyle name="40% - Accent6 3 2 5 3" xfId="6252" xr:uid="{00000000-0005-0000-0000-000043070000}"/>
    <cellStyle name="40% - Accent6 3 2 5 3 2" xfId="14694" xr:uid="{C20C769A-F07A-450F-93A6-9E7EF76F72E7}"/>
    <cellStyle name="40% - Accent6 3 2 5 4" xfId="10476" xr:uid="{539A85DF-0758-4AAE-AEDC-A49898BB0B22}"/>
    <cellStyle name="40% - Accent6 3 2 6" xfId="2358" xr:uid="{00000000-0005-0000-0000-000044070000}"/>
    <cellStyle name="40% - Accent6 3 2 6 2" xfId="6665" xr:uid="{00000000-0005-0000-0000-000045070000}"/>
    <cellStyle name="40% - Accent6 3 2 6 2 2" xfId="15107" xr:uid="{127071D6-395E-47AE-8D67-B0E50A358B19}"/>
    <cellStyle name="40% - Accent6 3 2 6 3" xfId="10889" xr:uid="{D0483151-74D1-448B-BA9B-0BCC3306F8DF}"/>
    <cellStyle name="40% - Accent6 3 2 7" xfId="4599" xr:uid="{00000000-0005-0000-0000-000046070000}"/>
    <cellStyle name="40% - Accent6 3 2 7 2" xfId="13041" xr:uid="{1218E258-2CEA-4A5D-8BE3-12E89A2D804F}"/>
    <cellStyle name="40% - Accent6 3 2 8" xfId="8823" xr:uid="{5E502D76-7FA4-4740-800E-7E07DBA57D1E}"/>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2839C659-D8ED-404F-BF87-CA9350CB7F3A}"/>
    <cellStyle name="40% - Accent6 3 3 2 3" xfId="11381" xr:uid="{4145AB63-2909-40DC-B10B-F1D88942B7E8}"/>
    <cellStyle name="40% - Accent6 3 3 3" xfId="5012" xr:uid="{00000000-0005-0000-0000-00004A070000}"/>
    <cellStyle name="40% - Accent6 3 3 3 2" xfId="13454" xr:uid="{85F24029-E017-41CA-B5CA-286AA41BCEC4}"/>
    <cellStyle name="40% - Accent6 3 3 4" xfId="9236" xr:uid="{807BD9E9-785D-4D55-9592-2F47804AF8A2}"/>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3E684D03-AE04-4420-8076-7F639D331329}"/>
    <cellStyle name="40% - Accent6 3 4 2 3" xfId="11794" xr:uid="{63EFAA17-35CA-4B57-A058-133215157E2A}"/>
    <cellStyle name="40% - Accent6 3 4 3" xfId="5425" xr:uid="{00000000-0005-0000-0000-00004E070000}"/>
    <cellStyle name="40% - Accent6 3 4 3 2" xfId="13867" xr:uid="{69ADFB1A-DC05-4B6D-838C-9D4A3704D2CD}"/>
    <cellStyle name="40% - Accent6 3 4 4" xfId="9649" xr:uid="{5EFEAC35-1469-4786-A4FD-2D8ED4FAA560}"/>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EA5FF87C-9FC4-4418-81C0-995C529F436F}"/>
    <cellStyle name="40% - Accent6 3 5 2 3" xfId="12207" xr:uid="{93B13148-5080-4F5D-9790-B7F31E09DCF1}"/>
    <cellStyle name="40% - Accent6 3 5 3" xfId="5838" xr:uid="{00000000-0005-0000-0000-000052070000}"/>
    <cellStyle name="40% - Accent6 3 5 3 2" xfId="14280" xr:uid="{6E1B1E69-EDE3-40BF-A922-654F1A9B0A70}"/>
    <cellStyle name="40% - Accent6 3 5 4" xfId="10062" xr:uid="{D74FB962-47CE-4A0C-BB12-184D9A4A2E7D}"/>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B684946B-1840-4117-B296-CECEB21B1F2A}"/>
    <cellStyle name="40% - Accent6 3 6 2 3" xfId="12620" xr:uid="{B066D569-02B7-483E-986F-F73A339A33E7}"/>
    <cellStyle name="40% - Accent6 3 6 3" xfId="6251" xr:uid="{00000000-0005-0000-0000-000056070000}"/>
    <cellStyle name="40% - Accent6 3 6 3 2" xfId="14693" xr:uid="{565D23EA-2601-43E7-A287-7E06747BC803}"/>
    <cellStyle name="40% - Accent6 3 6 4" xfId="10475" xr:uid="{D99FED8A-9D34-4A9D-9112-474233FF621E}"/>
    <cellStyle name="40% - Accent6 3 7" xfId="2357" xr:uid="{00000000-0005-0000-0000-000057070000}"/>
    <cellStyle name="40% - Accent6 3 7 2" xfId="6664" xr:uid="{00000000-0005-0000-0000-000058070000}"/>
    <cellStyle name="40% - Accent6 3 7 2 2" xfId="15106" xr:uid="{54DC0F29-A97A-484D-A7D9-E4A368440B78}"/>
    <cellStyle name="40% - Accent6 3 7 3" xfId="10888" xr:uid="{F16022E1-9DDE-41D0-B9AA-DC08DDEECEBA}"/>
    <cellStyle name="40% - Accent6 3 8" xfId="4598" xr:uid="{00000000-0005-0000-0000-000059070000}"/>
    <cellStyle name="40% - Accent6 3 8 2" xfId="13040" xr:uid="{4EC17213-C508-4923-B178-68D28EC09807}"/>
    <cellStyle name="40% - Accent6 3 9" xfId="8822" xr:uid="{03ADB061-98D9-4A0B-952E-E814B083F72F}"/>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91320CA8-766A-4DA9-8A44-EB9AC871FF8F}"/>
    <cellStyle name="40% - Accent6 4 2 2 3" xfId="11383" xr:uid="{50BA2AAA-80B1-4ECE-9D99-865A1747B6FE}"/>
    <cellStyle name="40% - Accent6 4 2 3" xfId="5014" xr:uid="{00000000-0005-0000-0000-00005E070000}"/>
    <cellStyle name="40% - Accent6 4 2 3 2" xfId="13456" xr:uid="{5CB179C5-5A71-4379-B4D1-A6FA37356B97}"/>
    <cellStyle name="40% - Accent6 4 2 4" xfId="9238" xr:uid="{2FB4144C-9752-479C-AD91-997ED88F9F48}"/>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48B022F7-95CD-4CCB-BEE2-DA0D9E26DC56}"/>
    <cellStyle name="40% - Accent6 4 3 2 3" xfId="11796" xr:uid="{5EC4BA60-15C2-471C-A0C9-6E5F87EC12AA}"/>
    <cellStyle name="40% - Accent6 4 3 3" xfId="5427" xr:uid="{00000000-0005-0000-0000-000062070000}"/>
    <cellStyle name="40% - Accent6 4 3 3 2" xfId="13869" xr:uid="{4B5B7D8A-F458-4BDC-BE49-F16C65F22AC7}"/>
    <cellStyle name="40% - Accent6 4 3 4" xfId="9651" xr:uid="{58D83212-2469-4E80-8BF9-CFD4B8A0C718}"/>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6333FF82-006E-452B-8D43-961264CD69D5}"/>
    <cellStyle name="40% - Accent6 4 4 2 3" xfId="12209" xr:uid="{B8D14550-E252-4716-8D7A-0DF4E61869D6}"/>
    <cellStyle name="40% - Accent6 4 4 3" xfId="5840" xr:uid="{00000000-0005-0000-0000-000066070000}"/>
    <cellStyle name="40% - Accent6 4 4 3 2" xfId="14282" xr:uid="{EF19E034-1529-4795-9D90-C72D41D1BD82}"/>
    <cellStyle name="40% - Accent6 4 4 4" xfId="10064" xr:uid="{C04AD998-E3D2-4BFA-AD6F-2F1F72E1D3C1}"/>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60CC2A6C-952D-4284-9616-FE02191D7EB5}"/>
    <cellStyle name="40% - Accent6 4 5 2 3" xfId="12622" xr:uid="{7A670EE3-762D-4FB9-A15A-D4719A192BE4}"/>
    <cellStyle name="40% - Accent6 4 5 3" xfId="6253" xr:uid="{00000000-0005-0000-0000-00006A070000}"/>
    <cellStyle name="40% - Accent6 4 5 3 2" xfId="14695" xr:uid="{567A2E9A-3126-424C-8D76-DBC5F52E5DBC}"/>
    <cellStyle name="40% - Accent6 4 5 4" xfId="10477" xr:uid="{79E220C0-4F0A-49A3-859C-D85516A35B85}"/>
    <cellStyle name="40% - Accent6 4 6" xfId="2359" xr:uid="{00000000-0005-0000-0000-00006B070000}"/>
    <cellStyle name="40% - Accent6 4 6 2" xfId="6666" xr:uid="{00000000-0005-0000-0000-00006C070000}"/>
    <cellStyle name="40% - Accent6 4 6 2 2" xfId="15108" xr:uid="{D57C8396-986A-476C-BDF7-732E0F440BEF}"/>
    <cellStyle name="40% - Accent6 4 6 3" xfId="10890" xr:uid="{AFE438E7-DF69-4289-A588-558610F98B7C}"/>
    <cellStyle name="40% - Accent6 4 7" xfId="4600" xr:uid="{00000000-0005-0000-0000-00006D070000}"/>
    <cellStyle name="40% - Accent6 4 7 2" xfId="13042" xr:uid="{B27FAE3F-AFC7-442A-9930-95DC54BAFBF0}"/>
    <cellStyle name="40% - Accent6 4 8" xfId="8824" xr:uid="{0F9633F7-D009-43C7-B9FA-CA9A8C95BDAB}"/>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E42547B6-8967-4BC8-9297-EF4970651B17}"/>
    <cellStyle name="40% - Accent6 5 2 3" xfId="11376" xr:uid="{EF20BA9D-0A34-43EB-9361-1C7EE3B9BB9C}"/>
    <cellStyle name="40% - Accent6 5 3" xfId="5007" xr:uid="{00000000-0005-0000-0000-000071070000}"/>
    <cellStyle name="40% - Accent6 5 3 2" xfId="13449" xr:uid="{7A034776-31A4-4A93-A630-A82236556503}"/>
    <cellStyle name="40% - Accent6 5 4" xfId="9231" xr:uid="{D29CBC01-35AE-40E2-A1B7-B11FC91AC0B1}"/>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504AF48E-D09F-47C1-B684-4A98537B5B3E}"/>
    <cellStyle name="40% - Accent6 6 2 3" xfId="11789" xr:uid="{5FABE0B9-BE9A-4BF4-BB18-CCF6E3E46C19}"/>
    <cellStyle name="40% - Accent6 6 3" xfId="5420" xr:uid="{00000000-0005-0000-0000-000075070000}"/>
    <cellStyle name="40% - Accent6 6 3 2" xfId="13862" xr:uid="{B8CD8E52-5D6F-41A6-8853-39B69DC14F00}"/>
    <cellStyle name="40% - Accent6 6 4" xfId="9644" xr:uid="{2ACC0183-30FB-4D1F-A0E6-CBB2AA90953B}"/>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F89E8434-5CC0-45DA-85B6-C63F4159939B}"/>
    <cellStyle name="40% - Accent6 7 2 3" xfId="12202" xr:uid="{AA9057E0-3F3E-4AF3-AF4D-A9DC3C859F28}"/>
    <cellStyle name="40% - Accent6 7 3" xfId="5833" xr:uid="{00000000-0005-0000-0000-000079070000}"/>
    <cellStyle name="40% - Accent6 7 3 2" xfId="14275" xr:uid="{80E4E0EA-5774-44FC-A4CA-A43BF1B39D00}"/>
    <cellStyle name="40% - Accent6 7 4" xfId="10057" xr:uid="{06FCF995-AF7F-4D0A-B457-B2EBD582EE57}"/>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E44A34CE-CBEB-47CE-BCD9-451379A2628C}"/>
    <cellStyle name="40% - Accent6 8 2 3" xfId="12615" xr:uid="{03ADF709-F20F-4589-8E65-7AA6AACAD270}"/>
    <cellStyle name="40% - Accent6 8 3" xfId="6246" xr:uid="{00000000-0005-0000-0000-00007D070000}"/>
    <cellStyle name="40% - Accent6 8 3 2" xfId="14688" xr:uid="{C70BBB42-0E49-49A7-93A2-92721413991B}"/>
    <cellStyle name="40% - Accent6 8 4" xfId="10470" xr:uid="{203F3D90-9F50-41FE-AD76-9F25F6886261}"/>
    <cellStyle name="40% - Accent6 9" xfId="2352" xr:uid="{00000000-0005-0000-0000-00007E070000}"/>
    <cellStyle name="40% - Accent6 9 2" xfId="6659" xr:uid="{00000000-0005-0000-0000-00007F070000}"/>
    <cellStyle name="40% - Accent6 9 2 2" xfId="15101" xr:uid="{32C5F171-2B87-49B1-A106-E07249E78A5C}"/>
    <cellStyle name="40% - Accent6 9 3" xfId="10883" xr:uid="{59DE6087-32C9-4B52-A5EE-AB9AA54AD104}"/>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B40F3E1B-1C98-4A4E-A607-F074169793A8}"/>
    <cellStyle name="Comma 4 2 2 2 10 3" xfId="11208" xr:uid="{C3426E25-4E05-4FF9-9F79-1661D5530838}"/>
    <cellStyle name="Comma 4 2 2 2 11" xfId="4601" xr:uid="{00000000-0005-0000-0000-0000A3070000}"/>
    <cellStyle name="Comma 4 2 2 2 11 2" xfId="13043" xr:uid="{9FA9A076-36D2-4DD3-855F-A09A944D22C1}"/>
    <cellStyle name="Comma 4 2 2 2 12" xfId="8825" xr:uid="{9EE55ACB-D516-46F5-A8A1-CDD6646762D0}"/>
    <cellStyle name="Comma 4 2 2 2 2" xfId="129" xr:uid="{00000000-0005-0000-0000-0000A4070000}"/>
    <cellStyle name="Comma 4 2 2 2 2 10" xfId="4602" xr:uid="{00000000-0005-0000-0000-0000A5070000}"/>
    <cellStyle name="Comma 4 2 2 2 2 10 2" xfId="13044" xr:uid="{A706EE78-0FD7-40B2-88B7-65F828D1234B}"/>
    <cellStyle name="Comma 4 2 2 2 2 11" xfId="8826" xr:uid="{7BCBEF64-9104-4FFE-9568-411C91A6E3DF}"/>
    <cellStyle name="Comma 4 2 2 2 2 2" xfId="130" xr:uid="{00000000-0005-0000-0000-0000A6070000}"/>
    <cellStyle name="Comma 4 2 2 2 2 2 10" xfId="8827" xr:uid="{B956D7F8-0C2F-4144-BADE-DC48A24EE8EA}"/>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C70F1E7F-25C2-4B2A-B196-FFFFCE026223}"/>
    <cellStyle name="Comma 4 2 2 2 2 2 2 2 3" xfId="11386" xr:uid="{48FB049B-CB23-4DF8-9242-C61A37719F08}"/>
    <cellStyle name="Comma 4 2 2 2 2 2 2 3" xfId="5017" xr:uid="{00000000-0005-0000-0000-0000AA070000}"/>
    <cellStyle name="Comma 4 2 2 2 2 2 2 3 2" xfId="13459" xr:uid="{652D7E67-2BCE-448B-8FF7-FC30F9923ED6}"/>
    <cellStyle name="Comma 4 2 2 2 2 2 2 4" xfId="9241" xr:uid="{021F8562-6AC6-4C6B-B31D-09CA5F006C21}"/>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D43B2DBE-25E6-4213-BEE7-3005DBCD49F3}"/>
    <cellStyle name="Comma 4 2 2 2 2 2 3 2 3" xfId="11799" xr:uid="{6D779B86-FA20-4552-8F59-7FD993D4FA86}"/>
    <cellStyle name="Comma 4 2 2 2 2 2 3 3" xfId="5430" xr:uid="{00000000-0005-0000-0000-0000AE070000}"/>
    <cellStyle name="Comma 4 2 2 2 2 2 3 3 2" xfId="13872" xr:uid="{EBC03779-82F2-4456-B17C-1C282993970E}"/>
    <cellStyle name="Comma 4 2 2 2 2 2 3 4" xfId="9654" xr:uid="{AC4B36EC-7EEA-4632-AC43-64B6E976430A}"/>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CE9A5A7B-85C2-4F0C-B67D-009B3E3749D6}"/>
    <cellStyle name="Comma 4 2 2 2 2 2 4 2 3" xfId="12212" xr:uid="{1B935780-56CA-4C5C-8FEF-21AB4242641F}"/>
    <cellStyle name="Comma 4 2 2 2 2 2 4 3" xfId="5843" xr:uid="{00000000-0005-0000-0000-0000B2070000}"/>
    <cellStyle name="Comma 4 2 2 2 2 2 4 3 2" xfId="14285" xr:uid="{EDAA3415-2B58-41E3-9882-DCFA913E9329}"/>
    <cellStyle name="Comma 4 2 2 2 2 2 4 4" xfId="10067" xr:uid="{F56F0DDD-3546-44C1-A702-76727D50E419}"/>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880985A0-57B1-461C-A39C-A859DB753CF2}"/>
    <cellStyle name="Comma 4 2 2 2 2 2 5 2 3" xfId="12625" xr:uid="{94941210-D54D-49B2-82E8-8D0A70FE5C85}"/>
    <cellStyle name="Comma 4 2 2 2 2 2 5 3" xfId="6256" xr:uid="{00000000-0005-0000-0000-0000B6070000}"/>
    <cellStyle name="Comma 4 2 2 2 2 2 5 3 2" xfId="14698" xr:uid="{279FF738-B324-4DD1-906F-A740FBFFB286}"/>
    <cellStyle name="Comma 4 2 2 2 2 2 5 4" xfId="10480" xr:uid="{DA7973FF-7D4A-4649-978F-744A20935198}"/>
    <cellStyle name="Comma 4 2 2 2 2 2 6" xfId="2384" xr:uid="{00000000-0005-0000-0000-0000B7070000}"/>
    <cellStyle name="Comma 4 2 2 2 2 2 6 2" xfId="6669" xr:uid="{00000000-0005-0000-0000-0000B8070000}"/>
    <cellStyle name="Comma 4 2 2 2 2 2 6 2 2" xfId="15111" xr:uid="{5FED16E8-0D0B-4166-A847-A39F734ACAC5}"/>
    <cellStyle name="Comma 4 2 2 2 2 2 6 3" xfId="10893" xr:uid="{B2ECCEAF-5B0C-4E52-A88C-F323D59E72FC}"/>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9CF028D8-75CD-4134-9FAC-DC5EE0E1BBFE}"/>
    <cellStyle name="Comma 4 2 2 2 2 2 8 3" xfId="11210" xr:uid="{5DB502CA-3996-4533-91A8-01E6F762C14B}"/>
    <cellStyle name="Comma 4 2 2 2 2 2 9" xfId="4603" xr:uid="{00000000-0005-0000-0000-0000BC070000}"/>
    <cellStyle name="Comma 4 2 2 2 2 2 9 2" xfId="13045" xr:uid="{0AC10FB6-CDFD-445B-83E3-603E64E36B3C}"/>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9B79080F-005B-483A-8A28-86673F4E58F6}"/>
    <cellStyle name="Comma 4 2 2 2 2 3 2 3" xfId="11385" xr:uid="{8A7146B0-1C21-46EB-AE7A-9572F9E1BF7E}"/>
    <cellStyle name="Comma 4 2 2 2 2 3 3" xfId="5016" xr:uid="{00000000-0005-0000-0000-0000C0070000}"/>
    <cellStyle name="Comma 4 2 2 2 2 3 3 2" xfId="13458" xr:uid="{8C03006A-A182-4742-B0C4-C0084B840391}"/>
    <cellStyle name="Comma 4 2 2 2 2 3 4" xfId="9240" xr:uid="{885C447D-1CD4-410D-A250-36A62F192954}"/>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802E7066-D860-418C-BAE7-992CF0BE3AED}"/>
    <cellStyle name="Comma 4 2 2 2 2 4 2 3" xfId="11798" xr:uid="{512B7588-04A4-4D7B-8AE4-627FC940752E}"/>
    <cellStyle name="Comma 4 2 2 2 2 4 3" xfId="5429" xr:uid="{00000000-0005-0000-0000-0000C4070000}"/>
    <cellStyle name="Comma 4 2 2 2 2 4 3 2" xfId="13871" xr:uid="{531FF058-A418-4938-AC24-4F1810F375F3}"/>
    <cellStyle name="Comma 4 2 2 2 2 4 4" xfId="9653" xr:uid="{412A72FD-5DCF-4EAA-A14A-3D8337DF1A98}"/>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4E8DE380-3BD4-4620-932D-1570F3988984}"/>
    <cellStyle name="Comma 4 2 2 2 2 5 2 3" xfId="12211" xr:uid="{BD0E8410-5DF6-42B3-BFC5-8DE1B9788F68}"/>
    <cellStyle name="Comma 4 2 2 2 2 5 3" xfId="5842" xr:uid="{00000000-0005-0000-0000-0000C8070000}"/>
    <cellStyle name="Comma 4 2 2 2 2 5 3 2" xfId="14284" xr:uid="{C5D24BF2-0277-4DB4-B666-DA8549905EFC}"/>
    <cellStyle name="Comma 4 2 2 2 2 5 4" xfId="10066" xr:uid="{B2915EDA-B3EA-49C8-BFB1-78DB2C935B73}"/>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5617A1AB-1F64-4F04-AC9E-897215CE14A0}"/>
    <cellStyle name="Comma 4 2 2 2 2 6 2 3" xfId="12624" xr:uid="{73F8F0EF-171D-43F2-BD76-A42D27C88B1C}"/>
    <cellStyle name="Comma 4 2 2 2 2 6 3" xfId="6255" xr:uid="{00000000-0005-0000-0000-0000CC070000}"/>
    <cellStyle name="Comma 4 2 2 2 2 6 3 2" xfId="14697" xr:uid="{C306D8D0-6860-4490-A218-AEFE3E737204}"/>
    <cellStyle name="Comma 4 2 2 2 2 6 4" xfId="10479" xr:uid="{18A4FF45-FC2A-4553-8ADF-EAB9920C8FEE}"/>
    <cellStyle name="Comma 4 2 2 2 2 7" xfId="2383" xr:uid="{00000000-0005-0000-0000-0000CD070000}"/>
    <cellStyle name="Comma 4 2 2 2 2 7 2" xfId="6668" xr:uid="{00000000-0005-0000-0000-0000CE070000}"/>
    <cellStyle name="Comma 4 2 2 2 2 7 2 2" xfId="15110" xr:uid="{15BC7471-A0D3-413E-8537-DEA5347BE0E4}"/>
    <cellStyle name="Comma 4 2 2 2 2 7 3" xfId="10892" xr:uid="{896B494A-93FE-4C32-9CE7-1E0C620A923B}"/>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62F14534-E6AC-47B9-A2BF-4BE5157B8BD3}"/>
    <cellStyle name="Comma 4 2 2 2 2 9 3" xfId="11209" xr:uid="{98C12869-4F29-4F7D-8391-EB0D11A2E3B2}"/>
    <cellStyle name="Comma 4 2 2 2 3" xfId="131" xr:uid="{00000000-0005-0000-0000-0000D2070000}"/>
    <cellStyle name="Comma 4 2 2 2 3 10" xfId="8828" xr:uid="{8AD3DD0D-73F8-41EF-A3D5-897A7F767D64}"/>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2288739E-1273-4CA4-A054-1F31A696B41A}"/>
    <cellStyle name="Comma 4 2 2 2 3 2 2 3" xfId="11387" xr:uid="{F7EB9739-BC1F-489C-A58D-2B5ABB235868}"/>
    <cellStyle name="Comma 4 2 2 2 3 2 3" xfId="5018" xr:uid="{00000000-0005-0000-0000-0000D6070000}"/>
    <cellStyle name="Comma 4 2 2 2 3 2 3 2" xfId="13460" xr:uid="{76E99B5C-DF28-489D-99B7-1EC721AC8950}"/>
    <cellStyle name="Comma 4 2 2 2 3 2 4" xfId="9242" xr:uid="{69892C87-E773-4008-80AC-229A32A36A5A}"/>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F5F5E610-36C7-481F-8D27-71C8ECAB4247}"/>
    <cellStyle name="Comma 4 2 2 2 3 3 2 3" xfId="11800" xr:uid="{A09B6B95-4F35-4A28-A068-A9F0BCA458FE}"/>
    <cellStyle name="Comma 4 2 2 2 3 3 3" xfId="5431" xr:uid="{00000000-0005-0000-0000-0000DA070000}"/>
    <cellStyle name="Comma 4 2 2 2 3 3 3 2" xfId="13873" xr:uid="{56659238-89D5-4884-A7D4-01B81F3B9598}"/>
    <cellStyle name="Comma 4 2 2 2 3 3 4" xfId="9655" xr:uid="{CA4F9D45-5FC6-4D94-BE92-863D0EEBEFF1}"/>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62BDDA68-F298-45DF-BA60-3F6D1697C48F}"/>
    <cellStyle name="Comma 4 2 2 2 3 4 2 3" xfId="12213" xr:uid="{F3CC0E64-2830-4926-AFB3-502FE11166FA}"/>
    <cellStyle name="Comma 4 2 2 2 3 4 3" xfId="5844" xr:uid="{00000000-0005-0000-0000-0000DE070000}"/>
    <cellStyle name="Comma 4 2 2 2 3 4 3 2" xfId="14286" xr:uid="{A2EEA6D2-EF97-4607-8B4C-7BE159D9F75C}"/>
    <cellStyle name="Comma 4 2 2 2 3 4 4" xfId="10068" xr:uid="{94C18CA4-427A-4652-B8C2-22E82AB3452C}"/>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88FE58BF-0764-439D-825C-DBFA4409851D}"/>
    <cellStyle name="Comma 4 2 2 2 3 5 2 3" xfId="12626" xr:uid="{3FB30E8B-D0C1-4FBB-BF41-B2041397C2CC}"/>
    <cellStyle name="Comma 4 2 2 2 3 5 3" xfId="6257" xr:uid="{00000000-0005-0000-0000-0000E2070000}"/>
    <cellStyle name="Comma 4 2 2 2 3 5 3 2" xfId="14699" xr:uid="{C95126D2-4177-4E62-A1AE-FBDDB08E0E62}"/>
    <cellStyle name="Comma 4 2 2 2 3 5 4" xfId="10481" xr:uid="{34BF79FF-E5A9-4630-9CAA-732DD9B2A3D9}"/>
    <cellStyle name="Comma 4 2 2 2 3 6" xfId="2385" xr:uid="{00000000-0005-0000-0000-0000E3070000}"/>
    <cellStyle name="Comma 4 2 2 2 3 6 2" xfId="6670" xr:uid="{00000000-0005-0000-0000-0000E4070000}"/>
    <cellStyle name="Comma 4 2 2 2 3 6 2 2" xfId="15112" xr:uid="{C20E87C1-0CB6-4763-8C30-F3C63176D678}"/>
    <cellStyle name="Comma 4 2 2 2 3 6 3" xfId="10894" xr:uid="{C1246ADF-2074-47F2-ADA4-4C591146B04B}"/>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775028AF-A42B-4C27-8F66-3EBC7FE3233C}"/>
    <cellStyle name="Comma 4 2 2 2 3 8 3" xfId="11211" xr:uid="{B607C5C9-8E2A-4542-B476-032C71E17856}"/>
    <cellStyle name="Comma 4 2 2 2 3 9" xfId="4604" xr:uid="{00000000-0005-0000-0000-0000E8070000}"/>
    <cellStyle name="Comma 4 2 2 2 3 9 2" xfId="13046" xr:uid="{4048466A-171A-4BF9-B2F8-650F80B2BFC0}"/>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284819CC-50E4-4707-8BD9-38D6058A35FD}"/>
    <cellStyle name="Comma 4 2 2 2 4 2 3" xfId="11384" xr:uid="{9C723942-1F10-4158-BCD7-EC48C374414C}"/>
    <cellStyle name="Comma 4 2 2 2 4 3" xfId="5015" xr:uid="{00000000-0005-0000-0000-0000EC070000}"/>
    <cellStyle name="Comma 4 2 2 2 4 3 2" xfId="13457" xr:uid="{D5C1A49F-D350-42D4-A379-62D2BDF9D433}"/>
    <cellStyle name="Comma 4 2 2 2 4 4" xfId="9239" xr:uid="{D8458422-43C2-4AA8-B921-4D2A37A0999B}"/>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0DA4BB5A-DA40-4A20-8B8D-9DC74E42BD4B}"/>
    <cellStyle name="Comma 4 2 2 2 5 2 3" xfId="11797" xr:uid="{90B83357-84DC-4AE7-85D5-8480E3BEFFD4}"/>
    <cellStyle name="Comma 4 2 2 2 5 3" xfId="5428" xr:uid="{00000000-0005-0000-0000-0000F0070000}"/>
    <cellStyle name="Comma 4 2 2 2 5 3 2" xfId="13870" xr:uid="{CD34F6CC-2D56-4FD1-B765-8D238196BE47}"/>
    <cellStyle name="Comma 4 2 2 2 5 4" xfId="9652" xr:uid="{E6B2EFEC-1E02-4256-964A-53B3DF499A17}"/>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C730F325-1E83-4F53-BA5D-1019F11C35ED}"/>
    <cellStyle name="Comma 4 2 2 2 6 2 3" xfId="12210" xr:uid="{6AE01930-AC19-46BD-B808-E8D900AE9DCC}"/>
    <cellStyle name="Comma 4 2 2 2 6 3" xfId="5841" xr:uid="{00000000-0005-0000-0000-0000F4070000}"/>
    <cellStyle name="Comma 4 2 2 2 6 3 2" xfId="14283" xr:uid="{4A6CB60A-84E4-4BCE-8945-B01E40F17B6F}"/>
    <cellStyle name="Comma 4 2 2 2 6 4" xfId="10065" xr:uid="{4BB05CE2-1019-4F4F-95EB-A0612BDFCADF}"/>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3424C90D-E783-412A-8D00-B7E1D2874B3A}"/>
    <cellStyle name="Comma 4 2 2 2 7 2 3" xfId="12623" xr:uid="{B22BB40A-BB1B-4633-8547-4ADE97E3C617}"/>
    <cellStyle name="Comma 4 2 2 2 7 3" xfId="6254" xr:uid="{00000000-0005-0000-0000-0000F8070000}"/>
    <cellStyle name="Comma 4 2 2 2 7 3 2" xfId="14696" xr:uid="{42E5DEF7-C762-407A-9FFF-3BB3D01152AC}"/>
    <cellStyle name="Comma 4 2 2 2 7 4" xfId="10478" xr:uid="{9858FEB9-B16A-4511-8C8B-2B40B009F72D}"/>
    <cellStyle name="Comma 4 2 2 2 8" xfId="2382" xr:uid="{00000000-0005-0000-0000-0000F9070000}"/>
    <cellStyle name="Comma 4 2 2 2 8 2" xfId="6667" xr:uid="{00000000-0005-0000-0000-0000FA070000}"/>
    <cellStyle name="Comma 4 2 2 2 8 2 2" xfId="15109" xr:uid="{9A1104AF-92C1-4278-BE9A-21E9DEF9F455}"/>
    <cellStyle name="Comma 4 2 2 2 8 3" xfId="10891" xr:uid="{7AA215C4-6970-4BF4-B1CB-AEDF8BB3AD60}"/>
    <cellStyle name="Comma 4 2 2 2 9" xfId="2381" xr:uid="{00000000-0005-0000-0000-0000FB070000}"/>
    <cellStyle name="Comma 4 2 2 3" xfId="132" xr:uid="{00000000-0005-0000-0000-0000FC070000}"/>
    <cellStyle name="Comma 4 2 2 3 10" xfId="4605" xr:uid="{00000000-0005-0000-0000-0000FD070000}"/>
    <cellStyle name="Comma 4 2 2 3 10 2" xfId="13047" xr:uid="{CA6F641F-07CD-4A2D-936A-CBB34F738017}"/>
    <cellStyle name="Comma 4 2 2 3 11" xfId="8829" xr:uid="{0994D702-1025-40CC-882B-834DC8D92225}"/>
    <cellStyle name="Comma 4 2 2 3 2" xfId="133" xr:uid="{00000000-0005-0000-0000-0000FE070000}"/>
    <cellStyle name="Comma 4 2 2 3 2 10" xfId="8830" xr:uid="{CD19EC77-FD1E-45BB-9A3D-4953C5BF9ADC}"/>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A903BF85-AD3E-47FE-983C-2CDC03C440A3}"/>
    <cellStyle name="Comma 4 2 2 3 2 2 2 3" xfId="11389" xr:uid="{B2EF89CB-115B-4833-8E7E-B6D0FFEC413E}"/>
    <cellStyle name="Comma 4 2 2 3 2 2 3" xfId="5020" xr:uid="{00000000-0005-0000-0000-000002080000}"/>
    <cellStyle name="Comma 4 2 2 3 2 2 3 2" xfId="13462" xr:uid="{02678C2E-CB2B-402D-AEB2-B23F624FBD21}"/>
    <cellStyle name="Comma 4 2 2 3 2 2 4" xfId="9244" xr:uid="{3FB99EDF-F837-490B-AE1A-39321D6FE390}"/>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D43298BE-245D-4C9A-AF84-5F59250247B5}"/>
    <cellStyle name="Comma 4 2 2 3 2 3 2 3" xfId="11802" xr:uid="{E10211B3-A6FE-45FC-AAE8-22BEBC089C4D}"/>
    <cellStyle name="Comma 4 2 2 3 2 3 3" xfId="5433" xr:uid="{00000000-0005-0000-0000-000006080000}"/>
    <cellStyle name="Comma 4 2 2 3 2 3 3 2" xfId="13875" xr:uid="{05E76000-BBE7-4CE6-AA1B-7E3F421E61F2}"/>
    <cellStyle name="Comma 4 2 2 3 2 3 4" xfId="9657" xr:uid="{1DC99080-BCD6-4DE9-8BC5-DB7DA0F5A106}"/>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F8A2F76D-BB82-4E5C-B789-73E68974C5A6}"/>
    <cellStyle name="Comma 4 2 2 3 2 4 2 3" xfId="12215" xr:uid="{60914E5F-0001-4950-A2AA-DF97FBDAF441}"/>
    <cellStyle name="Comma 4 2 2 3 2 4 3" xfId="5846" xr:uid="{00000000-0005-0000-0000-00000A080000}"/>
    <cellStyle name="Comma 4 2 2 3 2 4 3 2" xfId="14288" xr:uid="{A5E856FD-5085-4D01-8234-8DA20C9C90A8}"/>
    <cellStyle name="Comma 4 2 2 3 2 4 4" xfId="10070" xr:uid="{599BC1CF-10A8-421D-B9A7-47DB6DF07FBB}"/>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2E744A1E-4556-46DD-8DFE-60E20F5ED640}"/>
    <cellStyle name="Comma 4 2 2 3 2 5 2 3" xfId="12628" xr:uid="{5BD2B90B-8900-4F02-AEBA-8E835171F211}"/>
    <cellStyle name="Comma 4 2 2 3 2 5 3" xfId="6259" xr:uid="{00000000-0005-0000-0000-00000E080000}"/>
    <cellStyle name="Comma 4 2 2 3 2 5 3 2" xfId="14701" xr:uid="{D1DB495A-BE99-4271-A889-297713409EF7}"/>
    <cellStyle name="Comma 4 2 2 3 2 5 4" xfId="10483" xr:uid="{8D1C4A9B-0C5F-4F46-BE91-6D83D2F83C50}"/>
    <cellStyle name="Comma 4 2 2 3 2 6" xfId="2387" xr:uid="{00000000-0005-0000-0000-00000F080000}"/>
    <cellStyle name="Comma 4 2 2 3 2 6 2" xfId="6672" xr:uid="{00000000-0005-0000-0000-000010080000}"/>
    <cellStyle name="Comma 4 2 2 3 2 6 2 2" xfId="15114" xr:uid="{BAFF955B-02AD-4447-8DF8-AA2D000639D0}"/>
    <cellStyle name="Comma 4 2 2 3 2 6 3" xfId="10896" xr:uid="{3DFFE6D2-A2AD-4292-A63A-50B145695396}"/>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28EAAA4D-2AA9-4455-A86E-329127B2A52C}"/>
    <cellStyle name="Comma 4 2 2 3 2 8 3" xfId="11213" xr:uid="{579E0526-2432-4272-BD8C-3E934BD1C74C}"/>
    <cellStyle name="Comma 4 2 2 3 2 9" xfId="4606" xr:uid="{00000000-0005-0000-0000-000014080000}"/>
    <cellStyle name="Comma 4 2 2 3 2 9 2" xfId="13048" xr:uid="{CEFD7CFB-4C6C-49A9-98C7-C01073F98DB6}"/>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39859C9B-FF1E-4C61-B321-C6429AABFA96}"/>
    <cellStyle name="Comma 4 2 2 3 3 2 3" xfId="11388" xr:uid="{F7997D33-E83A-4B2F-9397-18E93B0AFB86}"/>
    <cellStyle name="Comma 4 2 2 3 3 3" xfId="5019" xr:uid="{00000000-0005-0000-0000-000018080000}"/>
    <cellStyle name="Comma 4 2 2 3 3 3 2" xfId="13461" xr:uid="{DD0133EC-59A7-4360-A6A8-3E28DD640A93}"/>
    <cellStyle name="Comma 4 2 2 3 3 4" xfId="9243" xr:uid="{65481375-2E35-4EA1-99DE-0925236C487A}"/>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65E682F4-CAB1-4D00-9BAE-6DD2F32CB8FD}"/>
    <cellStyle name="Comma 4 2 2 3 4 2 3" xfId="11801" xr:uid="{92B5C823-D16F-4383-B2A5-9D53154485DC}"/>
    <cellStyle name="Comma 4 2 2 3 4 3" xfId="5432" xr:uid="{00000000-0005-0000-0000-00001C080000}"/>
    <cellStyle name="Comma 4 2 2 3 4 3 2" xfId="13874" xr:uid="{B4174BAE-CB1F-453E-87D8-94A15F229D63}"/>
    <cellStyle name="Comma 4 2 2 3 4 4" xfId="9656" xr:uid="{303166B9-813A-4A97-A64F-F0B4CEC581E5}"/>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153E7C4A-A25B-47CB-88CC-64AC94DDD679}"/>
    <cellStyle name="Comma 4 2 2 3 5 2 3" xfId="12214" xr:uid="{2DA1FE21-56C4-4B69-8EFF-DD36318AAAF3}"/>
    <cellStyle name="Comma 4 2 2 3 5 3" xfId="5845" xr:uid="{00000000-0005-0000-0000-000020080000}"/>
    <cellStyle name="Comma 4 2 2 3 5 3 2" xfId="14287" xr:uid="{3CA2D135-12E4-4295-B815-DD68D73D4FF0}"/>
    <cellStyle name="Comma 4 2 2 3 5 4" xfId="10069" xr:uid="{777D900D-F847-4760-B795-A7369ED86061}"/>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C62BB37D-B9F6-471C-A6A7-E55E0C6B4902}"/>
    <cellStyle name="Comma 4 2 2 3 6 2 3" xfId="12627" xr:uid="{6D4C8CD5-BD9C-4F56-8EFD-9ABAA2D9E05E}"/>
    <cellStyle name="Comma 4 2 2 3 6 3" xfId="6258" xr:uid="{00000000-0005-0000-0000-000024080000}"/>
    <cellStyle name="Comma 4 2 2 3 6 3 2" xfId="14700" xr:uid="{84B95213-1FB0-4AE4-A616-1F10DD8EFA6C}"/>
    <cellStyle name="Comma 4 2 2 3 6 4" xfId="10482" xr:uid="{048E5192-5738-49EB-B339-D0C18EC7C5D4}"/>
    <cellStyle name="Comma 4 2 2 3 7" xfId="2386" xr:uid="{00000000-0005-0000-0000-000025080000}"/>
    <cellStyle name="Comma 4 2 2 3 7 2" xfId="6671" xr:uid="{00000000-0005-0000-0000-000026080000}"/>
    <cellStyle name="Comma 4 2 2 3 7 2 2" xfId="15113" xr:uid="{BEB0B9DE-A958-4339-8139-81340A36F11B}"/>
    <cellStyle name="Comma 4 2 2 3 7 3" xfId="10895" xr:uid="{2E1FF031-06B0-435C-85C7-5B63002C583B}"/>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2486F592-B080-4ABD-A955-3DA82266E6E4}"/>
    <cellStyle name="Comma 4 2 2 3 9 3" xfId="11212" xr:uid="{CF6D5163-823E-4206-8635-3171D6549D83}"/>
    <cellStyle name="Comma 4 2 2 4" xfId="134" xr:uid="{00000000-0005-0000-0000-00002A080000}"/>
    <cellStyle name="Comma 4 2 2 4 10" xfId="8831" xr:uid="{4CDB6BD3-7A09-4264-9E75-BC2BD270411B}"/>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6CAE3C6D-55D6-4B01-AA6A-73271FF2FCB1}"/>
    <cellStyle name="Comma 4 2 2 4 2 2 3" xfId="11390" xr:uid="{0FA9E913-D4EB-4125-8EA0-8E4E58522963}"/>
    <cellStyle name="Comma 4 2 2 4 2 3" xfId="5021" xr:uid="{00000000-0005-0000-0000-00002E080000}"/>
    <cellStyle name="Comma 4 2 2 4 2 3 2" xfId="13463" xr:uid="{C893F1CE-4947-4D01-BF31-6CCF97384CF7}"/>
    <cellStyle name="Comma 4 2 2 4 2 4" xfId="9245" xr:uid="{B64B3CE3-E9B6-4A27-9026-9C3AAB4D2CD3}"/>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37DDC805-E733-479D-90FD-8510461C352F}"/>
    <cellStyle name="Comma 4 2 2 4 3 2 3" xfId="11803" xr:uid="{2F014854-D5E1-4A4B-B84F-6393CF9E8452}"/>
    <cellStyle name="Comma 4 2 2 4 3 3" xfId="5434" xr:uid="{00000000-0005-0000-0000-000032080000}"/>
    <cellStyle name="Comma 4 2 2 4 3 3 2" xfId="13876" xr:uid="{7CCCF9A0-FD1E-4BD2-ABC6-45443C097F8C}"/>
    <cellStyle name="Comma 4 2 2 4 3 4" xfId="9658" xr:uid="{E40467CE-BA25-49AE-BCEF-C6D84E8B53C4}"/>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9C592731-2C1F-46F8-974F-C9F13E7F0E7E}"/>
    <cellStyle name="Comma 4 2 2 4 4 2 3" xfId="12216" xr:uid="{C9B24C8D-1344-41EE-A860-350E989057BE}"/>
    <cellStyle name="Comma 4 2 2 4 4 3" xfId="5847" xr:uid="{00000000-0005-0000-0000-000036080000}"/>
    <cellStyle name="Comma 4 2 2 4 4 3 2" xfId="14289" xr:uid="{76371BE0-A80C-44B2-BF91-A1399D5296C8}"/>
    <cellStyle name="Comma 4 2 2 4 4 4" xfId="10071" xr:uid="{5DD18CA6-2ADA-47E8-ABCB-112905170828}"/>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02C889D3-74C1-4DDE-9349-6E8F8EAE5009}"/>
    <cellStyle name="Comma 4 2 2 4 5 2 3" xfId="12629" xr:uid="{25468D75-DC99-4888-AC6A-B00A94A1E6C7}"/>
    <cellStyle name="Comma 4 2 2 4 5 3" xfId="6260" xr:uid="{00000000-0005-0000-0000-00003A080000}"/>
    <cellStyle name="Comma 4 2 2 4 5 3 2" xfId="14702" xr:uid="{BA1326F6-8D71-435B-99F4-0BB785324906}"/>
    <cellStyle name="Comma 4 2 2 4 5 4" xfId="10484" xr:uid="{7F381E27-46A4-4E67-A9FF-61DE7F37284A}"/>
    <cellStyle name="Comma 4 2 2 4 6" xfId="2388" xr:uid="{00000000-0005-0000-0000-00003B080000}"/>
    <cellStyle name="Comma 4 2 2 4 6 2" xfId="6673" xr:uid="{00000000-0005-0000-0000-00003C080000}"/>
    <cellStyle name="Comma 4 2 2 4 6 2 2" xfId="15115" xr:uid="{F725CAAC-A5DD-49F7-9148-5C68372D6EB5}"/>
    <cellStyle name="Comma 4 2 2 4 6 3" xfId="10897" xr:uid="{9D09DC30-0F0F-4CA4-99AE-B3A77E414260}"/>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B5840551-7BD8-4717-8070-4AB39D46309F}"/>
    <cellStyle name="Comma 4 2 2 4 8 3" xfId="11214" xr:uid="{E6552F62-A75B-4309-B006-314F64392E3D}"/>
    <cellStyle name="Comma 4 2 2 4 9" xfId="4607" xr:uid="{00000000-0005-0000-0000-000040080000}"/>
    <cellStyle name="Comma 4 2 2 4 9 2" xfId="13049" xr:uid="{8844EE93-5B1E-4C53-AAFC-27944B8A9A00}"/>
    <cellStyle name="Comma 4 2 2 5" xfId="135" xr:uid="{00000000-0005-0000-0000-000041080000}"/>
    <cellStyle name="Comma 4 2 2 5 10" xfId="8832" xr:uid="{C5CC756A-EF2E-4BCD-998C-8633F6706EB5}"/>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877552CE-5894-4363-8B87-357BE6CC9659}"/>
    <cellStyle name="Comma 4 2 2 5 2 2 3" xfId="11391" xr:uid="{58228B15-9688-4996-901A-0ABD6F7FB025}"/>
    <cellStyle name="Comma 4 2 2 5 2 3" xfId="5022" xr:uid="{00000000-0005-0000-0000-000045080000}"/>
    <cellStyle name="Comma 4 2 2 5 2 3 2" xfId="13464" xr:uid="{0DED0D70-122E-42FF-AC4C-007138BDAECB}"/>
    <cellStyle name="Comma 4 2 2 5 2 4" xfId="9246" xr:uid="{C14A3124-9AC8-49A5-9C74-A744F5B45E5E}"/>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01E633F3-AD87-4120-90E8-91641244389A}"/>
    <cellStyle name="Comma 4 2 2 5 3 2 3" xfId="11804" xr:uid="{79A7F373-0E2E-4593-A085-1B8F2DEA499E}"/>
    <cellStyle name="Comma 4 2 2 5 3 3" xfId="5435" xr:uid="{00000000-0005-0000-0000-000049080000}"/>
    <cellStyle name="Comma 4 2 2 5 3 3 2" xfId="13877" xr:uid="{5F55AD76-6E16-4409-80B5-C29DFC454F2A}"/>
    <cellStyle name="Comma 4 2 2 5 3 4" xfId="9659" xr:uid="{A554DDAC-D89F-4EE4-81FB-676A05081EAF}"/>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766E7D6D-A2E6-480F-9972-EB0F59615DA9}"/>
    <cellStyle name="Comma 4 2 2 5 4 2 3" xfId="12217" xr:uid="{00751EE7-7957-4891-B9EF-9E9E9B5B6ACA}"/>
    <cellStyle name="Comma 4 2 2 5 4 3" xfId="5848" xr:uid="{00000000-0005-0000-0000-00004D080000}"/>
    <cellStyle name="Comma 4 2 2 5 4 3 2" xfId="14290" xr:uid="{3D055019-3EEE-4C88-A716-26AE2FCE46C2}"/>
    <cellStyle name="Comma 4 2 2 5 4 4" xfId="10072" xr:uid="{EF2F3C68-0C9C-4E58-86C2-8E638178D0A9}"/>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5BE42F08-9019-4757-9C8B-98FA8B148B11}"/>
    <cellStyle name="Comma 4 2 2 5 5 2 3" xfId="12630" xr:uid="{E67E6B95-2252-456D-B7A2-1FA0BB9D9778}"/>
    <cellStyle name="Comma 4 2 2 5 5 3" xfId="6261" xr:uid="{00000000-0005-0000-0000-000051080000}"/>
    <cellStyle name="Comma 4 2 2 5 5 3 2" xfId="14703" xr:uid="{99E197C0-865A-44B2-A580-F23AA33B85B0}"/>
    <cellStyle name="Comma 4 2 2 5 5 4" xfId="10485" xr:uid="{B8E08B2F-ED37-4C12-A1EE-75C108CD4B5D}"/>
    <cellStyle name="Comma 4 2 2 5 6" xfId="2389" xr:uid="{00000000-0005-0000-0000-000052080000}"/>
    <cellStyle name="Comma 4 2 2 5 6 2" xfId="6674" xr:uid="{00000000-0005-0000-0000-000053080000}"/>
    <cellStyle name="Comma 4 2 2 5 6 2 2" xfId="15116" xr:uid="{1356EF4B-04D2-4BF3-BD99-2421D1518E60}"/>
    <cellStyle name="Comma 4 2 2 5 6 3" xfId="10898" xr:uid="{B8B244B3-4DB9-491C-987E-1C2DA77CBD17}"/>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E9D96A8A-0E90-4051-944F-D1883E20BDDE}"/>
    <cellStyle name="Comma 4 2 2 5 8 3" xfId="11215" xr:uid="{0EC9DC96-DB04-4283-BA59-8294DA6504CF}"/>
    <cellStyle name="Comma 4 2 2 5 9" xfId="4608" xr:uid="{00000000-0005-0000-0000-000057080000}"/>
    <cellStyle name="Comma 4 2 2 5 9 2" xfId="13050" xr:uid="{7CF8BD3A-34F1-4D9F-9BE5-4931C24EFEE3}"/>
    <cellStyle name="Comma 4 2 3" xfId="136" xr:uid="{00000000-0005-0000-0000-000058080000}"/>
    <cellStyle name="Comma 4 2 3 10" xfId="2768" xr:uid="{00000000-0005-0000-0000-000059080000}"/>
    <cellStyle name="Comma 4 2 3 10 2" xfId="6992" xr:uid="{00000000-0005-0000-0000-00005A080000}"/>
    <cellStyle name="Comma 4 2 3 10 2 2" xfId="15434" xr:uid="{A71AEE6D-7550-41EA-994B-D8F95771BF43}"/>
    <cellStyle name="Comma 4 2 3 10 3" xfId="11216" xr:uid="{C9AD09A9-21DF-40A1-B332-B8FA38183ECA}"/>
    <cellStyle name="Comma 4 2 3 11" xfId="4609" xr:uid="{00000000-0005-0000-0000-00005B080000}"/>
    <cellStyle name="Comma 4 2 3 11 2" xfId="13051" xr:uid="{406941DF-A7DB-4628-82AD-713C7D9564BF}"/>
    <cellStyle name="Comma 4 2 3 12" xfId="8833" xr:uid="{B5238A8B-78D1-4890-9DD8-717471666638}"/>
    <cellStyle name="Comma 4 2 3 2" xfId="137" xr:uid="{00000000-0005-0000-0000-00005C080000}"/>
    <cellStyle name="Comma 4 2 3 2 10" xfId="4610" xr:uid="{00000000-0005-0000-0000-00005D080000}"/>
    <cellStyle name="Comma 4 2 3 2 10 2" xfId="13052" xr:uid="{49B2D9BE-78E4-4E71-9CC9-4921B48B645F}"/>
    <cellStyle name="Comma 4 2 3 2 11" xfId="8834" xr:uid="{1ADDB4D6-3770-41C8-825F-EA79CFBE8EE2}"/>
    <cellStyle name="Comma 4 2 3 2 2" xfId="138" xr:uid="{00000000-0005-0000-0000-00005E080000}"/>
    <cellStyle name="Comma 4 2 3 2 2 10" xfId="8835" xr:uid="{5556BA66-3298-44B9-8A27-EAD91AF1E3FD}"/>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FD218DE1-EE05-45E8-B8C7-2131C29FD7E0}"/>
    <cellStyle name="Comma 4 2 3 2 2 2 2 3" xfId="11394" xr:uid="{EFAC9CC3-CA30-48A4-9FDE-566F275047F5}"/>
    <cellStyle name="Comma 4 2 3 2 2 2 3" xfId="5025" xr:uid="{00000000-0005-0000-0000-000062080000}"/>
    <cellStyle name="Comma 4 2 3 2 2 2 3 2" xfId="13467" xr:uid="{3BC14FFD-B9F3-4FE5-8DC9-C37A9822CD8C}"/>
    <cellStyle name="Comma 4 2 3 2 2 2 4" xfId="9249" xr:uid="{A1031844-7920-4908-9252-53ABDA981D2F}"/>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E68AB572-3112-4ACE-8C9E-EBE8628E73A7}"/>
    <cellStyle name="Comma 4 2 3 2 2 3 2 3" xfId="11807" xr:uid="{44CF28F2-6177-491C-A8C7-ACCAC2F035A9}"/>
    <cellStyle name="Comma 4 2 3 2 2 3 3" xfId="5438" xr:uid="{00000000-0005-0000-0000-000066080000}"/>
    <cellStyle name="Comma 4 2 3 2 2 3 3 2" xfId="13880" xr:uid="{DC430B1E-AE7A-4F65-900C-4762F010163E}"/>
    <cellStyle name="Comma 4 2 3 2 2 3 4" xfId="9662" xr:uid="{4C9B421F-B3FB-4BC9-B044-6AB938195983}"/>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3AB4FFE3-1651-431C-B705-5DF1E7B55925}"/>
    <cellStyle name="Comma 4 2 3 2 2 4 2 3" xfId="12220" xr:uid="{7881D159-1863-411A-94DE-545EF0801822}"/>
    <cellStyle name="Comma 4 2 3 2 2 4 3" xfId="5851" xr:uid="{00000000-0005-0000-0000-00006A080000}"/>
    <cellStyle name="Comma 4 2 3 2 2 4 3 2" xfId="14293" xr:uid="{40A9CDAC-8E0A-48FF-8462-F89DAA892563}"/>
    <cellStyle name="Comma 4 2 3 2 2 4 4" xfId="10075" xr:uid="{12F4F5C9-3E19-4055-80CA-3DDF6CEC0F61}"/>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24620A34-883B-419F-8168-BC0F4B3CB9E9}"/>
    <cellStyle name="Comma 4 2 3 2 2 5 2 3" xfId="12633" xr:uid="{2F947ECC-FDC4-44BF-A2EA-242544447EFF}"/>
    <cellStyle name="Comma 4 2 3 2 2 5 3" xfId="6264" xr:uid="{00000000-0005-0000-0000-00006E080000}"/>
    <cellStyle name="Comma 4 2 3 2 2 5 3 2" xfId="14706" xr:uid="{265DE180-805F-4057-974C-3CF623D40646}"/>
    <cellStyle name="Comma 4 2 3 2 2 5 4" xfId="10488" xr:uid="{908608FC-C269-43BF-9C14-35ABC4FFB428}"/>
    <cellStyle name="Comma 4 2 3 2 2 6" xfId="2392" xr:uid="{00000000-0005-0000-0000-00006F080000}"/>
    <cellStyle name="Comma 4 2 3 2 2 6 2" xfId="6677" xr:uid="{00000000-0005-0000-0000-000070080000}"/>
    <cellStyle name="Comma 4 2 3 2 2 6 2 2" xfId="15119" xr:uid="{C5EB0C9A-90F2-4AE9-8EE0-2F2F9375CF56}"/>
    <cellStyle name="Comma 4 2 3 2 2 6 3" xfId="10901" xr:uid="{F5BCDC8A-A9A8-42F2-9617-341B60F1B85B}"/>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5198B5B7-67DB-4D3E-82D0-6E4BC71479EB}"/>
    <cellStyle name="Comma 4 2 3 2 2 8 3" xfId="11218" xr:uid="{573DCE38-2C24-4997-848C-6772B6AB8F7A}"/>
    <cellStyle name="Comma 4 2 3 2 2 9" xfId="4611" xr:uid="{00000000-0005-0000-0000-000074080000}"/>
    <cellStyle name="Comma 4 2 3 2 2 9 2" xfId="13053" xr:uid="{FC05832C-8444-440A-8A7D-A50A292C5A47}"/>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CCD2D024-8B62-422F-811A-0A7DE571DBDD}"/>
    <cellStyle name="Comma 4 2 3 2 3 2 3" xfId="11393" xr:uid="{72FFCC41-49E7-4394-A59C-E6B41B254296}"/>
    <cellStyle name="Comma 4 2 3 2 3 3" xfId="5024" xr:uid="{00000000-0005-0000-0000-000078080000}"/>
    <cellStyle name="Comma 4 2 3 2 3 3 2" xfId="13466" xr:uid="{9E04809C-B44C-4545-9FD3-5E529D822085}"/>
    <cellStyle name="Comma 4 2 3 2 3 4" xfId="9248" xr:uid="{02323962-D60D-4C86-93A6-9A025A709387}"/>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0384D208-C615-4A1A-A806-10C92BC76579}"/>
    <cellStyle name="Comma 4 2 3 2 4 2 3" xfId="11806" xr:uid="{87159106-E544-4ADB-8807-6AAD1B854869}"/>
    <cellStyle name="Comma 4 2 3 2 4 3" xfId="5437" xr:uid="{00000000-0005-0000-0000-00007C080000}"/>
    <cellStyle name="Comma 4 2 3 2 4 3 2" xfId="13879" xr:uid="{ED96E6C0-D658-4DDA-9BF4-4613766FE0D2}"/>
    <cellStyle name="Comma 4 2 3 2 4 4" xfId="9661" xr:uid="{550969C9-0FC5-49EE-B7DA-944302FEDF55}"/>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958AE31F-6896-4FAC-8A74-ABF6D78BCC34}"/>
    <cellStyle name="Comma 4 2 3 2 5 2 3" xfId="12219" xr:uid="{D579159D-48EA-45EA-A2C5-551404743B6A}"/>
    <cellStyle name="Comma 4 2 3 2 5 3" xfId="5850" xr:uid="{00000000-0005-0000-0000-000080080000}"/>
    <cellStyle name="Comma 4 2 3 2 5 3 2" xfId="14292" xr:uid="{B1849C78-AFC4-4F6B-A501-BDF7A0074AB2}"/>
    <cellStyle name="Comma 4 2 3 2 5 4" xfId="10074" xr:uid="{56F679A0-73A2-4DB9-8C86-FF8DB60119CB}"/>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C9BA1E22-E1FE-40B8-A94E-9E9073CCBCCC}"/>
    <cellStyle name="Comma 4 2 3 2 6 2 3" xfId="12632" xr:uid="{A138FBC3-890B-4C14-B354-D5389E67E85C}"/>
    <cellStyle name="Comma 4 2 3 2 6 3" xfId="6263" xr:uid="{00000000-0005-0000-0000-000084080000}"/>
    <cellStyle name="Comma 4 2 3 2 6 3 2" xfId="14705" xr:uid="{6DC6B6D4-BE9E-4282-BDB2-8C7E590EC64E}"/>
    <cellStyle name="Comma 4 2 3 2 6 4" xfId="10487" xr:uid="{1AEECCCD-1633-4FCC-9727-7B710FB89E48}"/>
    <cellStyle name="Comma 4 2 3 2 7" xfId="2391" xr:uid="{00000000-0005-0000-0000-000085080000}"/>
    <cellStyle name="Comma 4 2 3 2 7 2" xfId="6676" xr:uid="{00000000-0005-0000-0000-000086080000}"/>
    <cellStyle name="Comma 4 2 3 2 7 2 2" xfId="15118" xr:uid="{F9918DEA-34F5-4A01-9FA1-23D2831F7028}"/>
    <cellStyle name="Comma 4 2 3 2 7 3" xfId="10900" xr:uid="{89BD10D1-23E8-4F96-91CA-5417A81CC9D5}"/>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BF67A4C6-7D83-4BBB-9141-A599A166EBFB}"/>
    <cellStyle name="Comma 4 2 3 2 9 3" xfId="11217" xr:uid="{85F2FC86-C478-41AF-9C58-237C10A48DD0}"/>
    <cellStyle name="Comma 4 2 3 3" xfId="139" xr:uid="{00000000-0005-0000-0000-00008A080000}"/>
    <cellStyle name="Comma 4 2 3 3 10" xfId="8836" xr:uid="{9F257B5C-2E59-47F5-9AC5-456C45EBBB49}"/>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B7F8E49E-27A0-458D-A628-BEAEA791F6C7}"/>
    <cellStyle name="Comma 4 2 3 3 2 2 3" xfId="11395" xr:uid="{6C5982C7-ECBB-4D05-9E28-9F21229F3CFE}"/>
    <cellStyle name="Comma 4 2 3 3 2 3" xfId="5026" xr:uid="{00000000-0005-0000-0000-00008E080000}"/>
    <cellStyle name="Comma 4 2 3 3 2 3 2" xfId="13468" xr:uid="{89E0A412-AC7B-4450-8F91-4C8070308483}"/>
    <cellStyle name="Comma 4 2 3 3 2 4" xfId="9250" xr:uid="{A876540C-FEED-4C89-AF43-2EEC4D306E79}"/>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005C6C04-BFAD-4026-B141-4B037FAD7B06}"/>
    <cellStyle name="Comma 4 2 3 3 3 2 3" xfId="11808" xr:uid="{54288E4D-1E46-4605-B00F-96CE2F919744}"/>
    <cellStyle name="Comma 4 2 3 3 3 3" xfId="5439" xr:uid="{00000000-0005-0000-0000-000092080000}"/>
    <cellStyle name="Comma 4 2 3 3 3 3 2" xfId="13881" xr:uid="{EDF3F73D-0E7D-4996-AEE0-8246D2B2540A}"/>
    <cellStyle name="Comma 4 2 3 3 3 4" xfId="9663" xr:uid="{BCFFFF22-94B1-4B53-8973-9DDFB6F43DB6}"/>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40CDBF83-05F6-4F45-BCCE-948BDF0967B1}"/>
    <cellStyle name="Comma 4 2 3 3 4 2 3" xfId="12221" xr:uid="{BB094571-5CAD-4F61-8F4D-4BC189BDDA9C}"/>
    <cellStyle name="Comma 4 2 3 3 4 3" xfId="5852" xr:uid="{00000000-0005-0000-0000-000096080000}"/>
    <cellStyle name="Comma 4 2 3 3 4 3 2" xfId="14294" xr:uid="{1BAB40D4-8DBD-4643-9D20-CF590BC9F779}"/>
    <cellStyle name="Comma 4 2 3 3 4 4" xfId="10076" xr:uid="{847E6CA2-0B36-4173-95FE-DAB88CAFE22B}"/>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537A1253-D36E-4716-8B94-CBD1A0F08869}"/>
    <cellStyle name="Comma 4 2 3 3 5 2 3" xfId="12634" xr:uid="{A311A833-81AB-499F-8A93-FE131BF099F7}"/>
    <cellStyle name="Comma 4 2 3 3 5 3" xfId="6265" xr:uid="{00000000-0005-0000-0000-00009A080000}"/>
    <cellStyle name="Comma 4 2 3 3 5 3 2" xfId="14707" xr:uid="{07741518-F625-4AF9-BB7B-FD53FB9AECEE}"/>
    <cellStyle name="Comma 4 2 3 3 5 4" xfId="10489" xr:uid="{4C1F56E4-473A-4C30-A611-52284976A3EA}"/>
    <cellStyle name="Comma 4 2 3 3 6" xfId="2393" xr:uid="{00000000-0005-0000-0000-00009B080000}"/>
    <cellStyle name="Comma 4 2 3 3 6 2" xfId="6678" xr:uid="{00000000-0005-0000-0000-00009C080000}"/>
    <cellStyle name="Comma 4 2 3 3 6 2 2" xfId="15120" xr:uid="{93173437-D91C-4AC9-84E1-C5E55921DF7C}"/>
    <cellStyle name="Comma 4 2 3 3 6 3" xfId="10902" xr:uid="{9C5263EF-8CC7-4516-A3AD-927D2C1CF47F}"/>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CE3C2776-8242-44BE-B25E-09968CE4206A}"/>
    <cellStyle name="Comma 4 2 3 3 8 3" xfId="11219" xr:uid="{6B011895-2F9A-4BF3-BA0B-BAD28EF3169D}"/>
    <cellStyle name="Comma 4 2 3 3 9" xfId="4612" xr:uid="{00000000-0005-0000-0000-0000A0080000}"/>
    <cellStyle name="Comma 4 2 3 3 9 2" xfId="13054" xr:uid="{A9F8F4F9-EC0D-4675-9507-BDC3E606F61E}"/>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C3DBA7C-F362-4399-B477-2C2F90D52E07}"/>
    <cellStyle name="Comma 4 2 3 4 2 3" xfId="11392" xr:uid="{9DBB2AC8-FDB4-4433-8FFB-54884A00767F}"/>
    <cellStyle name="Comma 4 2 3 4 3" xfId="5023" xr:uid="{00000000-0005-0000-0000-0000A4080000}"/>
    <cellStyle name="Comma 4 2 3 4 3 2" xfId="13465" xr:uid="{AA0DCDC5-B85D-428B-9DE1-53767E0C8C61}"/>
    <cellStyle name="Comma 4 2 3 4 4" xfId="9247" xr:uid="{8B19F749-8C79-47FF-8D6C-06718974F664}"/>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AB6CDDB5-53A3-42C2-9FE4-4004C591CBFB}"/>
    <cellStyle name="Comma 4 2 3 5 2 3" xfId="11805" xr:uid="{E235E1A3-EFD4-4713-AC94-FEC5A7CE29A1}"/>
    <cellStyle name="Comma 4 2 3 5 3" xfId="5436" xr:uid="{00000000-0005-0000-0000-0000A8080000}"/>
    <cellStyle name="Comma 4 2 3 5 3 2" xfId="13878" xr:uid="{FBBCBAAE-C56A-4D45-B1F3-DDDAEE589F6C}"/>
    <cellStyle name="Comma 4 2 3 5 4" xfId="9660" xr:uid="{7E2F2AEC-1784-4BEF-9988-746D7B8F94D7}"/>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EFAF4F02-8C35-40C0-9E6C-A2158454394D}"/>
    <cellStyle name="Comma 4 2 3 6 2 3" xfId="12218" xr:uid="{BA0A7AA2-FD09-49C7-9B97-8BBB2A1FB77F}"/>
    <cellStyle name="Comma 4 2 3 6 3" xfId="5849" xr:uid="{00000000-0005-0000-0000-0000AC080000}"/>
    <cellStyle name="Comma 4 2 3 6 3 2" xfId="14291" xr:uid="{420F31F5-8244-4214-91C2-01EA44F214D9}"/>
    <cellStyle name="Comma 4 2 3 6 4" xfId="10073" xr:uid="{92203544-D28B-4052-8486-BE6A8B26B190}"/>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32D81415-A9AE-441A-BB05-024A5257CF72}"/>
    <cellStyle name="Comma 4 2 3 7 2 3" xfId="12631" xr:uid="{6E856FED-B6E5-48DF-B499-E154615294D4}"/>
    <cellStyle name="Comma 4 2 3 7 3" xfId="6262" xr:uid="{00000000-0005-0000-0000-0000B0080000}"/>
    <cellStyle name="Comma 4 2 3 7 3 2" xfId="14704" xr:uid="{CFDF7115-EE52-4C21-87AA-1CF1AD94A8D6}"/>
    <cellStyle name="Comma 4 2 3 7 4" xfId="10486" xr:uid="{0D877F2B-64F2-4D49-991B-2F62D3E75A06}"/>
    <cellStyle name="Comma 4 2 3 8" xfId="2390" xr:uid="{00000000-0005-0000-0000-0000B1080000}"/>
    <cellStyle name="Comma 4 2 3 8 2" xfId="6675" xr:uid="{00000000-0005-0000-0000-0000B2080000}"/>
    <cellStyle name="Comma 4 2 3 8 2 2" xfId="15117" xr:uid="{9EE79D78-433A-4549-9ABE-BB1A398B3496}"/>
    <cellStyle name="Comma 4 2 3 8 3" xfId="10899" xr:uid="{6549BB11-5550-4060-88E8-E1BE98565A15}"/>
    <cellStyle name="Comma 4 2 3 9" xfId="2373" xr:uid="{00000000-0005-0000-0000-0000B3080000}"/>
    <cellStyle name="Comma 4 2 4" xfId="140" xr:uid="{00000000-0005-0000-0000-0000B4080000}"/>
    <cellStyle name="Comma 4 2 4 10" xfId="4613" xr:uid="{00000000-0005-0000-0000-0000B5080000}"/>
    <cellStyle name="Comma 4 2 4 10 2" xfId="13055" xr:uid="{528B04F8-7DEF-45A1-B49F-F87FE439315E}"/>
    <cellStyle name="Comma 4 2 4 11" xfId="8837" xr:uid="{1B8254A1-A2FF-4637-B58F-C7AD758EC962}"/>
    <cellStyle name="Comma 4 2 4 2" xfId="141" xr:uid="{00000000-0005-0000-0000-0000B6080000}"/>
    <cellStyle name="Comma 4 2 4 2 10" xfId="8838" xr:uid="{027E0FDE-2321-4E18-92A1-ADC827C7B245}"/>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FCBF0F85-6F38-4260-9DE2-14EA4432FB9C}"/>
    <cellStyle name="Comma 4 2 4 2 2 2 3" xfId="11397" xr:uid="{566DA445-1975-455B-BF39-3CF691C6ABA3}"/>
    <cellStyle name="Comma 4 2 4 2 2 3" xfId="5028" xr:uid="{00000000-0005-0000-0000-0000BA080000}"/>
    <cellStyle name="Comma 4 2 4 2 2 3 2" xfId="13470" xr:uid="{51A20FEE-504C-4DB1-9C2E-70A266BFED31}"/>
    <cellStyle name="Comma 4 2 4 2 2 4" xfId="9252" xr:uid="{95B3EF03-1ED2-4282-9F69-CB03AC19122A}"/>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D996F4B6-F58A-4098-933C-22CA7C174778}"/>
    <cellStyle name="Comma 4 2 4 2 3 2 3" xfId="11810" xr:uid="{03AC4A4A-0974-43B2-855E-73CF7F1713FE}"/>
    <cellStyle name="Comma 4 2 4 2 3 3" xfId="5441" xr:uid="{00000000-0005-0000-0000-0000BE080000}"/>
    <cellStyle name="Comma 4 2 4 2 3 3 2" xfId="13883" xr:uid="{C33E7C35-0B71-42AB-936C-6E249663868B}"/>
    <cellStyle name="Comma 4 2 4 2 3 4" xfId="9665" xr:uid="{9005319D-9FDD-4472-9FAB-E8ED4BF5C147}"/>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92EEA0BC-02A0-4098-B7F3-82FF7AAACF85}"/>
    <cellStyle name="Comma 4 2 4 2 4 2 3" xfId="12223" xr:uid="{9C3686B3-01D9-4C7F-B25F-45AFDBDFF6E2}"/>
    <cellStyle name="Comma 4 2 4 2 4 3" xfId="5854" xr:uid="{00000000-0005-0000-0000-0000C2080000}"/>
    <cellStyle name="Comma 4 2 4 2 4 3 2" xfId="14296" xr:uid="{B248F1AF-86B1-44BF-885C-78CECD97AF9A}"/>
    <cellStyle name="Comma 4 2 4 2 4 4" xfId="10078" xr:uid="{6059A75A-5A94-4FC2-B443-C5C14E0269FB}"/>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DC587832-28DB-4E7A-85AD-A3C5B58588D4}"/>
    <cellStyle name="Comma 4 2 4 2 5 2 3" xfId="12636" xr:uid="{73E8BEC1-C3BD-4ED6-B142-5DE33C8C0C5A}"/>
    <cellStyle name="Comma 4 2 4 2 5 3" xfId="6267" xr:uid="{00000000-0005-0000-0000-0000C6080000}"/>
    <cellStyle name="Comma 4 2 4 2 5 3 2" xfId="14709" xr:uid="{3C718CE4-F701-4B26-9FA4-AACB71E7561B}"/>
    <cellStyle name="Comma 4 2 4 2 5 4" xfId="10491" xr:uid="{4622CF52-C121-4108-8752-A7419D9EAE89}"/>
    <cellStyle name="Comma 4 2 4 2 6" xfId="2395" xr:uid="{00000000-0005-0000-0000-0000C7080000}"/>
    <cellStyle name="Comma 4 2 4 2 6 2" xfId="6680" xr:uid="{00000000-0005-0000-0000-0000C8080000}"/>
    <cellStyle name="Comma 4 2 4 2 6 2 2" xfId="15122" xr:uid="{60102CBD-0F47-4F28-AA6F-124AA87F93D6}"/>
    <cellStyle name="Comma 4 2 4 2 6 3" xfId="10904" xr:uid="{0B7E2E03-5CAD-4C63-B17C-5DAC68B7F6A2}"/>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B7FA0A60-C314-463A-8E40-E70A9B757514}"/>
    <cellStyle name="Comma 4 2 4 2 8 3" xfId="11221" xr:uid="{F2E8E64B-0C01-4180-A0E4-DC473CB6D713}"/>
    <cellStyle name="Comma 4 2 4 2 9" xfId="4614" xr:uid="{00000000-0005-0000-0000-0000CC080000}"/>
    <cellStyle name="Comma 4 2 4 2 9 2" xfId="13056" xr:uid="{0C537E51-5253-4760-8787-D020DB682278}"/>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73C2C9EB-D41A-47C4-9EED-FEBD8DFD4354}"/>
    <cellStyle name="Comma 4 2 4 3 2 3" xfId="11396" xr:uid="{15052C78-8C79-4DDA-BEDA-C9702EA9463C}"/>
    <cellStyle name="Comma 4 2 4 3 3" xfId="5027" xr:uid="{00000000-0005-0000-0000-0000D0080000}"/>
    <cellStyle name="Comma 4 2 4 3 3 2" xfId="13469" xr:uid="{C628088F-AB7A-4B62-B699-6F4B9150F397}"/>
    <cellStyle name="Comma 4 2 4 3 4" xfId="9251" xr:uid="{4F8E69CA-AA92-4D75-90C9-F01BAAE5060E}"/>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67E350ED-A938-4651-8E0E-3F1943ADA8B6}"/>
    <cellStyle name="Comma 4 2 4 4 2 3" xfId="11809" xr:uid="{1D8260C7-AC9B-41B4-94E1-DA530D6441A5}"/>
    <cellStyle name="Comma 4 2 4 4 3" xfId="5440" xr:uid="{00000000-0005-0000-0000-0000D4080000}"/>
    <cellStyle name="Comma 4 2 4 4 3 2" xfId="13882" xr:uid="{BFAB86A5-1C47-4BF5-A263-910425C73178}"/>
    <cellStyle name="Comma 4 2 4 4 4" xfId="9664" xr:uid="{A13DF4FD-06B6-4B89-9A8F-6477F25B8532}"/>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009E9B7D-4B67-4C8A-A182-C83CEBF65571}"/>
    <cellStyle name="Comma 4 2 4 5 2 3" xfId="12222" xr:uid="{51960735-3D07-4DD0-A03E-B545EDFEBA9F}"/>
    <cellStyle name="Comma 4 2 4 5 3" xfId="5853" xr:uid="{00000000-0005-0000-0000-0000D8080000}"/>
    <cellStyle name="Comma 4 2 4 5 3 2" xfId="14295" xr:uid="{25DC0A0C-8B8E-4B80-9D24-B1E74C9DDAF2}"/>
    <cellStyle name="Comma 4 2 4 5 4" xfId="10077" xr:uid="{05F169F1-ED61-4507-99A4-C6936898CCBC}"/>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211114EA-547B-4E5B-9FA5-091B5DE823CF}"/>
    <cellStyle name="Comma 4 2 4 6 2 3" xfId="12635" xr:uid="{FA4ED023-345A-43BA-9979-B05FF135A51D}"/>
    <cellStyle name="Comma 4 2 4 6 3" xfId="6266" xr:uid="{00000000-0005-0000-0000-0000DC080000}"/>
    <cellStyle name="Comma 4 2 4 6 3 2" xfId="14708" xr:uid="{4CC6D44F-E3B8-4591-87AE-E29C0E2AC853}"/>
    <cellStyle name="Comma 4 2 4 6 4" xfId="10490" xr:uid="{6BFB6223-5125-4616-8B6C-B6C7D5290DBB}"/>
    <cellStyle name="Comma 4 2 4 7" xfId="2394" xr:uid="{00000000-0005-0000-0000-0000DD080000}"/>
    <cellStyle name="Comma 4 2 4 7 2" xfId="6679" xr:uid="{00000000-0005-0000-0000-0000DE080000}"/>
    <cellStyle name="Comma 4 2 4 7 2 2" xfId="15121" xr:uid="{2B74C50D-BD32-4C63-A2BF-959D5AF8564E}"/>
    <cellStyle name="Comma 4 2 4 7 3" xfId="10903" xr:uid="{1B4717CC-478B-45B3-B47F-CDBC9437C914}"/>
    <cellStyle name="Comma 4 2 4 8" xfId="2369" xr:uid="{00000000-0005-0000-0000-0000DF080000}"/>
    <cellStyle name="Comma 4 2 4 9" xfId="2772" xr:uid="{00000000-0005-0000-0000-0000E0080000}"/>
    <cellStyle name="Comma 4 2 4 9 2" xfId="6996" xr:uid="{00000000-0005-0000-0000-0000E1080000}"/>
    <cellStyle name="Comma 4 2 4 9 2 2" xfId="15438" xr:uid="{F61EDD43-C98B-41B0-8D31-AAE6C60B2B32}"/>
    <cellStyle name="Comma 4 2 4 9 3" xfId="11220" xr:uid="{F7C939A6-F5A5-4475-8373-01B4D3148AB6}"/>
    <cellStyle name="Comma 4 2 5" xfId="142" xr:uid="{00000000-0005-0000-0000-0000E2080000}"/>
    <cellStyle name="Comma 4 2 5 10" xfId="8839" xr:uid="{A34D3D63-36D2-4D31-BB0C-554457387A8E}"/>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FFC88BAE-2E97-4FFB-9714-8418C0EFEB48}"/>
    <cellStyle name="Comma 4 2 5 2 2 3" xfId="11398" xr:uid="{19E204C5-5FBD-48F6-AE64-3BAB58E7D458}"/>
    <cellStyle name="Comma 4 2 5 2 3" xfId="5029" xr:uid="{00000000-0005-0000-0000-0000E6080000}"/>
    <cellStyle name="Comma 4 2 5 2 3 2" xfId="13471" xr:uid="{DFDCD9EA-ED4E-488F-9A89-6075C809C6E5}"/>
    <cellStyle name="Comma 4 2 5 2 4" xfId="9253" xr:uid="{E0DBDDDC-7D89-474F-9B67-0CF626214A33}"/>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01F35E35-84F8-43B9-B808-C89F9AF099CB}"/>
    <cellStyle name="Comma 4 2 5 3 2 3" xfId="11811" xr:uid="{2193F33A-CDF9-4DB6-BEC8-3AE0082726B1}"/>
    <cellStyle name="Comma 4 2 5 3 3" xfId="5442" xr:uid="{00000000-0005-0000-0000-0000EA080000}"/>
    <cellStyle name="Comma 4 2 5 3 3 2" xfId="13884" xr:uid="{2AB53EAD-F0C2-43D0-8362-88FB105A5306}"/>
    <cellStyle name="Comma 4 2 5 3 4" xfId="9666" xr:uid="{57EAA883-CA17-4234-B63E-369DB84263D5}"/>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CF1F96BA-9935-40A5-AB22-790F702F21A1}"/>
    <cellStyle name="Comma 4 2 5 4 2 3" xfId="12224" xr:uid="{A8CA1B62-2F23-4290-8E35-0C244EE88967}"/>
    <cellStyle name="Comma 4 2 5 4 3" xfId="5855" xr:uid="{00000000-0005-0000-0000-0000EE080000}"/>
    <cellStyle name="Comma 4 2 5 4 3 2" xfId="14297" xr:uid="{71D18B69-8315-4C9A-A3EA-231A3E85A668}"/>
    <cellStyle name="Comma 4 2 5 4 4" xfId="10079" xr:uid="{B38486B9-FF3E-4BB8-AAA8-2ACFBC7CA1FD}"/>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A3474DDF-4B1F-488C-8DAF-EBC710E0D353}"/>
    <cellStyle name="Comma 4 2 5 5 2 3" xfId="12637" xr:uid="{91215426-985B-462D-8B88-9B92C3A1A58B}"/>
    <cellStyle name="Comma 4 2 5 5 3" xfId="6268" xr:uid="{00000000-0005-0000-0000-0000F2080000}"/>
    <cellStyle name="Comma 4 2 5 5 3 2" xfId="14710" xr:uid="{7516F738-667B-4C30-9206-7B824402ED9F}"/>
    <cellStyle name="Comma 4 2 5 5 4" xfId="10492" xr:uid="{BF6278A9-EB37-4CD2-8535-A1EFA543B2B8}"/>
    <cellStyle name="Comma 4 2 5 6" xfId="2396" xr:uid="{00000000-0005-0000-0000-0000F3080000}"/>
    <cellStyle name="Comma 4 2 5 6 2" xfId="6681" xr:uid="{00000000-0005-0000-0000-0000F4080000}"/>
    <cellStyle name="Comma 4 2 5 6 2 2" xfId="15123" xr:uid="{DE27409A-ED02-4EE4-994A-DB928FB64F1C}"/>
    <cellStyle name="Comma 4 2 5 6 3" xfId="10905" xr:uid="{B78A1D50-BE28-42BE-A081-DF640563A07E}"/>
    <cellStyle name="Comma 4 2 5 7" xfId="2367" xr:uid="{00000000-0005-0000-0000-0000F5080000}"/>
    <cellStyle name="Comma 4 2 5 8" xfId="2774" xr:uid="{00000000-0005-0000-0000-0000F6080000}"/>
    <cellStyle name="Comma 4 2 5 8 2" xfId="6998" xr:uid="{00000000-0005-0000-0000-0000F7080000}"/>
    <cellStyle name="Comma 4 2 5 8 2 2" xfId="15440" xr:uid="{B186713C-3CB4-47F5-9414-53256E90BFC8}"/>
    <cellStyle name="Comma 4 2 5 8 3" xfId="11222" xr:uid="{24AE638C-3135-4C6C-8F47-0265EBF5D999}"/>
    <cellStyle name="Comma 4 2 5 9" xfId="4615" xr:uid="{00000000-0005-0000-0000-0000F8080000}"/>
    <cellStyle name="Comma 4 2 5 9 2" xfId="13057" xr:uid="{BCAF0BDF-7A6D-45CB-9D34-15A9DB340B22}"/>
    <cellStyle name="Comma 4 2 6" xfId="143" xr:uid="{00000000-0005-0000-0000-0000F9080000}"/>
    <cellStyle name="Comma 4 2 6 10" xfId="8840" xr:uid="{9C29E81A-82CA-4C4B-83A2-49F7F711D7F8}"/>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C587B729-19EA-4D0A-85B9-AFDCBE2F2B83}"/>
    <cellStyle name="Comma 4 2 6 2 2 3" xfId="11399" xr:uid="{5CBA403C-402B-44C0-AA67-0517375EAF9D}"/>
    <cellStyle name="Comma 4 2 6 2 3" xfId="5030" xr:uid="{00000000-0005-0000-0000-0000FD080000}"/>
    <cellStyle name="Comma 4 2 6 2 3 2" xfId="13472" xr:uid="{615D8E46-357A-4451-AE63-AFCAF7505C44}"/>
    <cellStyle name="Comma 4 2 6 2 4" xfId="9254" xr:uid="{5E57C5A8-C0D0-48FE-A35A-BA5562AE8922}"/>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3D55616F-969D-4C18-80BB-41E358E63529}"/>
    <cellStyle name="Comma 4 2 6 3 2 3" xfId="11812" xr:uid="{DE2AF6B7-15A9-4BC6-A27F-77880AB4AEC6}"/>
    <cellStyle name="Comma 4 2 6 3 3" xfId="5443" xr:uid="{00000000-0005-0000-0000-000001090000}"/>
    <cellStyle name="Comma 4 2 6 3 3 2" xfId="13885" xr:uid="{AC8EFD6C-085E-4637-A5B9-A988DD0A8A89}"/>
    <cellStyle name="Comma 4 2 6 3 4" xfId="9667" xr:uid="{E929170D-7471-4F84-BBD4-D47F17E23845}"/>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B81F2321-DA95-41EE-9D74-27BDD5E40EEA}"/>
    <cellStyle name="Comma 4 2 6 4 2 3" xfId="12225" xr:uid="{D9192003-3B67-4646-8392-E1F7F859D6C5}"/>
    <cellStyle name="Comma 4 2 6 4 3" xfId="5856" xr:uid="{00000000-0005-0000-0000-000005090000}"/>
    <cellStyle name="Comma 4 2 6 4 3 2" xfId="14298" xr:uid="{4A0C1A48-023C-4069-9203-FF89F8809FB8}"/>
    <cellStyle name="Comma 4 2 6 4 4" xfId="10080" xr:uid="{9543BA97-44D2-4AEA-892B-FC622C4CD6C2}"/>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E413388F-FAF5-4589-85F2-5611769E5FCB}"/>
    <cellStyle name="Comma 4 2 6 5 2 3" xfId="12638" xr:uid="{B3D5ACB4-E0BF-48F2-9990-DE9357624011}"/>
    <cellStyle name="Comma 4 2 6 5 3" xfId="6269" xr:uid="{00000000-0005-0000-0000-000009090000}"/>
    <cellStyle name="Comma 4 2 6 5 3 2" xfId="14711" xr:uid="{F34BAA3C-390D-40B4-8C09-430EEFE92B07}"/>
    <cellStyle name="Comma 4 2 6 5 4" xfId="10493" xr:uid="{78E5DEEE-5027-41EF-AEA8-3ACC9ED0D6B4}"/>
    <cellStyle name="Comma 4 2 6 6" xfId="2397" xr:uid="{00000000-0005-0000-0000-00000A090000}"/>
    <cellStyle name="Comma 4 2 6 6 2" xfId="6682" xr:uid="{00000000-0005-0000-0000-00000B090000}"/>
    <cellStyle name="Comma 4 2 6 6 2 2" xfId="15124" xr:uid="{F9F8B1D6-FC1A-44EB-81ED-96B16735A2F3}"/>
    <cellStyle name="Comma 4 2 6 6 3" xfId="10906" xr:uid="{97D72D8D-649B-4695-A9FD-8323333FE593}"/>
    <cellStyle name="Comma 4 2 6 7" xfId="2366" xr:uid="{00000000-0005-0000-0000-00000C090000}"/>
    <cellStyle name="Comma 4 2 6 8" xfId="2775" xr:uid="{00000000-0005-0000-0000-00000D090000}"/>
    <cellStyle name="Comma 4 2 6 8 2" xfId="6999" xr:uid="{00000000-0005-0000-0000-00000E090000}"/>
    <cellStyle name="Comma 4 2 6 8 2 2" xfId="15441" xr:uid="{5AE6BD27-8B89-47D3-8CDD-7C956830AF50}"/>
    <cellStyle name="Comma 4 2 6 8 3" xfId="11223" xr:uid="{3A557125-3B9C-455B-BA4D-B3811F7B2DBE}"/>
    <cellStyle name="Comma 4 2 6 9" xfId="4616" xr:uid="{00000000-0005-0000-0000-00000F090000}"/>
    <cellStyle name="Comma 4 2 6 9 2" xfId="13058" xr:uid="{19197EE8-C53A-4CFB-83A5-23D18752B3C3}"/>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6007BDA7-D607-495B-92A5-4CEB6AC014B3}"/>
    <cellStyle name="Comma 4 3 2 10 3" xfId="11224" xr:uid="{ACE867A2-8023-4FAF-AC23-1CD0B3544C8D}"/>
    <cellStyle name="Comma 4 3 2 11" xfId="4617" xr:uid="{00000000-0005-0000-0000-000014090000}"/>
    <cellStyle name="Comma 4 3 2 11 2" xfId="13059" xr:uid="{CC3CC0A4-79EE-4BBF-8513-6B8A698A2D3C}"/>
    <cellStyle name="Comma 4 3 2 12" xfId="8841" xr:uid="{C4F99BCC-6048-4995-B31C-801C41ADD65A}"/>
    <cellStyle name="Comma 4 3 2 2" xfId="146" xr:uid="{00000000-0005-0000-0000-000015090000}"/>
    <cellStyle name="Comma 4 3 2 2 10" xfId="4618" xr:uid="{00000000-0005-0000-0000-000016090000}"/>
    <cellStyle name="Comma 4 3 2 2 10 2" xfId="13060" xr:uid="{35F10E11-6910-4527-BCA4-8105B46683C1}"/>
    <cellStyle name="Comma 4 3 2 2 11" xfId="8842" xr:uid="{5D733BA3-25FF-4DE7-B82D-D1AC541CC36F}"/>
    <cellStyle name="Comma 4 3 2 2 2" xfId="147" xr:uid="{00000000-0005-0000-0000-000017090000}"/>
    <cellStyle name="Comma 4 3 2 2 2 10" xfId="8843" xr:uid="{B16186F6-DC92-4E5B-B8D8-9EE47B2ED798}"/>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B09080FA-00C3-4A1F-AC0F-9EBF07CF4A6A}"/>
    <cellStyle name="Comma 4 3 2 2 2 2 2 3" xfId="11402" xr:uid="{1A92CCE8-82A1-49FF-A266-321B8DFAB03D}"/>
    <cellStyle name="Comma 4 3 2 2 2 2 3" xfId="5033" xr:uid="{00000000-0005-0000-0000-00001B090000}"/>
    <cellStyle name="Comma 4 3 2 2 2 2 3 2" xfId="13475" xr:uid="{BA37F29E-C181-4CC6-BF98-74912ED6B818}"/>
    <cellStyle name="Comma 4 3 2 2 2 2 4" xfId="9257" xr:uid="{EE211AA3-6581-45C2-9DF8-6884421E3C1A}"/>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CD041B7B-AEC8-4D9D-87B4-F55CF0C2DFF6}"/>
    <cellStyle name="Comma 4 3 2 2 2 3 2 3" xfId="11815" xr:uid="{C5E4EC5F-59BA-43EE-83FB-CE377043759B}"/>
    <cellStyle name="Comma 4 3 2 2 2 3 3" xfId="5446" xr:uid="{00000000-0005-0000-0000-00001F090000}"/>
    <cellStyle name="Comma 4 3 2 2 2 3 3 2" xfId="13888" xr:uid="{28EDDBAF-B921-447C-A1BB-9125571139FF}"/>
    <cellStyle name="Comma 4 3 2 2 2 3 4" xfId="9670" xr:uid="{99A3C2BB-1E67-427A-B00A-BD54A33B68F2}"/>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AC3CDB73-BA3C-48B6-BD6E-FB6E0973F06D}"/>
    <cellStyle name="Comma 4 3 2 2 2 4 2 3" xfId="12228" xr:uid="{A592CBE4-A0AA-497B-BE45-E88F2BD69969}"/>
    <cellStyle name="Comma 4 3 2 2 2 4 3" xfId="5859" xr:uid="{00000000-0005-0000-0000-000023090000}"/>
    <cellStyle name="Comma 4 3 2 2 2 4 3 2" xfId="14301" xr:uid="{E0168829-3B4F-4CC1-B3E9-171ABDE1E70D}"/>
    <cellStyle name="Comma 4 3 2 2 2 4 4" xfId="10083" xr:uid="{FAE5A2A5-9067-4434-B6A4-6B1FB9DE5914}"/>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86683702-F14D-486F-912B-8B87945446F1}"/>
    <cellStyle name="Comma 4 3 2 2 2 5 2 3" xfId="12641" xr:uid="{1F71E583-EB41-4A68-84AD-15680AE832C4}"/>
    <cellStyle name="Comma 4 3 2 2 2 5 3" xfId="6272" xr:uid="{00000000-0005-0000-0000-000027090000}"/>
    <cellStyle name="Comma 4 3 2 2 2 5 3 2" xfId="14714" xr:uid="{4A3F7524-5B02-438D-BDEE-6072E95D2EA9}"/>
    <cellStyle name="Comma 4 3 2 2 2 5 4" xfId="10496" xr:uid="{7330CDA7-3930-483E-8B88-0B79B1D00B6C}"/>
    <cellStyle name="Comma 4 3 2 2 2 6" xfId="2400" xr:uid="{00000000-0005-0000-0000-000028090000}"/>
    <cellStyle name="Comma 4 3 2 2 2 6 2" xfId="6685" xr:uid="{00000000-0005-0000-0000-000029090000}"/>
    <cellStyle name="Comma 4 3 2 2 2 6 2 2" xfId="15127" xr:uid="{86814B9C-C89A-4B22-A4FE-EA99D09BD592}"/>
    <cellStyle name="Comma 4 3 2 2 2 6 3" xfId="10909" xr:uid="{70919AAB-6BAE-4031-AF1C-7CDCA77F89C3}"/>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406B9E9C-08BA-4665-9BF3-F5D4AAAB8FF3}"/>
    <cellStyle name="Comma 4 3 2 2 2 8 3" xfId="11226" xr:uid="{77628C01-045C-45C3-9D2E-C313C17F483A}"/>
    <cellStyle name="Comma 4 3 2 2 2 9" xfId="4619" xr:uid="{00000000-0005-0000-0000-00002D090000}"/>
    <cellStyle name="Comma 4 3 2 2 2 9 2" xfId="13061" xr:uid="{D9D0EAC3-8BD8-44FA-B7BC-83BC14DAB3F8}"/>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26B7088B-3FCB-40AC-BCC5-577711D0AAEE}"/>
    <cellStyle name="Comma 4 3 2 2 3 2 3" xfId="11401" xr:uid="{88204A87-5BBD-41B7-842B-269377F82422}"/>
    <cellStyle name="Comma 4 3 2 2 3 3" xfId="5032" xr:uid="{00000000-0005-0000-0000-000031090000}"/>
    <cellStyle name="Comma 4 3 2 2 3 3 2" xfId="13474" xr:uid="{F1017B0A-2E9E-421D-9C64-899F07C07026}"/>
    <cellStyle name="Comma 4 3 2 2 3 4" xfId="9256" xr:uid="{46DF921A-E00D-4BBC-B21B-3A652D09C49C}"/>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D8856BB9-2297-437F-937D-2E6A43D77FD3}"/>
    <cellStyle name="Comma 4 3 2 2 4 2 3" xfId="11814" xr:uid="{F316D5A0-8688-49B8-95F4-491B9031ED4B}"/>
    <cellStyle name="Comma 4 3 2 2 4 3" xfId="5445" xr:uid="{00000000-0005-0000-0000-000035090000}"/>
    <cellStyle name="Comma 4 3 2 2 4 3 2" xfId="13887" xr:uid="{D9B97B8D-E78C-46BC-ABE1-BBF9E7403166}"/>
    <cellStyle name="Comma 4 3 2 2 4 4" xfId="9669" xr:uid="{D2491643-65A2-4ACD-A163-871C0C775B68}"/>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BD80581F-396C-49DF-8774-661408316341}"/>
    <cellStyle name="Comma 4 3 2 2 5 2 3" xfId="12227" xr:uid="{E12771E5-8B26-47CC-8C04-B2C579D10087}"/>
    <cellStyle name="Comma 4 3 2 2 5 3" xfId="5858" xr:uid="{00000000-0005-0000-0000-000039090000}"/>
    <cellStyle name="Comma 4 3 2 2 5 3 2" xfId="14300" xr:uid="{7818C2A4-2971-478D-BA26-B4723D904149}"/>
    <cellStyle name="Comma 4 3 2 2 5 4" xfId="10082" xr:uid="{32376C07-A407-4F8B-BF00-E28A4952FA4B}"/>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36D1BB17-818D-4CC7-84B6-D637AD871805}"/>
    <cellStyle name="Comma 4 3 2 2 6 2 3" xfId="12640" xr:uid="{51CA9479-82D0-4219-B71D-52936D30BF46}"/>
    <cellStyle name="Comma 4 3 2 2 6 3" xfId="6271" xr:uid="{00000000-0005-0000-0000-00003D090000}"/>
    <cellStyle name="Comma 4 3 2 2 6 3 2" xfId="14713" xr:uid="{DEBEE97B-8E46-4A7D-BD19-2CE206F4F73E}"/>
    <cellStyle name="Comma 4 3 2 2 6 4" xfId="10495" xr:uid="{B034E9D4-38C1-4270-8931-8D2408363097}"/>
    <cellStyle name="Comma 4 3 2 2 7" xfId="2399" xr:uid="{00000000-0005-0000-0000-00003E090000}"/>
    <cellStyle name="Comma 4 3 2 2 7 2" xfId="6684" xr:uid="{00000000-0005-0000-0000-00003F090000}"/>
    <cellStyle name="Comma 4 3 2 2 7 2 2" xfId="15126" xr:uid="{6CDA3D30-944A-480C-8856-8D43BCDBC165}"/>
    <cellStyle name="Comma 4 3 2 2 7 3" xfId="10908" xr:uid="{64CE921D-9681-4FB1-9E49-E37102E5BD22}"/>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21E4E463-8634-443F-8FB6-0B26C04DD72C}"/>
    <cellStyle name="Comma 4 3 2 2 9 3" xfId="11225" xr:uid="{4FC3EE69-C9AC-43F3-A98C-FE37C3017C60}"/>
    <cellStyle name="Comma 4 3 2 3" xfId="148" xr:uid="{00000000-0005-0000-0000-000043090000}"/>
    <cellStyle name="Comma 4 3 2 3 10" xfId="8844" xr:uid="{DFF29B10-6BD4-47E2-8C61-3AFE1D269D0E}"/>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B775F293-845E-4756-B641-E70B52CE5493}"/>
    <cellStyle name="Comma 4 3 2 3 2 2 3" xfId="11403" xr:uid="{5D4C29D3-9490-4AF4-9CEE-743E87DA2BE6}"/>
    <cellStyle name="Comma 4 3 2 3 2 3" xfId="5034" xr:uid="{00000000-0005-0000-0000-000047090000}"/>
    <cellStyle name="Comma 4 3 2 3 2 3 2" xfId="13476" xr:uid="{7EA7D40A-CBB9-484D-9531-07E2DC349322}"/>
    <cellStyle name="Comma 4 3 2 3 2 4" xfId="9258" xr:uid="{B6DF024D-73AD-47AE-948A-4ADE49093415}"/>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20848EBB-B9EC-42D4-A45D-286295CF7D5D}"/>
    <cellStyle name="Comma 4 3 2 3 3 2 3" xfId="11816" xr:uid="{B301112B-9C50-4EBD-95C7-7EF655998D6F}"/>
    <cellStyle name="Comma 4 3 2 3 3 3" xfId="5447" xr:uid="{00000000-0005-0000-0000-00004B090000}"/>
    <cellStyle name="Comma 4 3 2 3 3 3 2" xfId="13889" xr:uid="{23BCA8B2-3CFD-45E1-9753-27D6D1E18A5C}"/>
    <cellStyle name="Comma 4 3 2 3 3 4" xfId="9671" xr:uid="{352353DA-26CF-4FAD-BB05-67334D9EC356}"/>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2405FA24-0986-472D-B0DB-30808530A34D}"/>
    <cellStyle name="Comma 4 3 2 3 4 2 3" xfId="12229" xr:uid="{6DD55BFF-8486-409F-A5BB-ADB07E71116C}"/>
    <cellStyle name="Comma 4 3 2 3 4 3" xfId="5860" xr:uid="{00000000-0005-0000-0000-00004F090000}"/>
    <cellStyle name="Comma 4 3 2 3 4 3 2" xfId="14302" xr:uid="{5F1B658D-CABA-4825-8415-04FCA7020E68}"/>
    <cellStyle name="Comma 4 3 2 3 4 4" xfId="10084" xr:uid="{126D5F15-E254-4D1D-819F-7450CE732BE8}"/>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0358311C-47E8-4DF0-B2D7-2137775DEB04}"/>
    <cellStyle name="Comma 4 3 2 3 5 2 3" xfId="12642" xr:uid="{6487145A-C86F-4C23-898F-7EEB42DE0B03}"/>
    <cellStyle name="Comma 4 3 2 3 5 3" xfId="6273" xr:uid="{00000000-0005-0000-0000-000053090000}"/>
    <cellStyle name="Comma 4 3 2 3 5 3 2" xfId="14715" xr:uid="{B7232CA3-F685-43A7-B403-48A4ABD5FA47}"/>
    <cellStyle name="Comma 4 3 2 3 5 4" xfId="10497" xr:uid="{69A3685E-DE2B-4FB6-8CA5-FCCA5F87BB53}"/>
    <cellStyle name="Comma 4 3 2 3 6" xfId="2401" xr:uid="{00000000-0005-0000-0000-000054090000}"/>
    <cellStyle name="Comma 4 3 2 3 6 2" xfId="6686" xr:uid="{00000000-0005-0000-0000-000055090000}"/>
    <cellStyle name="Comma 4 3 2 3 6 2 2" xfId="15128" xr:uid="{92932DBE-6CCB-4392-8E02-42485B33A0F7}"/>
    <cellStyle name="Comma 4 3 2 3 6 3" xfId="10910" xr:uid="{6207070F-2F4C-457C-84DF-4740E9872BB9}"/>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A08C0782-E7BD-4B5D-A9AC-12A7370A680D}"/>
    <cellStyle name="Comma 4 3 2 3 8 3" xfId="11227" xr:uid="{19487159-84E1-4F27-A807-217BDFD18A11}"/>
    <cellStyle name="Comma 4 3 2 3 9" xfId="4620" xr:uid="{00000000-0005-0000-0000-000059090000}"/>
    <cellStyle name="Comma 4 3 2 3 9 2" xfId="13062" xr:uid="{199AAE20-F4CD-46EB-A2DE-A71A3497F526}"/>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ED6F36FA-AA1F-4C0F-8056-B82E88C90F07}"/>
    <cellStyle name="Comma 4 3 2 4 2 3" xfId="11400" xr:uid="{27D78157-ABD1-4DE3-A3B9-A7AF29E8BBBB}"/>
    <cellStyle name="Comma 4 3 2 4 3" xfId="5031" xr:uid="{00000000-0005-0000-0000-00005D090000}"/>
    <cellStyle name="Comma 4 3 2 4 3 2" xfId="13473" xr:uid="{8FEE3BE2-E588-427E-AF18-FB35AA6189FF}"/>
    <cellStyle name="Comma 4 3 2 4 4" xfId="9255" xr:uid="{3D5EDD6D-58E8-43CD-95D8-F4EE34AE8819}"/>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10238192-C2AD-4FCB-88B2-D8943E5ADC41}"/>
    <cellStyle name="Comma 4 3 2 5 2 3" xfId="11813" xr:uid="{DD4C2229-73F8-4A2E-9503-4B2CC6FCE603}"/>
    <cellStyle name="Comma 4 3 2 5 3" xfId="5444" xr:uid="{00000000-0005-0000-0000-000061090000}"/>
    <cellStyle name="Comma 4 3 2 5 3 2" xfId="13886" xr:uid="{0606F205-0654-40A4-842B-60499596A668}"/>
    <cellStyle name="Comma 4 3 2 5 4" xfId="9668" xr:uid="{CCD5F1BE-44B1-4F10-A538-AD51477065FC}"/>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02C799C5-8363-446E-8DC9-1C412C67AE26}"/>
    <cellStyle name="Comma 4 3 2 6 2 3" xfId="12226" xr:uid="{3DA9AF0E-659C-4E76-B294-73DCB4168FD6}"/>
    <cellStyle name="Comma 4 3 2 6 3" xfId="5857" xr:uid="{00000000-0005-0000-0000-000065090000}"/>
    <cellStyle name="Comma 4 3 2 6 3 2" xfId="14299" xr:uid="{5FE3F85A-1ADA-4CD7-80A1-D9AAEB85FBED}"/>
    <cellStyle name="Comma 4 3 2 6 4" xfId="10081" xr:uid="{F468C70F-976E-463E-894C-AEB1357F4D24}"/>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462B31A5-763F-451C-B543-DD8CCCE5FFF9}"/>
    <cellStyle name="Comma 4 3 2 7 2 3" xfId="12639" xr:uid="{0CC019B6-04E6-4D2D-BF3D-7121EC1B1744}"/>
    <cellStyle name="Comma 4 3 2 7 3" xfId="6270" xr:uid="{00000000-0005-0000-0000-000069090000}"/>
    <cellStyle name="Comma 4 3 2 7 3 2" xfId="14712" xr:uid="{B6550E1B-9255-43F1-89B0-680C941A3578}"/>
    <cellStyle name="Comma 4 3 2 7 4" xfId="10494" xr:uid="{8556D0E3-382F-4617-AE50-5265DC546ED7}"/>
    <cellStyle name="Comma 4 3 2 8" xfId="2398" xr:uid="{00000000-0005-0000-0000-00006A090000}"/>
    <cellStyle name="Comma 4 3 2 8 2" xfId="6683" xr:uid="{00000000-0005-0000-0000-00006B090000}"/>
    <cellStyle name="Comma 4 3 2 8 2 2" xfId="15125" xr:uid="{55AF542D-328A-4028-BEAE-D0B97F452B1C}"/>
    <cellStyle name="Comma 4 3 2 8 3" xfId="10907" xr:uid="{8EE82846-650B-4C36-9825-D1EC585BE70F}"/>
    <cellStyle name="Comma 4 3 2 9" xfId="2365" xr:uid="{00000000-0005-0000-0000-00006C090000}"/>
    <cellStyle name="Comma 4 3 3" xfId="149" xr:uid="{00000000-0005-0000-0000-00006D090000}"/>
    <cellStyle name="Comma 4 3 3 10" xfId="4621" xr:uid="{00000000-0005-0000-0000-00006E090000}"/>
    <cellStyle name="Comma 4 3 3 10 2" xfId="13063" xr:uid="{B50CB937-1191-44DC-8643-E7FA1EE62BC9}"/>
    <cellStyle name="Comma 4 3 3 11" xfId="8845" xr:uid="{326A4713-EC89-4A1F-A99A-D5ECBAF6599E}"/>
    <cellStyle name="Comma 4 3 3 2" xfId="150" xr:uid="{00000000-0005-0000-0000-00006F090000}"/>
    <cellStyle name="Comma 4 3 3 2 10" xfId="8846" xr:uid="{F4EF443A-52A9-41A9-BC41-1F59818171B5}"/>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4B912A6D-AA3A-4AD0-BA23-7340459E8CDB}"/>
    <cellStyle name="Comma 4 3 3 2 2 2 3" xfId="11405" xr:uid="{740AD7AC-1044-4929-B07D-ADDB9E2C276C}"/>
    <cellStyle name="Comma 4 3 3 2 2 3" xfId="5036" xr:uid="{00000000-0005-0000-0000-000073090000}"/>
    <cellStyle name="Comma 4 3 3 2 2 3 2" xfId="13478" xr:uid="{F6CDAD76-251F-4CA0-A234-1503F40957C1}"/>
    <cellStyle name="Comma 4 3 3 2 2 4" xfId="9260" xr:uid="{9A0886F1-9C68-4D28-AF5E-CB7B47834DBF}"/>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55D9F755-8355-404E-835F-7DFEBEACEE9E}"/>
    <cellStyle name="Comma 4 3 3 2 3 2 3" xfId="11818" xr:uid="{E1AF543B-BECE-49AD-B11E-6820BFABE2BE}"/>
    <cellStyle name="Comma 4 3 3 2 3 3" xfId="5449" xr:uid="{00000000-0005-0000-0000-000077090000}"/>
    <cellStyle name="Comma 4 3 3 2 3 3 2" xfId="13891" xr:uid="{D26F5659-7CBF-46C4-8696-C940D4DB5113}"/>
    <cellStyle name="Comma 4 3 3 2 3 4" xfId="9673" xr:uid="{1022D7BC-F9DA-4AF2-87D9-1A52B4A44A93}"/>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B8BCBA24-BD26-48A2-847B-E33A59063B2A}"/>
    <cellStyle name="Comma 4 3 3 2 4 2 3" xfId="12231" xr:uid="{A482C7EF-32BF-43C5-A468-3B3145D49C4E}"/>
    <cellStyle name="Comma 4 3 3 2 4 3" xfId="5862" xr:uid="{00000000-0005-0000-0000-00007B090000}"/>
    <cellStyle name="Comma 4 3 3 2 4 3 2" xfId="14304" xr:uid="{5A20532C-756F-468F-85A1-999C621C306D}"/>
    <cellStyle name="Comma 4 3 3 2 4 4" xfId="10086" xr:uid="{26987E2C-AA41-4CF9-A8C3-99292AB53EEB}"/>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67ADA210-5295-4847-9097-693F7BF14293}"/>
    <cellStyle name="Comma 4 3 3 2 5 2 3" xfId="12644" xr:uid="{A421680E-CE36-4BF9-92C7-DEDF9DFB37F2}"/>
    <cellStyle name="Comma 4 3 3 2 5 3" xfId="6275" xr:uid="{00000000-0005-0000-0000-00007F090000}"/>
    <cellStyle name="Comma 4 3 3 2 5 3 2" xfId="14717" xr:uid="{9666A051-75F1-4A68-98EC-22DC034C8EE9}"/>
    <cellStyle name="Comma 4 3 3 2 5 4" xfId="10499" xr:uid="{4F0171EF-70AF-4917-9451-DADDD88690D3}"/>
    <cellStyle name="Comma 4 3 3 2 6" xfId="2403" xr:uid="{00000000-0005-0000-0000-000080090000}"/>
    <cellStyle name="Comma 4 3 3 2 6 2" xfId="6688" xr:uid="{00000000-0005-0000-0000-000081090000}"/>
    <cellStyle name="Comma 4 3 3 2 6 2 2" xfId="15130" xr:uid="{E20A8240-BEE7-40B5-8AE4-0108382CA109}"/>
    <cellStyle name="Comma 4 3 3 2 6 3" xfId="10912" xr:uid="{6648A7FF-6084-4DD5-975F-DA44E0976B75}"/>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E35E0165-24C7-4400-BB02-79CE55BF15CC}"/>
    <cellStyle name="Comma 4 3 3 2 8 3" xfId="11229" xr:uid="{F072D9BB-0247-400F-92AF-B1E2461634DD}"/>
    <cellStyle name="Comma 4 3 3 2 9" xfId="4622" xr:uid="{00000000-0005-0000-0000-000085090000}"/>
    <cellStyle name="Comma 4 3 3 2 9 2" xfId="13064" xr:uid="{4413CECC-DA42-4905-8B27-BE668A2CC916}"/>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0378B7C0-CAD8-420A-8B56-6A5131C12188}"/>
    <cellStyle name="Comma 4 3 3 3 2 3" xfId="11404" xr:uid="{114CDC3C-4DDC-4DFA-BE2F-805ADA8BDC48}"/>
    <cellStyle name="Comma 4 3 3 3 3" xfId="5035" xr:uid="{00000000-0005-0000-0000-000089090000}"/>
    <cellStyle name="Comma 4 3 3 3 3 2" xfId="13477" xr:uid="{1BEF69AD-DD2A-4995-9B0A-2BCD117FF023}"/>
    <cellStyle name="Comma 4 3 3 3 4" xfId="9259" xr:uid="{C6CAC5A9-1B6A-4DE6-8BC0-555EAC8630AF}"/>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B2D69462-A48E-45CC-82A8-2AE18F445A46}"/>
    <cellStyle name="Comma 4 3 3 4 2 3" xfId="11817" xr:uid="{C1B21F68-4951-44F4-A22C-8D8C4CE1600A}"/>
    <cellStyle name="Comma 4 3 3 4 3" xfId="5448" xr:uid="{00000000-0005-0000-0000-00008D090000}"/>
    <cellStyle name="Comma 4 3 3 4 3 2" xfId="13890" xr:uid="{2CF1B233-718B-42C6-9FFE-23FDFD98D443}"/>
    <cellStyle name="Comma 4 3 3 4 4" xfId="9672" xr:uid="{85D66C16-A0EB-4F83-B0DD-DD1D56BCFE83}"/>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41E29FA7-5DBF-48A1-BA0E-2AF3D011258F}"/>
    <cellStyle name="Comma 4 3 3 5 2 3" xfId="12230" xr:uid="{FE87D346-1080-4741-97FC-01336AC177BB}"/>
    <cellStyle name="Comma 4 3 3 5 3" xfId="5861" xr:uid="{00000000-0005-0000-0000-000091090000}"/>
    <cellStyle name="Comma 4 3 3 5 3 2" xfId="14303" xr:uid="{F0DFE564-925B-464A-A5FF-14F518F5B664}"/>
    <cellStyle name="Comma 4 3 3 5 4" xfId="10085" xr:uid="{10F49CAA-8356-4022-9019-93F87EF786EF}"/>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1FF7B8AE-DF51-4C08-90A4-DC43CB22C304}"/>
    <cellStyle name="Comma 4 3 3 6 2 3" xfId="12643" xr:uid="{CECE0DB3-FDEA-4A9D-BD18-3780CEBD9774}"/>
    <cellStyle name="Comma 4 3 3 6 3" xfId="6274" xr:uid="{00000000-0005-0000-0000-000095090000}"/>
    <cellStyle name="Comma 4 3 3 6 3 2" xfId="14716" xr:uid="{11DC20B9-36ED-4C69-AE7F-417F2D848C73}"/>
    <cellStyle name="Comma 4 3 3 6 4" xfId="10498" xr:uid="{5F3656F9-31CC-4922-8223-9423D2301767}"/>
    <cellStyle name="Comma 4 3 3 7" xfId="2402" xr:uid="{00000000-0005-0000-0000-000096090000}"/>
    <cellStyle name="Comma 4 3 3 7 2" xfId="6687" xr:uid="{00000000-0005-0000-0000-000097090000}"/>
    <cellStyle name="Comma 4 3 3 7 2 2" xfId="15129" xr:uid="{347201EC-BF4B-4F46-976B-FE1AFF149D05}"/>
    <cellStyle name="Comma 4 3 3 7 3" xfId="10911" xr:uid="{1AF8A5E2-ED7D-4C58-93EE-362A5CA0C78D}"/>
    <cellStyle name="Comma 4 3 3 8" xfId="2361" xr:uid="{00000000-0005-0000-0000-000098090000}"/>
    <cellStyle name="Comma 4 3 3 9" xfId="2780" xr:uid="{00000000-0005-0000-0000-000099090000}"/>
    <cellStyle name="Comma 4 3 3 9 2" xfId="7004" xr:uid="{00000000-0005-0000-0000-00009A090000}"/>
    <cellStyle name="Comma 4 3 3 9 2 2" xfId="15446" xr:uid="{F9A56548-4142-4CB1-B07A-8140186227B1}"/>
    <cellStyle name="Comma 4 3 3 9 3" xfId="11228" xr:uid="{6173069F-A3CB-4BF0-AA16-D9E6D6FF9AFE}"/>
    <cellStyle name="Comma 4 3 4" xfId="151" xr:uid="{00000000-0005-0000-0000-00009B090000}"/>
    <cellStyle name="Comma 4 3 4 10" xfId="8847" xr:uid="{44A4825D-71A5-4351-8522-C16AB56E442C}"/>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4A7A6B54-3578-4CE1-9A2E-3FA4C62C9602}"/>
    <cellStyle name="Comma 4 3 4 2 2 3" xfId="11406" xr:uid="{FD89A2A6-1164-43AC-A187-97A294AAE7CC}"/>
    <cellStyle name="Comma 4 3 4 2 3" xfId="5037" xr:uid="{00000000-0005-0000-0000-00009F090000}"/>
    <cellStyle name="Comma 4 3 4 2 3 2" xfId="13479" xr:uid="{2B7A2799-EDB0-4C2F-A189-390EDF2B099F}"/>
    <cellStyle name="Comma 4 3 4 2 4" xfId="9261" xr:uid="{4EBB6285-7BB4-4954-91AE-A1263B8EE949}"/>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063CE6BE-970C-44E4-AB4D-5C39AD2DC038}"/>
    <cellStyle name="Comma 4 3 4 3 2 3" xfId="11819" xr:uid="{D61919D3-D320-426C-8E8C-DBEE0F00DC19}"/>
    <cellStyle name="Comma 4 3 4 3 3" xfId="5450" xr:uid="{00000000-0005-0000-0000-0000A3090000}"/>
    <cellStyle name="Comma 4 3 4 3 3 2" xfId="13892" xr:uid="{31042EC2-F9C6-4C7E-8A5B-5A9F78DC6B8D}"/>
    <cellStyle name="Comma 4 3 4 3 4" xfId="9674" xr:uid="{0B716E10-4BA5-4EDF-9332-0883D46D7177}"/>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227BF2FF-B8B0-48A4-A9FD-69BD6B10ABD4}"/>
    <cellStyle name="Comma 4 3 4 4 2 3" xfId="12232" xr:uid="{E88BC2C7-88A8-405B-816C-A6B4098B5BF0}"/>
    <cellStyle name="Comma 4 3 4 4 3" xfId="5863" xr:uid="{00000000-0005-0000-0000-0000A7090000}"/>
    <cellStyle name="Comma 4 3 4 4 3 2" xfId="14305" xr:uid="{FA3C2C70-486C-4576-A86E-E3B066CE9506}"/>
    <cellStyle name="Comma 4 3 4 4 4" xfId="10087" xr:uid="{AAC3EF52-CC55-4C99-8FE4-2623898B8CBF}"/>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FED2145F-B19E-4E62-8B8C-173B2294F889}"/>
    <cellStyle name="Comma 4 3 4 5 2 3" xfId="12645" xr:uid="{E200D089-29A8-4E0C-A094-120833B84FC6}"/>
    <cellStyle name="Comma 4 3 4 5 3" xfId="6276" xr:uid="{00000000-0005-0000-0000-0000AB090000}"/>
    <cellStyle name="Comma 4 3 4 5 3 2" xfId="14718" xr:uid="{B0E1E615-54A8-4FCC-9B5A-FCDDA92AD5E7}"/>
    <cellStyle name="Comma 4 3 4 5 4" xfId="10500" xr:uid="{226AC8D6-BBBF-4D11-801A-09B1B169F80E}"/>
    <cellStyle name="Comma 4 3 4 6" xfId="2404" xr:uid="{00000000-0005-0000-0000-0000AC090000}"/>
    <cellStyle name="Comma 4 3 4 6 2" xfId="6689" xr:uid="{00000000-0005-0000-0000-0000AD090000}"/>
    <cellStyle name="Comma 4 3 4 6 2 2" xfId="15131" xr:uid="{17E4F776-3CBF-47D0-A048-D07F8031529C}"/>
    <cellStyle name="Comma 4 3 4 6 3" xfId="10913" xr:uid="{270A9902-4B2E-4315-9937-560D7C8B7786}"/>
    <cellStyle name="Comma 4 3 4 7" xfId="2700" xr:uid="{00000000-0005-0000-0000-0000AE090000}"/>
    <cellStyle name="Comma 4 3 4 8" xfId="2782" xr:uid="{00000000-0005-0000-0000-0000AF090000}"/>
    <cellStyle name="Comma 4 3 4 8 2" xfId="7006" xr:uid="{00000000-0005-0000-0000-0000B0090000}"/>
    <cellStyle name="Comma 4 3 4 8 2 2" xfId="15448" xr:uid="{8E3DB6DF-D63F-412C-A94B-EED1D27A345B}"/>
    <cellStyle name="Comma 4 3 4 8 3" xfId="11230" xr:uid="{277A98C1-EAD9-49D3-B154-3BEF300F5D38}"/>
    <cellStyle name="Comma 4 3 4 9" xfId="4623" xr:uid="{00000000-0005-0000-0000-0000B1090000}"/>
    <cellStyle name="Comma 4 3 4 9 2" xfId="13065" xr:uid="{BE3D56AE-F717-428B-A3C4-19850729F499}"/>
    <cellStyle name="Comma 4 3 5" xfId="152" xr:uid="{00000000-0005-0000-0000-0000B2090000}"/>
    <cellStyle name="Comma 4 3 5 10" xfId="8848" xr:uid="{AE80FA3E-66D2-4D0A-9062-E7B1DDDFAC2D}"/>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328AAD9D-3EFB-43CB-992F-4A47AB1D7B7B}"/>
    <cellStyle name="Comma 4 3 5 2 2 3" xfId="11407" xr:uid="{13E2EFB5-0D73-493A-A2EB-C188CE11EF18}"/>
    <cellStyle name="Comma 4 3 5 2 3" xfId="5038" xr:uid="{00000000-0005-0000-0000-0000B6090000}"/>
    <cellStyle name="Comma 4 3 5 2 3 2" xfId="13480" xr:uid="{1B15D8DE-4DA5-4975-9451-3DC70748BE3C}"/>
    <cellStyle name="Comma 4 3 5 2 4" xfId="9262" xr:uid="{DA37F091-AB25-4D61-B746-5AE42D410010}"/>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0AEA7BD8-85A1-4DC2-8684-2161279728AE}"/>
    <cellStyle name="Comma 4 3 5 3 2 3" xfId="11820" xr:uid="{464A548A-3E6D-4488-9767-4794EDD7E0CE}"/>
    <cellStyle name="Comma 4 3 5 3 3" xfId="5451" xr:uid="{00000000-0005-0000-0000-0000BA090000}"/>
    <cellStyle name="Comma 4 3 5 3 3 2" xfId="13893" xr:uid="{F8012BCB-0836-4D1C-81AB-D3C192F4836B}"/>
    <cellStyle name="Comma 4 3 5 3 4" xfId="9675" xr:uid="{F65F29B4-9F77-4735-8725-791F0D3ED9E8}"/>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EA2232CA-A476-4007-9DEF-14A86DFE2EDE}"/>
    <cellStyle name="Comma 4 3 5 4 2 3" xfId="12233" xr:uid="{D659BF14-8FC5-4DC0-A5CF-774C4DAABD0C}"/>
    <cellStyle name="Comma 4 3 5 4 3" xfId="5864" xr:uid="{00000000-0005-0000-0000-0000BE090000}"/>
    <cellStyle name="Comma 4 3 5 4 3 2" xfId="14306" xr:uid="{174FCA20-6C9B-4229-935D-7DC5C1AC2DFB}"/>
    <cellStyle name="Comma 4 3 5 4 4" xfId="10088" xr:uid="{6C03DF84-C946-48A7-A7F9-A1850F84D6A9}"/>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1EDF3C94-09B4-45FF-91FC-3E22F7E69E81}"/>
    <cellStyle name="Comma 4 3 5 5 2 3" xfId="12646" xr:uid="{C05D305B-2B1B-44B2-9306-76770D4334C8}"/>
    <cellStyle name="Comma 4 3 5 5 3" xfId="6277" xr:uid="{00000000-0005-0000-0000-0000C2090000}"/>
    <cellStyle name="Comma 4 3 5 5 3 2" xfId="14719" xr:uid="{4EDDFA2E-ABAE-4109-BC0A-F622BA352170}"/>
    <cellStyle name="Comma 4 3 5 5 4" xfId="10501" xr:uid="{E63D54AA-8FD8-44B2-BBFE-E92F82BF2FEE}"/>
    <cellStyle name="Comma 4 3 5 6" xfId="2405" xr:uid="{00000000-0005-0000-0000-0000C3090000}"/>
    <cellStyle name="Comma 4 3 5 6 2" xfId="6690" xr:uid="{00000000-0005-0000-0000-0000C4090000}"/>
    <cellStyle name="Comma 4 3 5 6 2 2" xfId="15132" xr:uid="{AF53E981-BDF7-407C-8AD2-2C25B6CBC5A2}"/>
    <cellStyle name="Comma 4 3 5 6 3" xfId="10914" xr:uid="{6B6E2641-7FC7-4D3E-B5F2-36C928B15C7E}"/>
    <cellStyle name="Comma 4 3 5 7" xfId="2701" xr:uid="{00000000-0005-0000-0000-0000C5090000}"/>
    <cellStyle name="Comma 4 3 5 8" xfId="2783" xr:uid="{00000000-0005-0000-0000-0000C6090000}"/>
    <cellStyle name="Comma 4 3 5 8 2" xfId="7007" xr:uid="{00000000-0005-0000-0000-0000C7090000}"/>
    <cellStyle name="Comma 4 3 5 8 2 2" xfId="15449" xr:uid="{A63AD24C-0E3D-4944-9C1D-C2310973E122}"/>
    <cellStyle name="Comma 4 3 5 8 3" xfId="11231" xr:uid="{5F3AA308-A314-41B7-A7E7-F194091CCA08}"/>
    <cellStyle name="Comma 4 3 5 9" xfId="4624" xr:uid="{00000000-0005-0000-0000-0000C8090000}"/>
    <cellStyle name="Comma 4 3 5 9 2" xfId="13066" xr:uid="{BDE330E6-71CF-4ACC-9E53-B122A384BBFD}"/>
    <cellStyle name="Comma 4 4" xfId="153" xr:uid="{00000000-0005-0000-0000-0000C9090000}"/>
    <cellStyle name="Comma 4 4 10" xfId="2784" xr:uid="{00000000-0005-0000-0000-0000CA090000}"/>
    <cellStyle name="Comma 4 4 10 2" xfId="7008" xr:uid="{00000000-0005-0000-0000-0000CB090000}"/>
    <cellStyle name="Comma 4 4 10 2 2" xfId="15450" xr:uid="{66655511-3A57-4E42-93A6-C824D59E213A}"/>
    <cellStyle name="Comma 4 4 10 3" xfId="11232" xr:uid="{95616BA0-9AC3-40D0-A76B-AB1D40E21469}"/>
    <cellStyle name="Comma 4 4 11" xfId="4625" xr:uid="{00000000-0005-0000-0000-0000CC090000}"/>
    <cellStyle name="Comma 4 4 11 2" xfId="13067" xr:uid="{1B2F2887-5BF5-4A72-9C7D-BFDC91C0A412}"/>
    <cellStyle name="Comma 4 4 12" xfId="8849" xr:uid="{2F57D87E-E660-4304-8202-4C2E5DC2D0D6}"/>
    <cellStyle name="Comma 4 4 2" xfId="154" xr:uid="{00000000-0005-0000-0000-0000CD090000}"/>
    <cellStyle name="Comma 4 4 2 10" xfId="4626" xr:uid="{00000000-0005-0000-0000-0000CE090000}"/>
    <cellStyle name="Comma 4 4 2 10 2" xfId="13068" xr:uid="{EDF39487-0146-48DC-B6FF-B9F791EE9D6A}"/>
    <cellStyle name="Comma 4 4 2 11" xfId="8850" xr:uid="{FCFA1A95-D417-46ED-A64C-21D5342C1330}"/>
    <cellStyle name="Comma 4 4 2 2" xfId="155" xr:uid="{00000000-0005-0000-0000-0000CF090000}"/>
    <cellStyle name="Comma 4 4 2 2 10" xfId="8851" xr:uid="{74E828F6-8935-45ED-BA6A-89EBEFE1AE31}"/>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DFA7D4D4-2BE8-45B1-AFC6-0F5E636D42A3}"/>
    <cellStyle name="Comma 4 4 2 2 2 2 3" xfId="11410" xr:uid="{C489FD87-FDA1-4EE5-835B-9AAA8C9F3395}"/>
    <cellStyle name="Comma 4 4 2 2 2 3" xfId="5041" xr:uid="{00000000-0005-0000-0000-0000D3090000}"/>
    <cellStyle name="Comma 4 4 2 2 2 3 2" xfId="13483" xr:uid="{9249B78A-023A-4DD8-8E0E-64616446BBC9}"/>
    <cellStyle name="Comma 4 4 2 2 2 4" xfId="9265" xr:uid="{65A8F36A-9464-4448-933A-D193F3DF436A}"/>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82105087-4605-442B-88AC-9CCEF956E688}"/>
    <cellStyle name="Comma 4 4 2 2 3 2 3" xfId="11823" xr:uid="{BF38DBA1-7E5B-451A-AEC5-98BF0D43A40B}"/>
    <cellStyle name="Comma 4 4 2 2 3 3" xfId="5454" xr:uid="{00000000-0005-0000-0000-0000D7090000}"/>
    <cellStyle name="Comma 4 4 2 2 3 3 2" xfId="13896" xr:uid="{96D65289-16B3-4915-AE90-2A6FE2DD753C}"/>
    <cellStyle name="Comma 4 4 2 2 3 4" xfId="9678" xr:uid="{9D486E99-F789-4919-9E5F-34FEC68DF452}"/>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F47D46A4-D4C0-4240-98B5-68907C066049}"/>
    <cellStyle name="Comma 4 4 2 2 4 2 3" xfId="12236" xr:uid="{C84DDD3A-F3F6-41ED-AE10-4AEC108564B0}"/>
    <cellStyle name="Comma 4 4 2 2 4 3" xfId="5867" xr:uid="{00000000-0005-0000-0000-0000DB090000}"/>
    <cellStyle name="Comma 4 4 2 2 4 3 2" xfId="14309" xr:uid="{297CEA3E-AD85-42BA-964D-FCC8751DED48}"/>
    <cellStyle name="Comma 4 4 2 2 4 4" xfId="10091" xr:uid="{75332DF9-B0D6-4D61-942F-D57258FADC1F}"/>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DD994FE8-34D2-4981-A4FD-B6CC8626628D}"/>
    <cellStyle name="Comma 4 4 2 2 5 2 3" xfId="12649" xr:uid="{41BC1C36-1D42-49AB-95DD-CDB907BE59FF}"/>
    <cellStyle name="Comma 4 4 2 2 5 3" xfId="6280" xr:uid="{00000000-0005-0000-0000-0000DF090000}"/>
    <cellStyle name="Comma 4 4 2 2 5 3 2" xfId="14722" xr:uid="{3C8C4C1A-A23C-4D7E-8049-77BACB806949}"/>
    <cellStyle name="Comma 4 4 2 2 5 4" xfId="10504" xr:uid="{A4FBAFEF-CC0C-4051-BF54-9D7E77650ABA}"/>
    <cellStyle name="Comma 4 4 2 2 6" xfId="2408" xr:uid="{00000000-0005-0000-0000-0000E0090000}"/>
    <cellStyle name="Comma 4 4 2 2 6 2" xfId="6693" xr:uid="{00000000-0005-0000-0000-0000E1090000}"/>
    <cellStyle name="Comma 4 4 2 2 6 2 2" xfId="15135" xr:uid="{567C6889-D61E-4B87-B4F2-13CC8B8D7483}"/>
    <cellStyle name="Comma 4 4 2 2 6 3" xfId="10917" xr:uid="{0FF98DA8-F8EA-492E-848F-50A1213A776D}"/>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A6E980C9-A699-47DC-822D-A7CCDDE8ABDB}"/>
    <cellStyle name="Comma 4 4 2 2 8 3" xfId="11234" xr:uid="{2C7A940A-FDB6-40BD-91B1-4C1A8C3A75FA}"/>
    <cellStyle name="Comma 4 4 2 2 9" xfId="4627" xr:uid="{00000000-0005-0000-0000-0000E5090000}"/>
    <cellStyle name="Comma 4 4 2 2 9 2" xfId="13069" xr:uid="{5D44EE1A-0534-49D4-9536-0ACBF10A307F}"/>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78274081-8618-4DB5-8B23-48367B06B0BD}"/>
    <cellStyle name="Comma 4 4 2 3 2 3" xfId="11409" xr:uid="{77AFFD22-C1DC-443E-9F13-2AC4107E3D63}"/>
    <cellStyle name="Comma 4 4 2 3 3" xfId="5040" xr:uid="{00000000-0005-0000-0000-0000E9090000}"/>
    <cellStyle name="Comma 4 4 2 3 3 2" xfId="13482" xr:uid="{A80CCFF2-B3E4-47A1-B4C8-EC30CD26BF49}"/>
    <cellStyle name="Comma 4 4 2 3 4" xfId="9264" xr:uid="{053B8C62-8DA1-4497-993D-B9A86097DAD5}"/>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6943FCBD-8497-452B-AF9B-6BA55B2F3B30}"/>
    <cellStyle name="Comma 4 4 2 4 2 3" xfId="11822" xr:uid="{659C14EC-41BE-4139-806C-984C4C0DEE19}"/>
    <cellStyle name="Comma 4 4 2 4 3" xfId="5453" xr:uid="{00000000-0005-0000-0000-0000ED090000}"/>
    <cellStyle name="Comma 4 4 2 4 3 2" xfId="13895" xr:uid="{A120249C-A4C5-4921-85CA-11ED94CC87F4}"/>
    <cellStyle name="Comma 4 4 2 4 4" xfId="9677" xr:uid="{C532BB7F-B41B-43B8-9696-B68248A7850A}"/>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20183CBF-2FEE-45A7-962F-1BF0F473972C}"/>
    <cellStyle name="Comma 4 4 2 5 2 3" xfId="12235" xr:uid="{3117ED3D-1F8C-497A-8CAA-56968D8C8249}"/>
    <cellStyle name="Comma 4 4 2 5 3" xfId="5866" xr:uid="{00000000-0005-0000-0000-0000F1090000}"/>
    <cellStyle name="Comma 4 4 2 5 3 2" xfId="14308" xr:uid="{3634F44B-1713-4076-85C9-00D11AD74411}"/>
    <cellStyle name="Comma 4 4 2 5 4" xfId="10090" xr:uid="{51DEFFEA-F7D3-43AB-8E64-6B488869A1E1}"/>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4A27EA3E-AAFC-4FB2-9EC4-9293EB92213A}"/>
    <cellStyle name="Comma 4 4 2 6 2 3" xfId="12648" xr:uid="{B8769835-7367-4992-9F93-C3D8B81900CD}"/>
    <cellStyle name="Comma 4 4 2 6 3" xfId="6279" xr:uid="{00000000-0005-0000-0000-0000F5090000}"/>
    <cellStyle name="Comma 4 4 2 6 3 2" xfId="14721" xr:uid="{687C53AE-EEAE-49CA-BFAD-C2E96CDEE1A1}"/>
    <cellStyle name="Comma 4 4 2 6 4" xfId="10503" xr:uid="{DD08F386-34A4-4822-AF26-18685DF06C2D}"/>
    <cellStyle name="Comma 4 4 2 7" xfId="2407" xr:uid="{00000000-0005-0000-0000-0000F6090000}"/>
    <cellStyle name="Comma 4 4 2 7 2" xfId="6692" xr:uid="{00000000-0005-0000-0000-0000F7090000}"/>
    <cellStyle name="Comma 4 4 2 7 2 2" xfId="15134" xr:uid="{0D831DEB-440F-48CF-B7F0-A6F2A4B7BE6F}"/>
    <cellStyle name="Comma 4 4 2 7 3" xfId="10916" xr:uid="{C9ED8B4A-1929-45AB-A83E-A7FB357D6892}"/>
    <cellStyle name="Comma 4 4 2 8" xfId="2703" xr:uid="{00000000-0005-0000-0000-0000F8090000}"/>
    <cellStyle name="Comma 4 4 2 9" xfId="2785" xr:uid="{00000000-0005-0000-0000-0000F9090000}"/>
    <cellStyle name="Comma 4 4 2 9 2" xfId="7009" xr:uid="{00000000-0005-0000-0000-0000FA090000}"/>
    <cellStyle name="Comma 4 4 2 9 2 2" xfId="15451" xr:uid="{415187A1-0B19-4266-8317-C2AA00A0814F}"/>
    <cellStyle name="Comma 4 4 2 9 3" xfId="11233" xr:uid="{F1E07922-B660-422D-8960-910DD2FE76AA}"/>
    <cellStyle name="Comma 4 4 3" xfId="156" xr:uid="{00000000-0005-0000-0000-0000FB090000}"/>
    <cellStyle name="Comma 4 4 3 10" xfId="8852" xr:uid="{1EB3F080-9904-4B90-90C5-A51FC0A2A6ED}"/>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B0D07121-CECD-4F2C-9959-65C8996EA5AF}"/>
    <cellStyle name="Comma 4 4 3 2 2 3" xfId="11411" xr:uid="{C4046E9B-9AA2-4BA4-92D3-3E9C541AFF09}"/>
    <cellStyle name="Comma 4 4 3 2 3" xfId="5042" xr:uid="{00000000-0005-0000-0000-0000FF090000}"/>
    <cellStyle name="Comma 4 4 3 2 3 2" xfId="13484" xr:uid="{28F84327-40A5-4D9D-B9DD-B1E4C3BF20ED}"/>
    <cellStyle name="Comma 4 4 3 2 4" xfId="9266" xr:uid="{203A68A7-BD88-4E58-BDC6-4402FBA03D88}"/>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3509DA95-246F-4DDF-9E43-70FABCB32CAE}"/>
    <cellStyle name="Comma 4 4 3 3 2 3" xfId="11824" xr:uid="{68D0DA00-25B9-4A26-BE1C-1AAB1CD900AA}"/>
    <cellStyle name="Comma 4 4 3 3 3" xfId="5455" xr:uid="{00000000-0005-0000-0000-0000030A0000}"/>
    <cellStyle name="Comma 4 4 3 3 3 2" xfId="13897" xr:uid="{3CCBC2F4-A6DB-4EA2-AE70-EA7E0BF3F741}"/>
    <cellStyle name="Comma 4 4 3 3 4" xfId="9679" xr:uid="{F00DC4D2-CDFC-4135-97C0-165B4F0DBCAE}"/>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D5EB4CFA-C362-4124-A216-1EB3CE06C99B}"/>
    <cellStyle name="Comma 4 4 3 4 2 3" xfId="12237" xr:uid="{8EAFFCDF-8683-47BE-9958-5B044BFEFA73}"/>
    <cellStyle name="Comma 4 4 3 4 3" xfId="5868" xr:uid="{00000000-0005-0000-0000-0000070A0000}"/>
    <cellStyle name="Comma 4 4 3 4 3 2" xfId="14310" xr:uid="{811BD343-B298-4658-A59B-9C5C974322A6}"/>
    <cellStyle name="Comma 4 4 3 4 4" xfId="10092" xr:uid="{37EC8523-B219-4F59-BA80-A7B285046BDB}"/>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8A85E24D-8B34-4B9A-BCDD-51ADF5BB6124}"/>
    <cellStyle name="Comma 4 4 3 5 2 3" xfId="12650" xr:uid="{DA91CF6D-25B2-47A8-81D7-7A3166CAE9A0}"/>
    <cellStyle name="Comma 4 4 3 5 3" xfId="6281" xr:uid="{00000000-0005-0000-0000-00000B0A0000}"/>
    <cellStyle name="Comma 4 4 3 5 3 2" xfId="14723" xr:uid="{B4AA7BA7-2FF3-4CE7-853A-37D4117C191D}"/>
    <cellStyle name="Comma 4 4 3 5 4" xfId="10505" xr:uid="{C172AE7B-48E8-47E4-BFCD-30AABAC8984A}"/>
    <cellStyle name="Comma 4 4 3 6" xfId="2409" xr:uid="{00000000-0005-0000-0000-00000C0A0000}"/>
    <cellStyle name="Comma 4 4 3 6 2" xfId="6694" xr:uid="{00000000-0005-0000-0000-00000D0A0000}"/>
    <cellStyle name="Comma 4 4 3 6 2 2" xfId="15136" xr:uid="{B1200A5A-2C83-4E40-B611-443F03886E17}"/>
    <cellStyle name="Comma 4 4 3 6 3" xfId="10918" xr:uid="{A1789E08-BD5F-4FF1-BC0C-D3A01D01A158}"/>
    <cellStyle name="Comma 4 4 3 7" xfId="2705" xr:uid="{00000000-0005-0000-0000-00000E0A0000}"/>
    <cellStyle name="Comma 4 4 3 8" xfId="2787" xr:uid="{00000000-0005-0000-0000-00000F0A0000}"/>
    <cellStyle name="Comma 4 4 3 8 2" xfId="7011" xr:uid="{00000000-0005-0000-0000-0000100A0000}"/>
    <cellStyle name="Comma 4 4 3 8 2 2" xfId="15453" xr:uid="{A71D464D-B91E-408E-B13A-F6BC2F5ECB2F}"/>
    <cellStyle name="Comma 4 4 3 8 3" xfId="11235" xr:uid="{B3AA7546-B870-48E0-BA2E-830B1F6ADE2A}"/>
    <cellStyle name="Comma 4 4 3 9" xfId="4628" xr:uid="{00000000-0005-0000-0000-0000110A0000}"/>
    <cellStyle name="Comma 4 4 3 9 2" xfId="13070" xr:uid="{2C07913F-1F6C-4DDB-B5A9-FDCF2C1AA93F}"/>
    <cellStyle name="Comma 4 4 4" xfId="690" xr:uid="{00000000-0005-0000-0000-0000120A0000}"/>
    <cellStyle name="Comma 4 4 4 2" xfId="2961" xr:uid="{00000000-0005-0000-0000-0000130A0000}"/>
    <cellStyle name="Comma 4 4 4 2 2" xfId="7184" xr:uid="{00000000-0005-0000-0000-0000140A0000}"/>
    <cellStyle name="Comma 4 4 4 2 2 2" xfId="15626" xr:uid="{67106B1E-C1F7-4836-836C-5C1B8B471AEB}"/>
    <cellStyle name="Comma 4 4 4 2 3" xfId="11408" xr:uid="{6EB98D6E-57A2-4B86-96E8-77DAA4C4557C}"/>
    <cellStyle name="Comma 4 4 4 3" xfId="5039" xr:uid="{00000000-0005-0000-0000-0000150A0000}"/>
    <cellStyle name="Comma 4 4 4 3 2" xfId="13481" xr:uid="{C6BE35FE-BFD1-4A6F-B847-E2A86380FAEC}"/>
    <cellStyle name="Comma 4 4 4 4" xfId="9263" xr:uid="{630B5F58-D2A5-4265-AF0E-5805A25F0F30}"/>
    <cellStyle name="Comma 4 4 5" xfId="1143" xr:uid="{00000000-0005-0000-0000-0000160A0000}"/>
    <cellStyle name="Comma 4 4 5 2" xfId="3374" xr:uid="{00000000-0005-0000-0000-0000170A0000}"/>
    <cellStyle name="Comma 4 4 5 2 2" xfId="7597" xr:uid="{00000000-0005-0000-0000-0000180A0000}"/>
    <cellStyle name="Comma 4 4 5 2 2 2" xfId="16039" xr:uid="{82E2FB56-A593-4D1E-97B5-8255D3E3A914}"/>
    <cellStyle name="Comma 4 4 5 2 3" xfId="11821" xr:uid="{19819786-81CA-4F99-88A9-535208158BCB}"/>
    <cellStyle name="Comma 4 4 5 3" xfId="5452" xr:uid="{00000000-0005-0000-0000-0000190A0000}"/>
    <cellStyle name="Comma 4 4 5 3 2" xfId="13894" xr:uid="{8876757E-AB6D-4C82-88F8-3D1AA1352802}"/>
    <cellStyle name="Comma 4 4 5 4" xfId="9676" xr:uid="{9CB7191E-7089-48A1-B5AA-9A719E55F257}"/>
    <cellStyle name="Comma 4 4 6" xfId="1557" xr:uid="{00000000-0005-0000-0000-00001A0A0000}"/>
    <cellStyle name="Comma 4 4 6 2" xfId="3787" xr:uid="{00000000-0005-0000-0000-00001B0A0000}"/>
    <cellStyle name="Comma 4 4 6 2 2" xfId="8010" xr:uid="{00000000-0005-0000-0000-00001C0A0000}"/>
    <cellStyle name="Comma 4 4 6 2 2 2" xfId="16452" xr:uid="{ABF5EFC7-7B5F-448A-B67A-9CAB69F190B6}"/>
    <cellStyle name="Comma 4 4 6 2 3" xfId="12234" xr:uid="{2E763F73-B573-43D7-9198-576A67B84596}"/>
    <cellStyle name="Comma 4 4 6 3" xfId="5865" xr:uid="{00000000-0005-0000-0000-00001D0A0000}"/>
    <cellStyle name="Comma 4 4 6 3 2" xfId="14307" xr:uid="{784008BC-0150-41BA-9929-A22C656C87B0}"/>
    <cellStyle name="Comma 4 4 6 4" xfId="10089" xr:uid="{160DFA4F-9AAF-484A-9191-5E0157742B63}"/>
    <cellStyle name="Comma 4 4 7" xfId="1971" xr:uid="{00000000-0005-0000-0000-00001E0A0000}"/>
    <cellStyle name="Comma 4 4 7 2" xfId="4200" xr:uid="{00000000-0005-0000-0000-00001F0A0000}"/>
    <cellStyle name="Comma 4 4 7 2 2" xfId="8423" xr:uid="{00000000-0005-0000-0000-0000200A0000}"/>
    <cellStyle name="Comma 4 4 7 2 2 2" xfId="16865" xr:uid="{3FB272DA-40F4-4614-987D-3BF3BD01EC53}"/>
    <cellStyle name="Comma 4 4 7 2 3" xfId="12647" xr:uid="{5041FBAF-2516-473B-9529-F61A2E0E8948}"/>
    <cellStyle name="Comma 4 4 7 3" xfId="6278" xr:uid="{00000000-0005-0000-0000-0000210A0000}"/>
    <cellStyle name="Comma 4 4 7 3 2" xfId="14720" xr:uid="{8D15048B-DE84-4E81-8DDC-174F5987CC10}"/>
    <cellStyle name="Comma 4 4 7 4" xfId="10502" xr:uid="{6C2330DA-350A-4C26-9019-E24F55C7A844}"/>
    <cellStyle name="Comma 4 4 8" xfId="2406" xr:uid="{00000000-0005-0000-0000-0000220A0000}"/>
    <cellStyle name="Comma 4 4 8 2" xfId="6691" xr:uid="{00000000-0005-0000-0000-0000230A0000}"/>
    <cellStyle name="Comma 4 4 8 2 2" xfId="15133" xr:uid="{883A9CE8-65A0-4B81-80CF-93092C02CFE9}"/>
    <cellStyle name="Comma 4 4 8 3" xfId="10915" xr:uid="{CF08D235-6684-47B3-BDE8-59D96142CBA6}"/>
    <cellStyle name="Comma 4 4 9" xfId="2702" xr:uid="{00000000-0005-0000-0000-0000240A0000}"/>
    <cellStyle name="Comma 4 5" xfId="157" xr:uid="{00000000-0005-0000-0000-0000250A0000}"/>
    <cellStyle name="Comma 4 5 10" xfId="4629" xr:uid="{00000000-0005-0000-0000-0000260A0000}"/>
    <cellStyle name="Comma 4 5 10 2" xfId="13071" xr:uid="{5192BEAB-1628-4DC0-AAA5-CB37B00886EB}"/>
    <cellStyle name="Comma 4 5 11" xfId="8853" xr:uid="{F73A90E4-70AF-47F0-87E7-A4E89E92B7B7}"/>
    <cellStyle name="Comma 4 5 2" xfId="158" xr:uid="{00000000-0005-0000-0000-0000270A0000}"/>
    <cellStyle name="Comma 4 5 2 10" xfId="8854" xr:uid="{4D6DDED6-6A78-427C-9887-52C426E24749}"/>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0ABD780E-ACCA-46FE-80FC-24E29A56300D}"/>
    <cellStyle name="Comma 4 5 2 2 2 3" xfId="11413" xr:uid="{BA5DE188-887E-45B3-97AB-C2C262AC4F2D}"/>
    <cellStyle name="Comma 4 5 2 2 3" xfId="5044" xr:uid="{00000000-0005-0000-0000-00002B0A0000}"/>
    <cellStyle name="Comma 4 5 2 2 3 2" xfId="13486" xr:uid="{8E8024C3-61DE-4F05-8317-5EE6722A38B9}"/>
    <cellStyle name="Comma 4 5 2 2 4" xfId="9268" xr:uid="{393410FD-3C14-407C-80A0-3729EBE47CA3}"/>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1D7B958C-82CE-4F02-8B9B-A7006E358B35}"/>
    <cellStyle name="Comma 4 5 2 3 2 3" xfId="11826" xr:uid="{16AAE046-6D4A-424C-8B95-E9640A33CEDC}"/>
    <cellStyle name="Comma 4 5 2 3 3" xfId="5457" xr:uid="{00000000-0005-0000-0000-00002F0A0000}"/>
    <cellStyle name="Comma 4 5 2 3 3 2" xfId="13899" xr:uid="{4F90CF47-8BC8-4C4D-92B9-AF22C05E5D79}"/>
    <cellStyle name="Comma 4 5 2 3 4" xfId="9681" xr:uid="{B45C581A-9CC6-48D7-BC02-CD761B723FA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B582FCD9-9007-4882-B897-AFAD310CE4F5}"/>
    <cellStyle name="Comma 4 5 2 4 2 3" xfId="12239" xr:uid="{9F7F3A80-265B-46DD-A948-028AD1D98C6E}"/>
    <cellStyle name="Comma 4 5 2 4 3" xfId="5870" xr:uid="{00000000-0005-0000-0000-0000330A0000}"/>
    <cellStyle name="Comma 4 5 2 4 3 2" xfId="14312" xr:uid="{20DA575F-A380-4A30-A7F0-A4CF4AE38BA6}"/>
    <cellStyle name="Comma 4 5 2 4 4" xfId="10094" xr:uid="{1D789D75-6135-4D4C-87BF-8F198C69665C}"/>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AD99FF90-27F4-4F55-BAE3-B2A881F29D11}"/>
    <cellStyle name="Comma 4 5 2 5 2 3" xfId="12652" xr:uid="{66B2B044-4BE7-4A67-BB7A-3656B9C92596}"/>
    <cellStyle name="Comma 4 5 2 5 3" xfId="6283" xr:uid="{00000000-0005-0000-0000-0000370A0000}"/>
    <cellStyle name="Comma 4 5 2 5 3 2" xfId="14725" xr:uid="{E48D7F9F-05C5-4B45-A0D6-BA59B5FAB214}"/>
    <cellStyle name="Comma 4 5 2 5 4" xfId="10507" xr:uid="{C0AF013E-921C-4695-BFEE-191DF4767AFC}"/>
    <cellStyle name="Comma 4 5 2 6" xfId="2411" xr:uid="{00000000-0005-0000-0000-0000380A0000}"/>
    <cellStyle name="Comma 4 5 2 6 2" xfId="6696" xr:uid="{00000000-0005-0000-0000-0000390A0000}"/>
    <cellStyle name="Comma 4 5 2 6 2 2" xfId="15138" xr:uid="{86B13A99-D629-4C32-9EDF-5F1EA94D78DA}"/>
    <cellStyle name="Comma 4 5 2 6 3" xfId="10920" xr:uid="{0FF55FD8-4775-4107-89B2-2876777178F8}"/>
    <cellStyle name="Comma 4 5 2 7" xfId="2707" xr:uid="{00000000-0005-0000-0000-00003A0A0000}"/>
    <cellStyle name="Comma 4 5 2 8" xfId="2789" xr:uid="{00000000-0005-0000-0000-00003B0A0000}"/>
    <cellStyle name="Comma 4 5 2 8 2" xfId="7013" xr:uid="{00000000-0005-0000-0000-00003C0A0000}"/>
    <cellStyle name="Comma 4 5 2 8 2 2" xfId="15455" xr:uid="{5ABE2691-8F81-4A48-9074-7A9E17D82875}"/>
    <cellStyle name="Comma 4 5 2 8 3" xfId="11237" xr:uid="{EB84DA40-A9E3-4DBD-BA94-1BD3724C02A3}"/>
    <cellStyle name="Comma 4 5 2 9" xfId="4630" xr:uid="{00000000-0005-0000-0000-00003D0A0000}"/>
    <cellStyle name="Comma 4 5 2 9 2" xfId="13072" xr:uid="{51C851E2-C509-40BA-8A75-A914B6DFBD12}"/>
    <cellStyle name="Comma 4 5 3" xfId="694" xr:uid="{00000000-0005-0000-0000-00003E0A0000}"/>
    <cellStyle name="Comma 4 5 3 2" xfId="2965" xr:uid="{00000000-0005-0000-0000-00003F0A0000}"/>
    <cellStyle name="Comma 4 5 3 2 2" xfId="7188" xr:uid="{00000000-0005-0000-0000-0000400A0000}"/>
    <cellStyle name="Comma 4 5 3 2 2 2" xfId="15630" xr:uid="{66F3B873-A9D8-4EBE-AC16-B48FA75C4E3C}"/>
    <cellStyle name="Comma 4 5 3 2 3" xfId="11412" xr:uid="{D49848FA-B384-4265-9B31-B40CE313E407}"/>
    <cellStyle name="Comma 4 5 3 3" xfId="5043" xr:uid="{00000000-0005-0000-0000-0000410A0000}"/>
    <cellStyle name="Comma 4 5 3 3 2" xfId="13485" xr:uid="{1C7E4EBC-16C5-4037-8A2D-36248A28B65F}"/>
    <cellStyle name="Comma 4 5 3 4" xfId="9267" xr:uid="{3D89FA9A-6DAE-4EC9-801F-6C9A798270F7}"/>
    <cellStyle name="Comma 4 5 4" xfId="1147" xr:uid="{00000000-0005-0000-0000-0000420A0000}"/>
    <cellStyle name="Comma 4 5 4 2" xfId="3378" xr:uid="{00000000-0005-0000-0000-0000430A0000}"/>
    <cellStyle name="Comma 4 5 4 2 2" xfId="7601" xr:uid="{00000000-0005-0000-0000-0000440A0000}"/>
    <cellStyle name="Comma 4 5 4 2 2 2" xfId="16043" xr:uid="{0D317A54-D4BA-4854-9BAE-5CFE096756EE}"/>
    <cellStyle name="Comma 4 5 4 2 3" xfId="11825" xr:uid="{BC7D132C-CFDC-48BD-AE1C-1625ECA98770}"/>
    <cellStyle name="Comma 4 5 4 3" xfId="5456" xr:uid="{00000000-0005-0000-0000-0000450A0000}"/>
    <cellStyle name="Comma 4 5 4 3 2" xfId="13898" xr:uid="{F28C5D86-58E3-45A4-B642-03B470D53CDC}"/>
    <cellStyle name="Comma 4 5 4 4" xfId="9680" xr:uid="{9EAC46A0-6E2A-44D3-92E2-8A867A7E9B5E}"/>
    <cellStyle name="Comma 4 5 5" xfId="1561" xr:uid="{00000000-0005-0000-0000-0000460A0000}"/>
    <cellStyle name="Comma 4 5 5 2" xfId="3791" xr:uid="{00000000-0005-0000-0000-0000470A0000}"/>
    <cellStyle name="Comma 4 5 5 2 2" xfId="8014" xr:uid="{00000000-0005-0000-0000-0000480A0000}"/>
    <cellStyle name="Comma 4 5 5 2 2 2" xfId="16456" xr:uid="{77F89681-3833-42AB-9117-45D1FDA25004}"/>
    <cellStyle name="Comma 4 5 5 2 3" xfId="12238" xr:uid="{1B19CC9F-EF51-42BF-9BB4-6E21DE661A0D}"/>
    <cellStyle name="Comma 4 5 5 3" xfId="5869" xr:uid="{00000000-0005-0000-0000-0000490A0000}"/>
    <cellStyle name="Comma 4 5 5 3 2" xfId="14311" xr:uid="{98BB638E-06A4-4704-B41A-C4E53C373014}"/>
    <cellStyle name="Comma 4 5 5 4" xfId="10093" xr:uid="{FAFE0948-A67F-475A-8EE3-4F7BA5DF43AE}"/>
    <cellStyle name="Comma 4 5 6" xfId="1975" xr:uid="{00000000-0005-0000-0000-00004A0A0000}"/>
    <cellStyle name="Comma 4 5 6 2" xfId="4204" xr:uid="{00000000-0005-0000-0000-00004B0A0000}"/>
    <cellStyle name="Comma 4 5 6 2 2" xfId="8427" xr:uid="{00000000-0005-0000-0000-00004C0A0000}"/>
    <cellStyle name="Comma 4 5 6 2 2 2" xfId="16869" xr:uid="{58E88AFB-F0A5-4A08-AAA1-71336CDB9D19}"/>
    <cellStyle name="Comma 4 5 6 2 3" xfId="12651" xr:uid="{DC8F13BC-2F8E-4308-AB0A-336A344E1C16}"/>
    <cellStyle name="Comma 4 5 6 3" xfId="6282" xr:uid="{00000000-0005-0000-0000-00004D0A0000}"/>
    <cellStyle name="Comma 4 5 6 3 2" xfId="14724" xr:uid="{E71A8C97-E17C-458A-8C22-6E0265D22934}"/>
    <cellStyle name="Comma 4 5 6 4" xfId="10506" xr:uid="{BBEA4E59-92EB-4414-BD1C-974D1458BD62}"/>
    <cellStyle name="Comma 4 5 7" xfId="2410" xr:uid="{00000000-0005-0000-0000-00004E0A0000}"/>
    <cellStyle name="Comma 4 5 7 2" xfId="6695" xr:uid="{00000000-0005-0000-0000-00004F0A0000}"/>
    <cellStyle name="Comma 4 5 7 2 2" xfId="15137" xr:uid="{435D2861-B2CD-4351-B946-9BF19FCBD243}"/>
    <cellStyle name="Comma 4 5 7 3" xfId="10919" xr:uid="{EAB7C6AB-E26A-484E-979E-263314AD34B2}"/>
    <cellStyle name="Comma 4 5 8" xfId="2706" xr:uid="{00000000-0005-0000-0000-0000500A0000}"/>
    <cellStyle name="Comma 4 5 9" xfId="2788" xr:uid="{00000000-0005-0000-0000-0000510A0000}"/>
    <cellStyle name="Comma 4 5 9 2" xfId="7012" xr:uid="{00000000-0005-0000-0000-0000520A0000}"/>
    <cellStyle name="Comma 4 5 9 2 2" xfId="15454" xr:uid="{FB766433-42CE-4179-A726-C82E2E84AC99}"/>
    <cellStyle name="Comma 4 5 9 3" xfId="11236" xr:uid="{5565C880-B714-453A-80D0-185E45D1E689}"/>
    <cellStyle name="Comma 4 6" xfId="159" xr:uid="{00000000-0005-0000-0000-0000530A0000}"/>
    <cellStyle name="Comma 4 6 10" xfId="8855" xr:uid="{F985950F-3C39-442B-9DA0-B22B96307337}"/>
    <cellStyle name="Comma 4 6 2" xfId="696" xr:uid="{00000000-0005-0000-0000-0000540A0000}"/>
    <cellStyle name="Comma 4 6 2 2" xfId="2967" xr:uid="{00000000-0005-0000-0000-0000550A0000}"/>
    <cellStyle name="Comma 4 6 2 2 2" xfId="7190" xr:uid="{00000000-0005-0000-0000-0000560A0000}"/>
    <cellStyle name="Comma 4 6 2 2 2 2" xfId="15632" xr:uid="{7542EF8D-C3EC-43F8-AE2D-46054584038D}"/>
    <cellStyle name="Comma 4 6 2 2 3" xfId="11414" xr:uid="{B7102F5B-08E6-43C2-A1A0-83699C79280F}"/>
    <cellStyle name="Comma 4 6 2 3" xfId="5045" xr:uid="{00000000-0005-0000-0000-0000570A0000}"/>
    <cellStyle name="Comma 4 6 2 3 2" xfId="13487" xr:uid="{7D315301-EA1F-4BFA-A92F-4319475FDDBB}"/>
    <cellStyle name="Comma 4 6 2 4" xfId="9269" xr:uid="{2D27DC3B-A25E-47D4-8A47-0F8C4BE6F1C5}"/>
    <cellStyle name="Comma 4 6 3" xfId="1149" xr:uid="{00000000-0005-0000-0000-0000580A0000}"/>
    <cellStyle name="Comma 4 6 3 2" xfId="3380" xr:uid="{00000000-0005-0000-0000-0000590A0000}"/>
    <cellStyle name="Comma 4 6 3 2 2" xfId="7603" xr:uid="{00000000-0005-0000-0000-00005A0A0000}"/>
    <cellStyle name="Comma 4 6 3 2 2 2" xfId="16045" xr:uid="{7C298595-054C-4169-A3E4-82F519A07334}"/>
    <cellStyle name="Comma 4 6 3 2 3" xfId="11827" xr:uid="{B8F7BD5C-3EAA-424C-A5B7-C528EA77E8C7}"/>
    <cellStyle name="Comma 4 6 3 3" xfId="5458" xr:uid="{00000000-0005-0000-0000-00005B0A0000}"/>
    <cellStyle name="Comma 4 6 3 3 2" xfId="13900" xr:uid="{EE79D9A1-C1E5-4E96-8F90-81C2F78868D0}"/>
    <cellStyle name="Comma 4 6 3 4" xfId="9682" xr:uid="{FDECA328-3959-44B6-80EF-5BFDA80A24B3}"/>
    <cellStyle name="Comma 4 6 4" xfId="1563" xr:uid="{00000000-0005-0000-0000-00005C0A0000}"/>
    <cellStyle name="Comma 4 6 4 2" xfId="3793" xr:uid="{00000000-0005-0000-0000-00005D0A0000}"/>
    <cellStyle name="Comma 4 6 4 2 2" xfId="8016" xr:uid="{00000000-0005-0000-0000-00005E0A0000}"/>
    <cellStyle name="Comma 4 6 4 2 2 2" xfId="16458" xr:uid="{E3CCFE4C-1A14-4AEA-AD18-E5DF6725FA93}"/>
    <cellStyle name="Comma 4 6 4 2 3" xfId="12240" xr:uid="{E134F47A-725A-4371-95F4-9D149711A94B}"/>
    <cellStyle name="Comma 4 6 4 3" xfId="5871" xr:uid="{00000000-0005-0000-0000-00005F0A0000}"/>
    <cellStyle name="Comma 4 6 4 3 2" xfId="14313" xr:uid="{06348323-F7A2-4FC0-B14A-8FEBE1CE0233}"/>
    <cellStyle name="Comma 4 6 4 4" xfId="10095" xr:uid="{4B62B562-8C20-439C-9F27-64FEDEB6E4EC}"/>
    <cellStyle name="Comma 4 6 5" xfId="1977" xr:uid="{00000000-0005-0000-0000-0000600A0000}"/>
    <cellStyle name="Comma 4 6 5 2" xfId="4206" xr:uid="{00000000-0005-0000-0000-0000610A0000}"/>
    <cellStyle name="Comma 4 6 5 2 2" xfId="8429" xr:uid="{00000000-0005-0000-0000-0000620A0000}"/>
    <cellStyle name="Comma 4 6 5 2 2 2" xfId="16871" xr:uid="{66A3592F-BC4B-4EF1-847E-CBF483AD4732}"/>
    <cellStyle name="Comma 4 6 5 2 3" xfId="12653" xr:uid="{A0A57F71-757F-44C1-AF97-CD6DE13BC086}"/>
    <cellStyle name="Comma 4 6 5 3" xfId="6284" xr:uid="{00000000-0005-0000-0000-0000630A0000}"/>
    <cellStyle name="Comma 4 6 5 3 2" xfId="14726" xr:uid="{09B85D23-8DB6-4832-8620-32883ADB0649}"/>
    <cellStyle name="Comma 4 6 5 4" xfId="10508" xr:uid="{5EDC32A8-BB4D-41A9-989F-09B0B3264F2C}"/>
    <cellStyle name="Comma 4 6 6" xfId="2412" xr:uid="{00000000-0005-0000-0000-0000640A0000}"/>
    <cellStyle name="Comma 4 6 6 2" xfId="6697" xr:uid="{00000000-0005-0000-0000-0000650A0000}"/>
    <cellStyle name="Comma 4 6 6 2 2" xfId="15139" xr:uid="{AD1EE9FF-3C68-4BBC-ADA8-B0CFFE646A14}"/>
    <cellStyle name="Comma 4 6 6 3" xfId="10921" xr:uid="{A2CA1123-9416-43F6-B812-6BDF5C07F41B}"/>
    <cellStyle name="Comma 4 6 7" xfId="2708" xr:uid="{00000000-0005-0000-0000-0000660A0000}"/>
    <cellStyle name="Comma 4 6 8" xfId="2790" xr:uid="{00000000-0005-0000-0000-0000670A0000}"/>
    <cellStyle name="Comma 4 6 8 2" xfId="7014" xr:uid="{00000000-0005-0000-0000-0000680A0000}"/>
    <cellStyle name="Comma 4 6 8 2 2" xfId="15456" xr:uid="{C8CB4FF5-A701-455E-842C-562E2C04120B}"/>
    <cellStyle name="Comma 4 6 8 3" xfId="11238" xr:uid="{678EB664-5124-4095-BC4F-BA7E970FF402}"/>
    <cellStyle name="Comma 4 6 9" xfId="4631" xr:uid="{00000000-0005-0000-0000-0000690A0000}"/>
    <cellStyle name="Comma 4 6 9 2" xfId="13073" xr:uid="{3D4BA5E5-4E93-44FF-9D49-CA0B41355381}"/>
    <cellStyle name="Comma 4 7" xfId="160" xr:uid="{00000000-0005-0000-0000-00006A0A0000}"/>
    <cellStyle name="Comma 4 7 10" xfId="8856" xr:uid="{7EC3C809-A0B8-454A-80B7-5E04D4B1F81C}"/>
    <cellStyle name="Comma 4 7 2" xfId="697" xr:uid="{00000000-0005-0000-0000-00006B0A0000}"/>
    <cellStyle name="Comma 4 7 2 2" xfId="2968" xr:uid="{00000000-0005-0000-0000-00006C0A0000}"/>
    <cellStyle name="Comma 4 7 2 2 2" xfId="7191" xr:uid="{00000000-0005-0000-0000-00006D0A0000}"/>
    <cellStyle name="Comma 4 7 2 2 2 2" xfId="15633" xr:uid="{18EABD87-7874-4C66-BC1F-28A872B0562B}"/>
    <cellStyle name="Comma 4 7 2 2 3" xfId="11415" xr:uid="{8A9C6931-4C65-4CF2-85AD-BE63E3EFCB4D}"/>
    <cellStyle name="Comma 4 7 2 3" xfId="5046" xr:uid="{00000000-0005-0000-0000-00006E0A0000}"/>
    <cellStyle name="Comma 4 7 2 3 2" xfId="13488" xr:uid="{356AF78F-1CD4-47FE-8611-AEF6FF8F2F5C}"/>
    <cellStyle name="Comma 4 7 2 4" xfId="9270" xr:uid="{7B5A425F-548D-4F6F-B81B-29D4DB667B03}"/>
    <cellStyle name="Comma 4 7 3" xfId="1150" xr:uid="{00000000-0005-0000-0000-00006F0A0000}"/>
    <cellStyle name="Comma 4 7 3 2" xfId="3381" xr:uid="{00000000-0005-0000-0000-0000700A0000}"/>
    <cellStyle name="Comma 4 7 3 2 2" xfId="7604" xr:uid="{00000000-0005-0000-0000-0000710A0000}"/>
    <cellStyle name="Comma 4 7 3 2 2 2" xfId="16046" xr:uid="{96CFEBC2-1510-42E1-AB27-AB2F2DF8011D}"/>
    <cellStyle name="Comma 4 7 3 2 3" xfId="11828" xr:uid="{F57C93F0-3EA2-41B9-A69B-7B89D2BDB923}"/>
    <cellStyle name="Comma 4 7 3 3" xfId="5459" xr:uid="{00000000-0005-0000-0000-0000720A0000}"/>
    <cellStyle name="Comma 4 7 3 3 2" xfId="13901" xr:uid="{A1BD0B79-D979-4450-9F7B-D079F67656C1}"/>
    <cellStyle name="Comma 4 7 3 4" xfId="9683" xr:uid="{6F4BCFC0-0B55-4220-9103-2FBF819B9CF0}"/>
    <cellStyle name="Comma 4 7 4" xfId="1564" xr:uid="{00000000-0005-0000-0000-0000730A0000}"/>
    <cellStyle name="Comma 4 7 4 2" xfId="3794" xr:uid="{00000000-0005-0000-0000-0000740A0000}"/>
    <cellStyle name="Comma 4 7 4 2 2" xfId="8017" xr:uid="{00000000-0005-0000-0000-0000750A0000}"/>
    <cellStyle name="Comma 4 7 4 2 2 2" xfId="16459" xr:uid="{E6957654-F989-4959-B01D-4E894ADBED8B}"/>
    <cellStyle name="Comma 4 7 4 2 3" xfId="12241" xr:uid="{46674886-B7E6-4C2A-BD6E-4F47B48D895F}"/>
    <cellStyle name="Comma 4 7 4 3" xfId="5872" xr:uid="{00000000-0005-0000-0000-0000760A0000}"/>
    <cellStyle name="Comma 4 7 4 3 2" xfId="14314" xr:uid="{E7023A33-D7F7-4FDD-A6DC-8E79759272E5}"/>
    <cellStyle name="Comma 4 7 4 4" xfId="10096" xr:uid="{FC1A5502-24B0-4DF8-801D-17429E55FA23}"/>
    <cellStyle name="Comma 4 7 5" xfId="1978" xr:uid="{00000000-0005-0000-0000-0000770A0000}"/>
    <cellStyle name="Comma 4 7 5 2" xfId="4207" xr:uid="{00000000-0005-0000-0000-0000780A0000}"/>
    <cellStyle name="Comma 4 7 5 2 2" xfId="8430" xr:uid="{00000000-0005-0000-0000-0000790A0000}"/>
    <cellStyle name="Comma 4 7 5 2 2 2" xfId="16872" xr:uid="{6DE0D328-868D-4EE1-A596-7EB29E41AA22}"/>
    <cellStyle name="Comma 4 7 5 2 3" xfId="12654" xr:uid="{1CC88CD9-26AA-4D62-B0FD-55A207992AC1}"/>
    <cellStyle name="Comma 4 7 5 3" xfId="6285" xr:uid="{00000000-0005-0000-0000-00007A0A0000}"/>
    <cellStyle name="Comma 4 7 5 3 2" xfId="14727" xr:uid="{087BB8B6-D6E2-44CA-BB34-E5763B7F1125}"/>
    <cellStyle name="Comma 4 7 5 4" xfId="10509" xr:uid="{B6D43675-DBBA-4844-B1FB-1F0D9283B53A}"/>
    <cellStyle name="Comma 4 7 6" xfId="2413" xr:uid="{00000000-0005-0000-0000-00007B0A0000}"/>
    <cellStyle name="Comma 4 7 6 2" xfId="6698" xr:uid="{00000000-0005-0000-0000-00007C0A0000}"/>
    <cellStyle name="Comma 4 7 6 2 2" xfId="15140" xr:uid="{48A2AD93-FE66-4D2F-AF4F-7A9364F0EA13}"/>
    <cellStyle name="Comma 4 7 6 3" xfId="10922" xr:uid="{5AEC48D2-DA25-4C41-A13E-1A827E05280A}"/>
    <cellStyle name="Comma 4 7 7" xfId="2709" xr:uid="{00000000-0005-0000-0000-00007D0A0000}"/>
    <cellStyle name="Comma 4 7 8" xfId="2791" xr:uid="{00000000-0005-0000-0000-00007E0A0000}"/>
    <cellStyle name="Comma 4 7 8 2" xfId="7015" xr:uid="{00000000-0005-0000-0000-00007F0A0000}"/>
    <cellStyle name="Comma 4 7 8 2 2" xfId="15457" xr:uid="{7FEFA8BC-7237-4E2F-A2F5-0B043DA453C4}"/>
    <cellStyle name="Comma 4 7 8 3" xfId="11239" xr:uid="{8142D707-ECC2-411C-9D87-2CCCB1B9E102}"/>
    <cellStyle name="Comma 4 7 9" xfId="4632" xr:uid="{00000000-0005-0000-0000-0000800A0000}"/>
    <cellStyle name="Comma 4 7 9 2" xfId="13074" xr:uid="{818A70CF-CC4A-4856-A0B0-667DC78B6EE1}"/>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56C94285-BCE9-4A67-8074-0F3ABD772E79}"/>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BBAB06B8-C53E-4CC8-AC84-09D444815F1F}"/>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AE586233-A143-4D71-BF9E-A7EE56487A2A}"/>
    <cellStyle name="Currency 14 3 2 3" xfId="17165" xr:uid="{467B839D-B890-4ED3-9F0B-385F265B241E}"/>
    <cellStyle name="Currency 14 3 3" xfId="17162" xr:uid="{A2891398-F783-4F9E-ACDF-9EA3248F5FF0}"/>
    <cellStyle name="Currency 14 4" xfId="12945" xr:uid="{B5C72324-82A9-4AE5-B7A7-369112C0EB41}"/>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F8117EA1-8016-4942-80C1-8276DB7FE4D8}"/>
    <cellStyle name="Currency 3 2 2 10 3" xfId="11240" xr:uid="{E4D31D1E-8A6D-4F9B-AE39-268D7C532EBC}"/>
    <cellStyle name="Currency 3 2 2 11" xfId="4633" xr:uid="{00000000-0005-0000-0000-0000A50A0000}"/>
    <cellStyle name="Currency 3 2 2 11 2" xfId="13075" xr:uid="{EE54DE3C-553B-43C2-A3DF-264C6394C429}"/>
    <cellStyle name="Currency 3 2 2 12" xfId="8857" xr:uid="{C275B9DC-A954-4867-96A8-A1FDF2F7B2BA}"/>
    <cellStyle name="Currency 3 2 2 2" xfId="179" xr:uid="{00000000-0005-0000-0000-0000A60A0000}"/>
    <cellStyle name="Currency 3 2 2 2 10" xfId="4634" xr:uid="{00000000-0005-0000-0000-0000A70A0000}"/>
    <cellStyle name="Currency 3 2 2 2 10 2" xfId="13076" xr:uid="{E86DFD20-D58B-4BF3-A5F9-3CD814302BB4}"/>
    <cellStyle name="Currency 3 2 2 2 11" xfId="8858" xr:uid="{00D47C76-9A16-4AD2-A59D-8BDBAB7DF07C}"/>
    <cellStyle name="Currency 3 2 2 2 2" xfId="180" xr:uid="{00000000-0005-0000-0000-0000A80A0000}"/>
    <cellStyle name="Currency 3 2 2 2 2 10" xfId="8859" xr:uid="{5EC7C0E2-D504-4533-AF1B-F073ED95BD35}"/>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994805C5-C5CC-417B-B805-FC5D12AB3505}"/>
    <cellStyle name="Currency 3 2 2 2 2 2 2 3" xfId="11418" xr:uid="{49FBB66F-438C-4907-91B3-1980A654F123}"/>
    <cellStyle name="Currency 3 2 2 2 2 2 3" xfId="5049" xr:uid="{00000000-0005-0000-0000-0000AC0A0000}"/>
    <cellStyle name="Currency 3 2 2 2 2 2 3 2" xfId="13491" xr:uid="{2762D090-E6F9-4E11-B4AB-5F43D71CBFB1}"/>
    <cellStyle name="Currency 3 2 2 2 2 2 4" xfId="9273" xr:uid="{20C8596F-07D7-42D0-B232-E8BC2AA3303B}"/>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8DA21EC8-F82F-4E82-AB05-00823ADB1721}"/>
    <cellStyle name="Currency 3 2 2 2 2 3 2 3" xfId="11831" xr:uid="{A0CD8671-D444-4756-9840-5D51EFA84DCF}"/>
    <cellStyle name="Currency 3 2 2 2 2 3 3" xfId="5462" xr:uid="{00000000-0005-0000-0000-0000B00A0000}"/>
    <cellStyle name="Currency 3 2 2 2 2 3 3 2" xfId="13904" xr:uid="{67383E6B-A726-4A66-807B-24D38AF32A64}"/>
    <cellStyle name="Currency 3 2 2 2 2 3 4" xfId="9686" xr:uid="{6C39D1BE-7129-471A-BD7C-14996BA5AC48}"/>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6F9D9194-FEFF-4B13-88E5-47CB932E66FC}"/>
    <cellStyle name="Currency 3 2 2 2 2 4 2 3" xfId="12244" xr:uid="{6FDB3CD6-53DD-4C6B-929D-B4789070AFFA}"/>
    <cellStyle name="Currency 3 2 2 2 2 4 3" xfId="5875" xr:uid="{00000000-0005-0000-0000-0000B40A0000}"/>
    <cellStyle name="Currency 3 2 2 2 2 4 3 2" xfId="14317" xr:uid="{901FD6F2-9337-4674-BCED-EF6C3F237F9A}"/>
    <cellStyle name="Currency 3 2 2 2 2 4 4" xfId="10099" xr:uid="{AFAA2E5E-EE9B-4741-B3DA-027AF319636B}"/>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37DDDD8E-25C2-4B06-B253-1312161E8AD6}"/>
    <cellStyle name="Currency 3 2 2 2 2 5 2 3" xfId="12657" xr:uid="{A31999C8-45BA-4835-A0D8-425D224AD839}"/>
    <cellStyle name="Currency 3 2 2 2 2 5 3" xfId="6288" xr:uid="{00000000-0005-0000-0000-0000B80A0000}"/>
    <cellStyle name="Currency 3 2 2 2 2 5 3 2" xfId="14730" xr:uid="{6E05CF74-F9FF-41D3-AB32-64B46C95BC20}"/>
    <cellStyle name="Currency 3 2 2 2 2 5 4" xfId="10512" xr:uid="{513BB1C7-AD47-4E99-BEE1-CF7777143E0B}"/>
    <cellStyle name="Currency 3 2 2 2 2 6" xfId="2416" xr:uid="{00000000-0005-0000-0000-0000B90A0000}"/>
    <cellStyle name="Currency 3 2 2 2 2 6 2" xfId="6701" xr:uid="{00000000-0005-0000-0000-0000BA0A0000}"/>
    <cellStyle name="Currency 3 2 2 2 2 6 2 2" xfId="15143" xr:uid="{79F9FCEC-3832-4193-80AF-0E0B412F2298}"/>
    <cellStyle name="Currency 3 2 2 2 2 6 3" xfId="10925" xr:uid="{18BDE5DA-FB5B-4F62-816A-CE2D189C95D2}"/>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8666D575-B50E-4A72-9B85-1577A39C5DFB}"/>
    <cellStyle name="Currency 3 2 2 2 2 8 3" xfId="11242" xr:uid="{07FFF536-E203-4094-B2BE-446F241F909C}"/>
    <cellStyle name="Currency 3 2 2 2 2 9" xfId="4635" xr:uid="{00000000-0005-0000-0000-0000BE0A0000}"/>
    <cellStyle name="Currency 3 2 2 2 2 9 2" xfId="13077" xr:uid="{C3DBD9AB-A7DC-4EB6-984D-D4B8461C590B}"/>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D365A246-AAC1-4037-9E0F-F138EFB5CB68}"/>
    <cellStyle name="Currency 3 2 2 2 3 2 3" xfId="11417" xr:uid="{93D08733-C480-4852-9DBD-3DFB6BBEB8DF}"/>
    <cellStyle name="Currency 3 2 2 2 3 3" xfId="5048" xr:uid="{00000000-0005-0000-0000-0000C20A0000}"/>
    <cellStyle name="Currency 3 2 2 2 3 3 2" xfId="13490" xr:uid="{4B0064AD-DBB4-415C-B0D5-C59F48832BD3}"/>
    <cellStyle name="Currency 3 2 2 2 3 4" xfId="9272" xr:uid="{A9F0855A-FE90-4350-BA6C-5FFDD4B73FEF}"/>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E7057898-2FE0-4AD2-9242-05EFED01D246}"/>
    <cellStyle name="Currency 3 2 2 2 4 2 3" xfId="11830" xr:uid="{867B3B88-ED5C-4A7D-937A-7FB80DB6350D}"/>
    <cellStyle name="Currency 3 2 2 2 4 3" xfId="5461" xr:uid="{00000000-0005-0000-0000-0000C60A0000}"/>
    <cellStyle name="Currency 3 2 2 2 4 3 2" xfId="13903" xr:uid="{94F1199B-CFB6-4674-92EA-D33666696660}"/>
    <cellStyle name="Currency 3 2 2 2 4 4" xfId="9685" xr:uid="{904DF7F4-A2D9-4F64-B1E4-01C4589F0BDA}"/>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04B58671-B794-4055-9D07-B2DFAFBFC44B}"/>
    <cellStyle name="Currency 3 2 2 2 5 2 3" xfId="12243" xr:uid="{4CBB4D0F-2DD3-4A6C-9522-70F14AD9CAFF}"/>
    <cellStyle name="Currency 3 2 2 2 5 3" xfId="5874" xr:uid="{00000000-0005-0000-0000-0000CA0A0000}"/>
    <cellStyle name="Currency 3 2 2 2 5 3 2" xfId="14316" xr:uid="{680B4BB6-9EEF-4F0F-AA43-A755D86EC78B}"/>
    <cellStyle name="Currency 3 2 2 2 5 4" xfId="10098" xr:uid="{7005A8FE-E765-4457-849B-6426B50C11FF}"/>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1A244242-A38D-44AA-9701-8800C10281CC}"/>
    <cellStyle name="Currency 3 2 2 2 6 2 3" xfId="12656" xr:uid="{7C2E637F-70B1-461D-B89C-C5E758AAE6C8}"/>
    <cellStyle name="Currency 3 2 2 2 6 3" xfId="6287" xr:uid="{00000000-0005-0000-0000-0000CE0A0000}"/>
    <cellStyle name="Currency 3 2 2 2 6 3 2" xfId="14729" xr:uid="{29A24FA7-26C0-4EBF-97A3-A21B7016851B}"/>
    <cellStyle name="Currency 3 2 2 2 6 4" xfId="10511" xr:uid="{290323A7-8BCC-4EF6-B8A8-EA8C07423D8A}"/>
    <cellStyle name="Currency 3 2 2 2 7" xfId="2415" xr:uid="{00000000-0005-0000-0000-0000CF0A0000}"/>
    <cellStyle name="Currency 3 2 2 2 7 2" xfId="6700" xr:uid="{00000000-0005-0000-0000-0000D00A0000}"/>
    <cellStyle name="Currency 3 2 2 2 7 2 2" xfId="15142" xr:uid="{58A4885B-9B82-43D4-8DCD-6DA3E33251F2}"/>
    <cellStyle name="Currency 3 2 2 2 7 3" xfId="10924" xr:uid="{C7A2766E-BCA7-432D-AB37-5718BD5A7DF2}"/>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8DD1EC35-B1D1-415D-9735-C68DC3BF8A9B}"/>
    <cellStyle name="Currency 3 2 2 2 9 3" xfId="11241" xr:uid="{9D2D29EE-AC20-4274-BFB0-A7AB43E5A5F4}"/>
    <cellStyle name="Currency 3 2 2 3" xfId="181" xr:uid="{00000000-0005-0000-0000-0000D40A0000}"/>
    <cellStyle name="Currency 3 2 2 3 10" xfId="8860" xr:uid="{F1899873-9ADD-4124-9B73-50004AE085B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7296645B-FF41-493D-95C7-D186D5D0A5E4}"/>
    <cellStyle name="Currency 3 2 2 3 2 2 3" xfId="11419" xr:uid="{1A5F132E-C921-4C5B-8214-41D315973AAB}"/>
    <cellStyle name="Currency 3 2 2 3 2 3" xfId="5050" xr:uid="{00000000-0005-0000-0000-0000D80A0000}"/>
    <cellStyle name="Currency 3 2 2 3 2 3 2" xfId="13492" xr:uid="{BDA260BF-D55C-4865-A028-8879CF0E0005}"/>
    <cellStyle name="Currency 3 2 2 3 2 4" xfId="9274" xr:uid="{F14499DF-5C18-4292-B9D5-2F3B7451FD33}"/>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4C0A5B26-F023-4EC1-A341-FCCAA49B410E}"/>
    <cellStyle name="Currency 3 2 2 3 3 2 3" xfId="11832" xr:uid="{4813D851-AAEA-4509-B83D-A2501D853264}"/>
    <cellStyle name="Currency 3 2 2 3 3 3" xfId="5463" xr:uid="{00000000-0005-0000-0000-0000DC0A0000}"/>
    <cellStyle name="Currency 3 2 2 3 3 3 2" xfId="13905" xr:uid="{5259887E-0FA8-4389-9606-7017C510A7EC}"/>
    <cellStyle name="Currency 3 2 2 3 3 4" xfId="9687" xr:uid="{C8B4691E-4069-4A55-AA3C-98CA2ED2F6AE}"/>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5508573D-95C4-4B76-9FF6-44D26593B527}"/>
    <cellStyle name="Currency 3 2 2 3 4 2 3" xfId="12245" xr:uid="{0E25EFBA-654C-4C90-A481-E0AF0640E6AF}"/>
    <cellStyle name="Currency 3 2 2 3 4 3" xfId="5876" xr:uid="{00000000-0005-0000-0000-0000E00A0000}"/>
    <cellStyle name="Currency 3 2 2 3 4 3 2" xfId="14318" xr:uid="{D51E7C4A-2517-4550-8F67-0B1A7038DB77}"/>
    <cellStyle name="Currency 3 2 2 3 4 4" xfId="10100" xr:uid="{3A6520BA-E07D-40A7-B2D8-3C54D9E11A82}"/>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A971A1A4-4223-49E8-A6D2-16841A74EA3B}"/>
    <cellStyle name="Currency 3 2 2 3 5 2 3" xfId="12658" xr:uid="{33EFA78D-F569-4765-BFBF-A89D6D1C5904}"/>
    <cellStyle name="Currency 3 2 2 3 5 3" xfId="6289" xr:uid="{00000000-0005-0000-0000-0000E40A0000}"/>
    <cellStyle name="Currency 3 2 2 3 5 3 2" xfId="14731" xr:uid="{C21D8393-42F1-4E3B-9CEB-16D096DA46D8}"/>
    <cellStyle name="Currency 3 2 2 3 5 4" xfId="10513" xr:uid="{81EC7E6E-D6A9-4B32-855A-B6ADDFD85EEB}"/>
    <cellStyle name="Currency 3 2 2 3 6" xfId="2417" xr:uid="{00000000-0005-0000-0000-0000E50A0000}"/>
    <cellStyle name="Currency 3 2 2 3 6 2" xfId="6702" xr:uid="{00000000-0005-0000-0000-0000E60A0000}"/>
    <cellStyle name="Currency 3 2 2 3 6 2 2" xfId="15144" xr:uid="{ACE936D5-3CB9-4F4D-8E02-B038290B3E29}"/>
    <cellStyle name="Currency 3 2 2 3 6 3" xfId="10926" xr:uid="{11995D7F-66BD-417F-9DE5-2471CA6587A3}"/>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11B7AD54-6247-4BC2-91BC-8EF3E525FBCD}"/>
    <cellStyle name="Currency 3 2 2 3 8 3" xfId="11243" xr:uid="{330ABD61-228A-4CDD-90AA-466658A8E0BF}"/>
    <cellStyle name="Currency 3 2 2 3 9" xfId="4636" xr:uid="{00000000-0005-0000-0000-0000EA0A0000}"/>
    <cellStyle name="Currency 3 2 2 3 9 2" xfId="13078" xr:uid="{DA1AED16-54B0-46EA-AEB1-96A256C4E51F}"/>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C3774DA5-1981-4D94-A1A7-FCA787A82B0D}"/>
    <cellStyle name="Currency 3 2 2 4 2 3" xfId="11416" xr:uid="{8FC56576-AC86-4636-8B45-8FFF97DA3B10}"/>
    <cellStyle name="Currency 3 2 2 4 3" xfId="5047" xr:uid="{00000000-0005-0000-0000-0000EE0A0000}"/>
    <cellStyle name="Currency 3 2 2 4 3 2" xfId="13489" xr:uid="{43F9D5C7-DA4F-45FD-A915-4999AF9E95DE}"/>
    <cellStyle name="Currency 3 2 2 4 4" xfId="9271" xr:uid="{55BE9465-ADCB-4C39-9144-6B914880C72C}"/>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2F177989-250A-46A9-8B99-D87775573BFD}"/>
    <cellStyle name="Currency 3 2 2 5 2 3" xfId="11829" xr:uid="{22B71B13-A7F6-4CBC-95E5-25DA224C4A04}"/>
    <cellStyle name="Currency 3 2 2 5 3" xfId="5460" xr:uid="{00000000-0005-0000-0000-0000F20A0000}"/>
    <cellStyle name="Currency 3 2 2 5 3 2" xfId="13902" xr:uid="{87201C93-7D45-4A41-8585-BE597D568EE0}"/>
    <cellStyle name="Currency 3 2 2 5 4" xfId="9684" xr:uid="{0F2592CA-87D4-4E36-A67B-D42EC831489C}"/>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E1A7EF9A-8C8B-4035-8A13-243A4B0A3C87}"/>
    <cellStyle name="Currency 3 2 2 6 2 3" xfId="12242" xr:uid="{1B09B298-34E4-4845-B20F-419E79B3E061}"/>
    <cellStyle name="Currency 3 2 2 6 3" xfId="5873" xr:uid="{00000000-0005-0000-0000-0000F60A0000}"/>
    <cellStyle name="Currency 3 2 2 6 3 2" xfId="14315" xr:uid="{A1B15B81-D64F-4E0D-9C90-ADEADE3289C8}"/>
    <cellStyle name="Currency 3 2 2 6 4" xfId="10097" xr:uid="{C95C6682-D85D-4591-AD21-24684785243B}"/>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BF24A261-310D-4EBD-A472-371EBA0758D3}"/>
    <cellStyle name="Currency 3 2 2 7 2 3" xfId="12655" xr:uid="{D0F2A297-6D47-4693-807D-EA5555E27F5D}"/>
    <cellStyle name="Currency 3 2 2 7 3" xfId="6286" xr:uid="{00000000-0005-0000-0000-0000FA0A0000}"/>
    <cellStyle name="Currency 3 2 2 7 3 2" xfId="14728" xr:uid="{E861491F-7232-49F6-94EA-FD743E5B6196}"/>
    <cellStyle name="Currency 3 2 2 7 4" xfId="10510" xr:uid="{A3E57ED3-D029-4358-B21B-256A6EEFA137}"/>
    <cellStyle name="Currency 3 2 2 8" xfId="2414" xr:uid="{00000000-0005-0000-0000-0000FB0A0000}"/>
    <cellStyle name="Currency 3 2 2 8 2" xfId="6699" xr:uid="{00000000-0005-0000-0000-0000FC0A0000}"/>
    <cellStyle name="Currency 3 2 2 8 2 2" xfId="15141" xr:uid="{0A0D5829-0457-4AF4-A053-98BAE6406566}"/>
    <cellStyle name="Currency 3 2 2 8 3" xfId="10923" xr:uid="{CF6E03B9-F96A-4C71-B805-804D4CF3A5B5}"/>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27C0A8EB-C49B-4142-8535-FCF9216A268F}"/>
    <cellStyle name="Currency 3 2 3 11" xfId="8861" xr:uid="{A80948DA-C236-4B42-BF5C-3C4E54A4BE99}"/>
    <cellStyle name="Currency 3 2 3 2" xfId="183" xr:uid="{00000000-0005-0000-0000-0000000B0000}"/>
    <cellStyle name="Currency 3 2 3 2 10" xfId="8862" xr:uid="{84B213BD-50FF-455B-926E-3FA04B45E378}"/>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73B405A6-F553-4707-AB3E-1A0E2FFE5C05}"/>
    <cellStyle name="Currency 3 2 3 2 2 2 3" xfId="11421" xr:uid="{52620CC0-A2A4-4883-BCC9-9303D4A1987E}"/>
    <cellStyle name="Currency 3 2 3 2 2 3" xfId="5052" xr:uid="{00000000-0005-0000-0000-0000040B0000}"/>
    <cellStyle name="Currency 3 2 3 2 2 3 2" xfId="13494" xr:uid="{08CC93F5-9D2D-4B07-82F0-5B21D2886FA9}"/>
    <cellStyle name="Currency 3 2 3 2 2 4" xfId="9276" xr:uid="{45C84827-9499-4C1D-954E-E29D6102B922}"/>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CDB4120B-003C-49DB-B2C7-45E4FFB320F7}"/>
    <cellStyle name="Currency 3 2 3 2 3 2 3" xfId="11834" xr:uid="{F76D5DA4-8E04-4328-B601-57C178E52FEF}"/>
    <cellStyle name="Currency 3 2 3 2 3 3" xfId="5465" xr:uid="{00000000-0005-0000-0000-0000080B0000}"/>
    <cellStyle name="Currency 3 2 3 2 3 3 2" xfId="13907" xr:uid="{0616F835-ECDD-4111-8327-65C6B39EF63C}"/>
    <cellStyle name="Currency 3 2 3 2 3 4" xfId="9689" xr:uid="{3D51CD33-AC77-4C77-B982-FA6BDD05CA1D}"/>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886757DE-3497-49E2-B901-2F7C8ABE68A7}"/>
    <cellStyle name="Currency 3 2 3 2 4 2 3" xfId="12247" xr:uid="{6F57EDA6-0262-4FF3-BAD8-193ECE0DD461}"/>
    <cellStyle name="Currency 3 2 3 2 4 3" xfId="5878" xr:uid="{00000000-0005-0000-0000-00000C0B0000}"/>
    <cellStyle name="Currency 3 2 3 2 4 3 2" xfId="14320" xr:uid="{9B609404-3DAA-4675-8757-1C7FB3999FDF}"/>
    <cellStyle name="Currency 3 2 3 2 4 4" xfId="10102" xr:uid="{1886C8C4-F0B1-4A63-BA08-EB3265F1CF59}"/>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0E7534A7-FC9D-43BD-B1E1-3180375F1A20}"/>
    <cellStyle name="Currency 3 2 3 2 5 2 3" xfId="12660" xr:uid="{E7AA0C95-2EDD-4379-A54C-02A73BA9424C}"/>
    <cellStyle name="Currency 3 2 3 2 5 3" xfId="6291" xr:uid="{00000000-0005-0000-0000-0000100B0000}"/>
    <cellStyle name="Currency 3 2 3 2 5 3 2" xfId="14733" xr:uid="{669AE1FB-E395-42CA-9CCE-960A44825445}"/>
    <cellStyle name="Currency 3 2 3 2 5 4" xfId="10515" xr:uid="{2B913DAE-E6B1-4311-B237-97DE5BBF25A3}"/>
    <cellStyle name="Currency 3 2 3 2 6" xfId="2419" xr:uid="{00000000-0005-0000-0000-0000110B0000}"/>
    <cellStyle name="Currency 3 2 3 2 6 2" xfId="6704" xr:uid="{00000000-0005-0000-0000-0000120B0000}"/>
    <cellStyle name="Currency 3 2 3 2 6 2 2" xfId="15146" xr:uid="{C2B7A068-A984-4844-8A54-2E747420764E}"/>
    <cellStyle name="Currency 3 2 3 2 6 3" xfId="10928" xr:uid="{C4479DF8-A6C9-40C9-AD1B-4E91B3A21CC4}"/>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7BC42A01-51A9-4262-92DD-0B5A9EF10030}"/>
    <cellStyle name="Currency 3 2 3 2 8 3" xfId="11245" xr:uid="{86A5A81B-029C-419B-BC45-766CAF618EA9}"/>
    <cellStyle name="Currency 3 2 3 2 9" xfId="4638" xr:uid="{00000000-0005-0000-0000-0000160B0000}"/>
    <cellStyle name="Currency 3 2 3 2 9 2" xfId="13080" xr:uid="{D080C6D2-CECA-458B-8BE4-701D5BCBD57F}"/>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C2ADB753-ADC4-432D-8184-1B5D5831E96C}"/>
    <cellStyle name="Currency 3 2 3 3 2 3" xfId="11420" xr:uid="{6B5FBF84-3DF6-456E-AF4D-3554D216D065}"/>
    <cellStyle name="Currency 3 2 3 3 3" xfId="5051" xr:uid="{00000000-0005-0000-0000-00001A0B0000}"/>
    <cellStyle name="Currency 3 2 3 3 3 2" xfId="13493" xr:uid="{A8634765-A28E-48AE-BB91-D10D5F21861D}"/>
    <cellStyle name="Currency 3 2 3 3 4" xfId="9275" xr:uid="{07A4E7C6-7DC5-412E-97B8-987F04A80A24}"/>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FE0E258E-D728-47F1-9558-6614EE99DD4E}"/>
    <cellStyle name="Currency 3 2 3 4 2 3" xfId="11833" xr:uid="{2BAA149A-ABA7-4504-A104-A7CD78309D8C}"/>
    <cellStyle name="Currency 3 2 3 4 3" xfId="5464" xr:uid="{00000000-0005-0000-0000-00001E0B0000}"/>
    <cellStyle name="Currency 3 2 3 4 3 2" xfId="13906" xr:uid="{48EC1CA9-BB45-4098-8531-25D0897B2C5D}"/>
    <cellStyle name="Currency 3 2 3 4 4" xfId="9688" xr:uid="{B12FE5B1-86E1-4982-ADFD-46F366E3FCB2}"/>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48CE5FC9-5D51-45F9-9715-94EDF7F0FD57}"/>
    <cellStyle name="Currency 3 2 3 5 2 3" xfId="12246" xr:uid="{FA8FBF28-5602-4676-B0F7-A64D205822F0}"/>
    <cellStyle name="Currency 3 2 3 5 3" xfId="5877" xr:uid="{00000000-0005-0000-0000-0000220B0000}"/>
    <cellStyle name="Currency 3 2 3 5 3 2" xfId="14319" xr:uid="{9A439F84-77E5-4B0D-8255-832BD22127C0}"/>
    <cellStyle name="Currency 3 2 3 5 4" xfId="10101" xr:uid="{105E9050-31E7-4E12-BAED-923D9A92451A}"/>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8859372A-3368-429D-AAF1-43E3CD1DA06C}"/>
    <cellStyle name="Currency 3 2 3 6 2 3" xfId="12659" xr:uid="{49A4754F-567C-40E2-BA60-A408612D3AD0}"/>
    <cellStyle name="Currency 3 2 3 6 3" xfId="6290" xr:uid="{00000000-0005-0000-0000-0000260B0000}"/>
    <cellStyle name="Currency 3 2 3 6 3 2" xfId="14732" xr:uid="{DEE3F92C-066B-4DE6-BF84-94681990582C}"/>
    <cellStyle name="Currency 3 2 3 6 4" xfId="10514" xr:uid="{149146B4-06D6-4BC5-B96E-C0462FF595AA}"/>
    <cellStyle name="Currency 3 2 3 7" xfId="2418" xr:uid="{00000000-0005-0000-0000-0000270B0000}"/>
    <cellStyle name="Currency 3 2 3 7 2" xfId="6703" xr:uid="{00000000-0005-0000-0000-0000280B0000}"/>
    <cellStyle name="Currency 3 2 3 7 2 2" xfId="15145" xr:uid="{37812B70-1EF7-48D2-A270-695FBB1F903D}"/>
    <cellStyle name="Currency 3 2 3 7 3" xfId="10927" xr:uid="{B0DC04AF-1E1B-4423-83B2-C3384EC24DEA}"/>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2D461D0B-3854-4F64-AA1F-5E05BFF78668}"/>
    <cellStyle name="Currency 3 2 3 9 3" xfId="11244" xr:uid="{5EF68F8C-B8AF-436E-8A11-1ACC5B2D4221}"/>
    <cellStyle name="Currency 3 2 4" xfId="184" xr:uid="{00000000-0005-0000-0000-00002C0B0000}"/>
    <cellStyle name="Currency 3 2 4 10" xfId="8863" xr:uid="{5040840A-7547-464F-BACA-72261261FC9E}"/>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87330579-4A83-4583-9046-07C3C0C20DA1}"/>
    <cellStyle name="Currency 3 2 4 2 2 3" xfId="11422" xr:uid="{DCA8E138-8F0C-48DA-8E23-A8B6120A5863}"/>
    <cellStyle name="Currency 3 2 4 2 3" xfId="5053" xr:uid="{00000000-0005-0000-0000-0000300B0000}"/>
    <cellStyle name="Currency 3 2 4 2 3 2" xfId="13495" xr:uid="{73CA02AA-F179-4F81-8866-8D9739E7FF10}"/>
    <cellStyle name="Currency 3 2 4 2 4" xfId="9277" xr:uid="{EAAD3147-048F-45E1-B826-31D02DFF11D4}"/>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7D27052F-E987-4799-A2E6-2BB03D9CD166}"/>
    <cellStyle name="Currency 3 2 4 3 2 3" xfId="11835" xr:uid="{866BDF7B-813C-4F12-A1D6-5AB06C16BE5C}"/>
    <cellStyle name="Currency 3 2 4 3 3" xfId="5466" xr:uid="{00000000-0005-0000-0000-0000340B0000}"/>
    <cellStyle name="Currency 3 2 4 3 3 2" xfId="13908" xr:uid="{BB28AC96-D902-4114-ACAE-C44A3C57837B}"/>
    <cellStyle name="Currency 3 2 4 3 4" xfId="9690" xr:uid="{1E19F7A3-78A8-4450-87DD-87AB273EECE0}"/>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4A625F0A-5C43-443F-9D23-0FB36295755F}"/>
    <cellStyle name="Currency 3 2 4 4 2 3" xfId="12248" xr:uid="{50A40B44-0F9D-4460-A44B-B11FF1C66B58}"/>
    <cellStyle name="Currency 3 2 4 4 3" xfId="5879" xr:uid="{00000000-0005-0000-0000-0000380B0000}"/>
    <cellStyle name="Currency 3 2 4 4 3 2" xfId="14321" xr:uid="{41C7770B-C40C-41CE-B94D-6E604161C133}"/>
    <cellStyle name="Currency 3 2 4 4 4" xfId="10103" xr:uid="{9BB57C97-FB38-4A55-AEC0-01B116DA43F2}"/>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A97F3379-7599-41FD-9749-E1E0F23AA9EF}"/>
    <cellStyle name="Currency 3 2 4 5 2 3" xfId="12661" xr:uid="{8BFF86FF-A06E-4C44-B717-9D8B6B4424D0}"/>
    <cellStyle name="Currency 3 2 4 5 3" xfId="6292" xr:uid="{00000000-0005-0000-0000-00003C0B0000}"/>
    <cellStyle name="Currency 3 2 4 5 3 2" xfId="14734" xr:uid="{B4040536-48DB-464E-AF0B-135600D5F7A8}"/>
    <cellStyle name="Currency 3 2 4 5 4" xfId="10516" xr:uid="{1B4D4406-3796-4291-B6B0-9D55287BD031}"/>
    <cellStyle name="Currency 3 2 4 6" xfId="2420" xr:uid="{00000000-0005-0000-0000-00003D0B0000}"/>
    <cellStyle name="Currency 3 2 4 6 2" xfId="6705" xr:uid="{00000000-0005-0000-0000-00003E0B0000}"/>
    <cellStyle name="Currency 3 2 4 6 2 2" xfId="15147" xr:uid="{5FC1B886-A03F-481A-9667-F3885C80DB78}"/>
    <cellStyle name="Currency 3 2 4 6 3" xfId="10929" xr:uid="{EF4A2A82-D966-440E-839D-B2FA55FFEFA5}"/>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7468DD50-C3E7-410C-B760-B502264ABA3B}"/>
    <cellStyle name="Currency 3 2 4 8 3" xfId="11246" xr:uid="{CE133770-8043-4E3E-B8E4-23148E3D69D7}"/>
    <cellStyle name="Currency 3 2 4 9" xfId="4639" xr:uid="{00000000-0005-0000-0000-0000420B0000}"/>
    <cellStyle name="Currency 3 2 4 9 2" xfId="13081" xr:uid="{B5FF7A5F-54E3-4B30-8539-E220B0A43EEB}"/>
    <cellStyle name="Currency 3 2 5" xfId="185" xr:uid="{00000000-0005-0000-0000-0000430B0000}"/>
    <cellStyle name="Currency 3 2 5 10" xfId="8864" xr:uid="{84ACDD64-90BA-4B4A-85D2-7F3FC908C8F7}"/>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AF0BF7EC-36EA-450B-8DFB-14D2DB2688DC}"/>
    <cellStyle name="Currency 3 2 5 2 2 3" xfId="11423" xr:uid="{BD4C298D-5513-44D3-92D2-826139E456BA}"/>
    <cellStyle name="Currency 3 2 5 2 3" xfId="5054" xr:uid="{00000000-0005-0000-0000-0000470B0000}"/>
    <cellStyle name="Currency 3 2 5 2 3 2" xfId="13496" xr:uid="{50EBD0BD-64CF-41DF-8DE8-AFC783B509E3}"/>
    <cellStyle name="Currency 3 2 5 2 4" xfId="9278" xr:uid="{10BB9710-BE69-4305-A10C-E08A3840DB53}"/>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5E0CEB04-CB68-4344-8316-5FF681698B20}"/>
    <cellStyle name="Currency 3 2 5 3 2 3" xfId="11836" xr:uid="{8959A29C-74AA-417F-B4F6-8E5350078CD3}"/>
    <cellStyle name="Currency 3 2 5 3 3" xfId="5467" xr:uid="{00000000-0005-0000-0000-00004B0B0000}"/>
    <cellStyle name="Currency 3 2 5 3 3 2" xfId="13909" xr:uid="{CB61CA0B-5A2B-4E5B-81E6-6F3A2E235E97}"/>
    <cellStyle name="Currency 3 2 5 3 4" xfId="9691" xr:uid="{D77D159E-551D-46FB-823A-58C2881A7DD5}"/>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10B8E598-43F8-4F02-918D-E3EA48AEA1A8}"/>
    <cellStyle name="Currency 3 2 5 4 2 3" xfId="12249" xr:uid="{76E7DCA0-E6AF-46E6-BE49-08834F6CA1B1}"/>
    <cellStyle name="Currency 3 2 5 4 3" xfId="5880" xr:uid="{00000000-0005-0000-0000-00004F0B0000}"/>
    <cellStyle name="Currency 3 2 5 4 3 2" xfId="14322" xr:uid="{2B784E07-CA88-4AAD-90B7-A3159380DCAF}"/>
    <cellStyle name="Currency 3 2 5 4 4" xfId="10104" xr:uid="{9A6753B9-846A-4B9F-8EF3-D0B17C86A4C3}"/>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CFF17406-10CD-47D0-A156-AC4F264705FE}"/>
    <cellStyle name="Currency 3 2 5 5 2 3" xfId="12662" xr:uid="{192D99B3-7035-4F8E-A60E-D1A3109CA79C}"/>
    <cellStyle name="Currency 3 2 5 5 3" xfId="6293" xr:uid="{00000000-0005-0000-0000-0000530B0000}"/>
    <cellStyle name="Currency 3 2 5 5 3 2" xfId="14735" xr:uid="{199C83FE-BCC4-4B33-8641-3D5BB3F6D0F2}"/>
    <cellStyle name="Currency 3 2 5 5 4" xfId="10517" xr:uid="{C82DCB5B-22E4-47A2-8063-F472BB2F124E}"/>
    <cellStyle name="Currency 3 2 5 6" xfId="2421" xr:uid="{00000000-0005-0000-0000-0000540B0000}"/>
    <cellStyle name="Currency 3 2 5 6 2" xfId="6706" xr:uid="{00000000-0005-0000-0000-0000550B0000}"/>
    <cellStyle name="Currency 3 2 5 6 2 2" xfId="15148" xr:uid="{F8746043-4600-4606-8524-597D0900D27E}"/>
    <cellStyle name="Currency 3 2 5 6 3" xfId="10930" xr:uid="{39C594FB-2F42-493E-9D1D-9590060B4EC2}"/>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BF456CED-3AD2-4989-A3C3-07B681D7272C}"/>
    <cellStyle name="Currency 3 2 5 8 3" xfId="11247" xr:uid="{76005C53-9E77-4934-8C92-A260B2F24EE7}"/>
    <cellStyle name="Currency 3 2 5 9" xfId="4640" xr:uid="{00000000-0005-0000-0000-0000590B0000}"/>
    <cellStyle name="Currency 3 2 5 9 2" xfId="13082" xr:uid="{04B5F66A-DC12-40B3-98A5-4107384A89B2}"/>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4D67B5EF-1A7C-4DCF-B888-DD26A0F9B3E0}"/>
    <cellStyle name="Currency 5 2 2 2 10 3" xfId="11248" xr:uid="{2E46976E-D10D-46E7-8733-4658AC0A3B10}"/>
    <cellStyle name="Currency 5 2 2 2 11" xfId="4641" xr:uid="{00000000-0005-0000-0000-00006C0B0000}"/>
    <cellStyle name="Currency 5 2 2 2 11 2" xfId="13083" xr:uid="{E99A2A49-5E6F-49A6-B2B7-6989791242D6}"/>
    <cellStyle name="Currency 5 2 2 2 12" xfId="8865" xr:uid="{87A215DD-BE47-44CE-8F36-CA22A9BE27F0}"/>
    <cellStyle name="Currency 5 2 2 2 2" xfId="197" xr:uid="{00000000-0005-0000-0000-00006D0B0000}"/>
    <cellStyle name="Currency 5 2 2 2 2 10" xfId="4642" xr:uid="{00000000-0005-0000-0000-00006E0B0000}"/>
    <cellStyle name="Currency 5 2 2 2 2 10 2" xfId="13084" xr:uid="{F07AC634-112B-4082-84EB-F4EB6DACE992}"/>
    <cellStyle name="Currency 5 2 2 2 2 11" xfId="8866" xr:uid="{C6177ED0-6DFC-4FA8-BF67-80F751018096}"/>
    <cellStyle name="Currency 5 2 2 2 2 2" xfId="198" xr:uid="{00000000-0005-0000-0000-00006F0B0000}"/>
    <cellStyle name="Currency 5 2 2 2 2 2 10" xfId="8867" xr:uid="{4475EE33-3436-4F32-8F52-A37995D8A792}"/>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9DA0B8D7-C593-43E6-8E93-C66B2D839479}"/>
    <cellStyle name="Currency 5 2 2 2 2 2 2 2 3" xfId="11426" xr:uid="{266304E8-BF06-4A0D-B27A-BC222C4B533F}"/>
    <cellStyle name="Currency 5 2 2 2 2 2 2 3" xfId="5057" xr:uid="{00000000-0005-0000-0000-0000730B0000}"/>
    <cellStyle name="Currency 5 2 2 2 2 2 2 3 2" xfId="13499" xr:uid="{027F89DD-B57F-4682-A1FF-3B582B6A3721}"/>
    <cellStyle name="Currency 5 2 2 2 2 2 2 4" xfId="9281" xr:uid="{33C3161F-44F6-4368-BE7E-F7B4552DF1C2}"/>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3DDF2837-B3BB-42AD-A4A6-9878C5B466EE}"/>
    <cellStyle name="Currency 5 2 2 2 2 2 3 2 3" xfId="11839" xr:uid="{F9959B7D-2D0C-4A33-AD60-273CA212BE46}"/>
    <cellStyle name="Currency 5 2 2 2 2 2 3 3" xfId="5470" xr:uid="{00000000-0005-0000-0000-0000770B0000}"/>
    <cellStyle name="Currency 5 2 2 2 2 2 3 3 2" xfId="13912" xr:uid="{C7946F08-840D-4405-B3D7-ACC7B66950E6}"/>
    <cellStyle name="Currency 5 2 2 2 2 2 3 4" xfId="9694" xr:uid="{1CCA3E6E-853D-4908-9EC5-746AAE10DF5A}"/>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F334A7FA-1EBC-48DA-A062-8CBB98BFBF84}"/>
    <cellStyle name="Currency 5 2 2 2 2 2 4 2 3" xfId="12252" xr:uid="{1B2E0065-7FE9-4DB7-8BF9-ECDB6DEF6063}"/>
    <cellStyle name="Currency 5 2 2 2 2 2 4 3" xfId="5883" xr:uid="{00000000-0005-0000-0000-00007B0B0000}"/>
    <cellStyle name="Currency 5 2 2 2 2 2 4 3 2" xfId="14325" xr:uid="{15C3ACA5-1423-4F46-83CE-3EB3105D0ADE}"/>
    <cellStyle name="Currency 5 2 2 2 2 2 4 4" xfId="10107" xr:uid="{D629FD48-57D5-4268-A548-ED5B0D16EF9B}"/>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AA22CCC2-7261-4833-B878-E93CE0F04342}"/>
    <cellStyle name="Currency 5 2 2 2 2 2 5 2 3" xfId="12665" xr:uid="{A2F7A9D5-CEB1-4BC4-AD5A-0B50AB20A794}"/>
    <cellStyle name="Currency 5 2 2 2 2 2 5 3" xfId="6296" xr:uid="{00000000-0005-0000-0000-00007F0B0000}"/>
    <cellStyle name="Currency 5 2 2 2 2 2 5 3 2" xfId="14738" xr:uid="{C16ABFBA-75E4-47B5-9713-4E552175A9E1}"/>
    <cellStyle name="Currency 5 2 2 2 2 2 5 4" xfId="10520" xr:uid="{7D3DF728-F612-48BD-8884-4997714A1E93}"/>
    <cellStyle name="Currency 5 2 2 2 2 2 6" xfId="2424" xr:uid="{00000000-0005-0000-0000-0000800B0000}"/>
    <cellStyle name="Currency 5 2 2 2 2 2 6 2" xfId="6709" xr:uid="{00000000-0005-0000-0000-0000810B0000}"/>
    <cellStyle name="Currency 5 2 2 2 2 2 6 2 2" xfId="15151" xr:uid="{305F8E4E-8599-458A-B0F5-81A5A7148F5F}"/>
    <cellStyle name="Currency 5 2 2 2 2 2 6 3" xfId="10933" xr:uid="{0F9B99BE-F13C-48B5-934C-9E61B738A3A1}"/>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B41B52E2-7684-4081-846B-6A11E1F0EECB}"/>
    <cellStyle name="Currency 5 2 2 2 2 2 8 3" xfId="11250" xr:uid="{C3BC818E-6F8B-497A-AB27-BB297D78A4E1}"/>
    <cellStyle name="Currency 5 2 2 2 2 2 9" xfId="4643" xr:uid="{00000000-0005-0000-0000-0000850B0000}"/>
    <cellStyle name="Currency 5 2 2 2 2 2 9 2" xfId="13085" xr:uid="{F5A33358-A108-47CB-8DEE-EC836E01A99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F2607EA0-92C2-48DC-BAC1-AD02ADF4B67A}"/>
    <cellStyle name="Currency 5 2 2 2 2 3 2 3" xfId="11425" xr:uid="{F35E5209-A13D-431C-A05F-7B5DA5E4CD92}"/>
    <cellStyle name="Currency 5 2 2 2 2 3 3" xfId="5056" xr:uid="{00000000-0005-0000-0000-0000890B0000}"/>
    <cellStyle name="Currency 5 2 2 2 2 3 3 2" xfId="13498" xr:uid="{4BF3406A-73BE-4466-BD68-6A70BCD64397}"/>
    <cellStyle name="Currency 5 2 2 2 2 3 4" xfId="9280" xr:uid="{17A8040A-3634-4B8A-933A-98B29A64FAAC}"/>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3AD27F6C-1F82-424A-9FCE-F2ED18476E0C}"/>
    <cellStyle name="Currency 5 2 2 2 2 4 2 3" xfId="11838" xr:uid="{BB911EBD-530F-4E40-80B4-13DC4B0F10A9}"/>
    <cellStyle name="Currency 5 2 2 2 2 4 3" xfId="5469" xr:uid="{00000000-0005-0000-0000-00008D0B0000}"/>
    <cellStyle name="Currency 5 2 2 2 2 4 3 2" xfId="13911" xr:uid="{087BC270-F0D3-4128-87A7-BAACA288DF79}"/>
    <cellStyle name="Currency 5 2 2 2 2 4 4" xfId="9693" xr:uid="{C000323E-C06C-41AE-9A13-492DE7F59B45}"/>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A00D66BE-A555-4B1C-AD2C-E21B1522CED5}"/>
    <cellStyle name="Currency 5 2 2 2 2 5 2 3" xfId="12251" xr:uid="{FF756FCA-1E3F-4778-BA1C-30170D8649E0}"/>
    <cellStyle name="Currency 5 2 2 2 2 5 3" xfId="5882" xr:uid="{00000000-0005-0000-0000-0000910B0000}"/>
    <cellStyle name="Currency 5 2 2 2 2 5 3 2" xfId="14324" xr:uid="{20D90FE7-832E-48BF-8FBF-B732484C1F04}"/>
    <cellStyle name="Currency 5 2 2 2 2 5 4" xfId="10106" xr:uid="{B67B40FC-F9A5-4A29-872C-55402515AA1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E279CFA0-93E0-4CBB-9248-8BE1D19E8155}"/>
    <cellStyle name="Currency 5 2 2 2 2 6 2 3" xfId="12664" xr:uid="{1857D2D1-9AAF-4657-8814-8D53F2D4CF41}"/>
    <cellStyle name="Currency 5 2 2 2 2 6 3" xfId="6295" xr:uid="{00000000-0005-0000-0000-0000950B0000}"/>
    <cellStyle name="Currency 5 2 2 2 2 6 3 2" xfId="14737" xr:uid="{24DC32D3-B097-47C0-8E62-6232B76550DA}"/>
    <cellStyle name="Currency 5 2 2 2 2 6 4" xfId="10519" xr:uid="{41E80024-EC74-4B6E-B8AE-6C17204FF624}"/>
    <cellStyle name="Currency 5 2 2 2 2 7" xfId="2423" xr:uid="{00000000-0005-0000-0000-0000960B0000}"/>
    <cellStyle name="Currency 5 2 2 2 2 7 2" xfId="6708" xr:uid="{00000000-0005-0000-0000-0000970B0000}"/>
    <cellStyle name="Currency 5 2 2 2 2 7 2 2" xfId="15150" xr:uid="{D7D19C69-6710-4482-8C92-46F52E805B55}"/>
    <cellStyle name="Currency 5 2 2 2 2 7 3" xfId="10932" xr:uid="{6430C52F-423F-40C7-A441-3454AB99572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D276EE9B-CBD4-4853-8A34-15D4D5965354}"/>
    <cellStyle name="Currency 5 2 2 2 2 9 3" xfId="11249" xr:uid="{952226DF-2A31-4540-ABD6-B6565A59BC88}"/>
    <cellStyle name="Currency 5 2 2 2 3" xfId="199" xr:uid="{00000000-0005-0000-0000-00009B0B0000}"/>
    <cellStyle name="Currency 5 2 2 2 3 10" xfId="8868" xr:uid="{8D61AC9B-92C6-4DA4-9FE6-8A84B79EEA4E}"/>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3D6B6A37-D5BC-4714-BA09-236DCD0DD42D}"/>
    <cellStyle name="Currency 5 2 2 2 3 2 2 3" xfId="11427" xr:uid="{FF2527C1-95F1-4C5A-A95E-23A64E154EC6}"/>
    <cellStyle name="Currency 5 2 2 2 3 2 3" xfId="5058" xr:uid="{00000000-0005-0000-0000-00009F0B0000}"/>
    <cellStyle name="Currency 5 2 2 2 3 2 3 2" xfId="13500" xr:uid="{4384667B-F0D5-44A1-B661-03593C30A4A2}"/>
    <cellStyle name="Currency 5 2 2 2 3 2 4" xfId="9282" xr:uid="{744C265F-665D-443E-AEE0-60CF104C8463}"/>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13BD8C55-F15E-4235-88E7-0782EAEF1DEC}"/>
    <cellStyle name="Currency 5 2 2 2 3 3 2 3" xfId="11840" xr:uid="{4234DA46-0B92-4BBA-A12B-0664F12F06A6}"/>
    <cellStyle name="Currency 5 2 2 2 3 3 3" xfId="5471" xr:uid="{00000000-0005-0000-0000-0000A30B0000}"/>
    <cellStyle name="Currency 5 2 2 2 3 3 3 2" xfId="13913" xr:uid="{E2155749-DF1B-42A6-ABB6-C92CA906E63D}"/>
    <cellStyle name="Currency 5 2 2 2 3 3 4" xfId="9695" xr:uid="{CFA90375-6FAB-4EB0-BC8C-0C09FAB599D5}"/>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F9739116-24B9-4A47-9357-CDBD8E79B599}"/>
    <cellStyle name="Currency 5 2 2 2 3 4 2 3" xfId="12253" xr:uid="{57B7F19E-CF1B-4849-84A4-19BD474B325F}"/>
    <cellStyle name="Currency 5 2 2 2 3 4 3" xfId="5884" xr:uid="{00000000-0005-0000-0000-0000A70B0000}"/>
    <cellStyle name="Currency 5 2 2 2 3 4 3 2" xfId="14326" xr:uid="{2D0E929B-0C51-45B6-9E94-E6E87C38CBA1}"/>
    <cellStyle name="Currency 5 2 2 2 3 4 4" xfId="10108" xr:uid="{7DA345F0-512D-49C9-97F3-BE8EED7CFD08}"/>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64F8E5DE-0C13-4806-948A-D2BFCAA4934F}"/>
    <cellStyle name="Currency 5 2 2 2 3 5 2 3" xfId="12666" xr:uid="{42314DD9-0504-409B-8855-0B35121FB2E4}"/>
    <cellStyle name="Currency 5 2 2 2 3 5 3" xfId="6297" xr:uid="{00000000-0005-0000-0000-0000AB0B0000}"/>
    <cellStyle name="Currency 5 2 2 2 3 5 3 2" xfId="14739" xr:uid="{B752A694-A316-4ECF-B47E-47AB283D4303}"/>
    <cellStyle name="Currency 5 2 2 2 3 5 4" xfId="10521" xr:uid="{88E774D4-99C8-49DF-92BF-AF006FFAB676}"/>
    <cellStyle name="Currency 5 2 2 2 3 6" xfId="2425" xr:uid="{00000000-0005-0000-0000-0000AC0B0000}"/>
    <cellStyle name="Currency 5 2 2 2 3 6 2" xfId="6710" xr:uid="{00000000-0005-0000-0000-0000AD0B0000}"/>
    <cellStyle name="Currency 5 2 2 2 3 6 2 2" xfId="15152" xr:uid="{345C1682-A2E7-4263-83ED-D45356157BC8}"/>
    <cellStyle name="Currency 5 2 2 2 3 6 3" xfId="10934" xr:uid="{5A6E67CC-2AE2-4ACB-B356-A54EA93DED66}"/>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57DA1918-58B2-47F6-A61D-1A798188E76E}"/>
    <cellStyle name="Currency 5 2 2 2 3 8 3" xfId="11251" xr:uid="{5C1CE7CF-AF09-46E8-AC99-9E9D13174E08}"/>
    <cellStyle name="Currency 5 2 2 2 3 9" xfId="4644" xr:uid="{00000000-0005-0000-0000-0000B10B0000}"/>
    <cellStyle name="Currency 5 2 2 2 3 9 2" xfId="13086" xr:uid="{98446C40-DCB3-4B1D-B36E-EBBCACDF8B26}"/>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9EE6D9CB-8C60-4234-B150-C60332162418}"/>
    <cellStyle name="Currency 5 2 2 2 4 2 3" xfId="11424" xr:uid="{714BCBFC-F72C-4AAB-AD3F-20EC94816590}"/>
    <cellStyle name="Currency 5 2 2 2 4 3" xfId="5055" xr:uid="{00000000-0005-0000-0000-0000B50B0000}"/>
    <cellStyle name="Currency 5 2 2 2 4 3 2" xfId="13497" xr:uid="{8DB282A6-3AB3-4382-9E72-0F2DFDAA72E4}"/>
    <cellStyle name="Currency 5 2 2 2 4 4" xfId="9279" xr:uid="{8B8377FA-5B3B-4CB8-92AF-DE80C00CF93F}"/>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722676DB-286C-49FA-886D-E6D84259E039}"/>
    <cellStyle name="Currency 5 2 2 2 5 2 3" xfId="11837" xr:uid="{DFE6382A-B0F2-4563-98B2-546AF7EC7017}"/>
    <cellStyle name="Currency 5 2 2 2 5 3" xfId="5468" xr:uid="{00000000-0005-0000-0000-0000B90B0000}"/>
    <cellStyle name="Currency 5 2 2 2 5 3 2" xfId="13910" xr:uid="{319EE10F-688B-4973-8864-0B0173BB34FA}"/>
    <cellStyle name="Currency 5 2 2 2 5 4" xfId="9692" xr:uid="{09406CC4-5D26-413A-B545-72DC27C5525D}"/>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100C039B-CEF1-47A0-B179-8108D74A3D10}"/>
    <cellStyle name="Currency 5 2 2 2 6 2 3" xfId="12250" xr:uid="{C6ACD216-3FA0-4D91-9B11-A84BA2685645}"/>
    <cellStyle name="Currency 5 2 2 2 6 3" xfId="5881" xr:uid="{00000000-0005-0000-0000-0000BD0B0000}"/>
    <cellStyle name="Currency 5 2 2 2 6 3 2" xfId="14323" xr:uid="{3B1C0FD0-7011-49A7-A02F-5B0B8D11B550}"/>
    <cellStyle name="Currency 5 2 2 2 6 4" xfId="10105" xr:uid="{44A4782B-24C9-4646-BA5A-40356A87A7B8}"/>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EFB4A9DF-2435-4898-8322-3199D78C64C0}"/>
    <cellStyle name="Currency 5 2 2 2 7 2 3" xfId="12663" xr:uid="{E004D943-4B33-4EC0-9243-2D6B1681B512}"/>
    <cellStyle name="Currency 5 2 2 2 7 3" xfId="6294" xr:uid="{00000000-0005-0000-0000-0000C10B0000}"/>
    <cellStyle name="Currency 5 2 2 2 7 3 2" xfId="14736" xr:uid="{BABB9B56-8791-49AE-AE64-F251C1E29374}"/>
    <cellStyle name="Currency 5 2 2 2 7 4" xfId="10518" xr:uid="{36935B64-88FC-4AD0-8D61-B98848434775}"/>
    <cellStyle name="Currency 5 2 2 2 8" xfId="2422" xr:uid="{00000000-0005-0000-0000-0000C20B0000}"/>
    <cellStyle name="Currency 5 2 2 2 8 2" xfId="6707" xr:uid="{00000000-0005-0000-0000-0000C30B0000}"/>
    <cellStyle name="Currency 5 2 2 2 8 2 2" xfId="15149" xr:uid="{83543E87-0A14-459A-A36C-F947068760C7}"/>
    <cellStyle name="Currency 5 2 2 2 8 3" xfId="10931" xr:uid="{0AEF371E-1EEE-4DEF-8543-0825A50EA825}"/>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8F44B19E-B046-4E15-AC5B-BD54CA1CBE88}"/>
    <cellStyle name="Currency 5 2 2 3 11" xfId="8869" xr:uid="{2EB387D9-8D32-4756-9DF2-3AFD155FD7F1}"/>
    <cellStyle name="Currency 5 2 2 3 2" xfId="201" xr:uid="{00000000-0005-0000-0000-0000C70B0000}"/>
    <cellStyle name="Currency 5 2 2 3 2 10" xfId="8870" xr:uid="{386F76F7-9F31-438B-86C9-67EB0AD9799E}"/>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B2B79C57-B6C5-4A23-9780-B96D5FF944AC}"/>
    <cellStyle name="Currency 5 2 2 3 2 2 2 3" xfId="11429" xr:uid="{5066D408-337A-462F-B364-90C53C443DD9}"/>
    <cellStyle name="Currency 5 2 2 3 2 2 3" xfId="5060" xr:uid="{00000000-0005-0000-0000-0000CB0B0000}"/>
    <cellStyle name="Currency 5 2 2 3 2 2 3 2" xfId="13502" xr:uid="{4A79DFCD-363F-459E-BE69-97BBDE8BFE34}"/>
    <cellStyle name="Currency 5 2 2 3 2 2 4" xfId="9284" xr:uid="{048C7861-9942-4DBE-844D-4C2DDD81ABA6}"/>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E9C72A0A-C47B-4FFA-B3E2-4CDD904E94A1}"/>
    <cellStyle name="Currency 5 2 2 3 2 3 2 3" xfId="11842" xr:uid="{333DAA3E-3D59-418C-BB65-DC123D7B8C66}"/>
    <cellStyle name="Currency 5 2 2 3 2 3 3" xfId="5473" xr:uid="{00000000-0005-0000-0000-0000CF0B0000}"/>
    <cellStyle name="Currency 5 2 2 3 2 3 3 2" xfId="13915" xr:uid="{20738EBD-B77D-40B6-8E9D-A9F1550001A6}"/>
    <cellStyle name="Currency 5 2 2 3 2 3 4" xfId="9697" xr:uid="{EA140E3E-7E3E-4123-97A0-6103366E1105}"/>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4CD3FAD5-7058-41AF-BC73-CEE88446420B}"/>
    <cellStyle name="Currency 5 2 2 3 2 4 2 3" xfId="12255" xr:uid="{4FFC34A6-9B69-49E9-95BD-25361193E237}"/>
    <cellStyle name="Currency 5 2 2 3 2 4 3" xfId="5886" xr:uid="{00000000-0005-0000-0000-0000D30B0000}"/>
    <cellStyle name="Currency 5 2 2 3 2 4 3 2" xfId="14328" xr:uid="{577026F7-2FA5-4246-990E-EDF4328E2AAF}"/>
    <cellStyle name="Currency 5 2 2 3 2 4 4" xfId="10110" xr:uid="{0A4A2C24-2BED-484A-9104-E11F650195DF}"/>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BE746C64-8C5C-4B53-83BD-4D175FA2D52F}"/>
    <cellStyle name="Currency 5 2 2 3 2 5 2 3" xfId="12668" xr:uid="{8C7853E0-19F2-47FC-B378-802D68F74EA4}"/>
    <cellStyle name="Currency 5 2 2 3 2 5 3" xfId="6299" xr:uid="{00000000-0005-0000-0000-0000D70B0000}"/>
    <cellStyle name="Currency 5 2 2 3 2 5 3 2" xfId="14741" xr:uid="{17FB3875-C10B-4591-BAE3-977B9F2716C4}"/>
    <cellStyle name="Currency 5 2 2 3 2 5 4" xfId="10523" xr:uid="{06A5B35E-6CE4-4796-9C41-2A85E2030355}"/>
    <cellStyle name="Currency 5 2 2 3 2 6" xfId="2427" xr:uid="{00000000-0005-0000-0000-0000D80B0000}"/>
    <cellStyle name="Currency 5 2 2 3 2 6 2" xfId="6712" xr:uid="{00000000-0005-0000-0000-0000D90B0000}"/>
    <cellStyle name="Currency 5 2 2 3 2 6 2 2" xfId="15154" xr:uid="{970F4ABA-AC55-4C0E-8D5D-BE9C2239B3BC}"/>
    <cellStyle name="Currency 5 2 2 3 2 6 3" xfId="10936" xr:uid="{C54A8899-B471-41C1-8E80-F573C1DB7AF1}"/>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98F74CC8-D3E8-4DC9-85DA-64CAA0C246B4}"/>
    <cellStyle name="Currency 5 2 2 3 2 8 3" xfId="11253" xr:uid="{C9E00BBD-C206-4B31-ACA3-7E34D52638B3}"/>
    <cellStyle name="Currency 5 2 2 3 2 9" xfId="4646" xr:uid="{00000000-0005-0000-0000-0000DD0B0000}"/>
    <cellStyle name="Currency 5 2 2 3 2 9 2" xfId="13088" xr:uid="{D885B0E0-BB56-4D16-99C0-4BCA32E91DCF}"/>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1932B3EA-6690-4AB8-B9D6-CE93828C1186}"/>
    <cellStyle name="Currency 5 2 2 3 3 2 3" xfId="11428" xr:uid="{A42AB2A7-6EF7-448C-ABFA-F57EF9AE6BDE}"/>
    <cellStyle name="Currency 5 2 2 3 3 3" xfId="5059" xr:uid="{00000000-0005-0000-0000-0000E10B0000}"/>
    <cellStyle name="Currency 5 2 2 3 3 3 2" xfId="13501" xr:uid="{A34E10A6-E8D3-41D0-A255-1CBC6C6407BF}"/>
    <cellStyle name="Currency 5 2 2 3 3 4" xfId="9283" xr:uid="{EB7E6568-4578-4A9C-80B1-9B1B6EE46AC5}"/>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66A928B9-5AC3-4DDD-9C42-F3FBE180A4CB}"/>
    <cellStyle name="Currency 5 2 2 3 4 2 3" xfId="11841" xr:uid="{7A3EA6C7-59DC-43B0-A0BD-E8CF22025AAF}"/>
    <cellStyle name="Currency 5 2 2 3 4 3" xfId="5472" xr:uid="{00000000-0005-0000-0000-0000E50B0000}"/>
    <cellStyle name="Currency 5 2 2 3 4 3 2" xfId="13914" xr:uid="{437F54E1-CC2B-4546-B19C-41CC3B0911BE}"/>
    <cellStyle name="Currency 5 2 2 3 4 4" xfId="9696" xr:uid="{65DCAA0B-4245-476B-AED2-FE57FFBD136D}"/>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30CBB8A4-82D9-46F6-A8B1-75DBF273BE96}"/>
    <cellStyle name="Currency 5 2 2 3 5 2 3" xfId="12254" xr:uid="{7D6D956D-AEE2-4345-8983-2DAB0F1B6D88}"/>
    <cellStyle name="Currency 5 2 2 3 5 3" xfId="5885" xr:uid="{00000000-0005-0000-0000-0000E90B0000}"/>
    <cellStyle name="Currency 5 2 2 3 5 3 2" xfId="14327" xr:uid="{5438F12F-178E-4A5B-BB12-CE55D3173534}"/>
    <cellStyle name="Currency 5 2 2 3 5 4" xfId="10109" xr:uid="{F51DFB85-5861-42D3-9EEC-11C98DDA78AD}"/>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B62C3E0A-CF71-4FD5-B411-9F3F467FD637}"/>
    <cellStyle name="Currency 5 2 2 3 6 2 3" xfId="12667" xr:uid="{06AF2886-AAFA-4958-8DA0-79E78A77702F}"/>
    <cellStyle name="Currency 5 2 2 3 6 3" xfId="6298" xr:uid="{00000000-0005-0000-0000-0000ED0B0000}"/>
    <cellStyle name="Currency 5 2 2 3 6 3 2" xfId="14740" xr:uid="{6EFBDB02-BA2E-46B9-9660-ECDFCB1EE005}"/>
    <cellStyle name="Currency 5 2 2 3 6 4" xfId="10522" xr:uid="{8398A6B2-5442-480B-ACAE-8A4F8D0A28D8}"/>
    <cellStyle name="Currency 5 2 2 3 7" xfId="2426" xr:uid="{00000000-0005-0000-0000-0000EE0B0000}"/>
    <cellStyle name="Currency 5 2 2 3 7 2" xfId="6711" xr:uid="{00000000-0005-0000-0000-0000EF0B0000}"/>
    <cellStyle name="Currency 5 2 2 3 7 2 2" xfId="15153" xr:uid="{D4543682-E8D1-4494-B870-BDB9CA384E25}"/>
    <cellStyle name="Currency 5 2 2 3 7 3" xfId="10935" xr:uid="{CF07577E-7312-4E2B-B094-E44A34FE6CAD}"/>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4FBBE057-4120-46C6-BC24-61264241C884}"/>
    <cellStyle name="Currency 5 2 2 3 9 3" xfId="11252" xr:uid="{DCD71F49-46B3-42BC-B88A-4EC5361EC2DC}"/>
    <cellStyle name="Currency 5 2 2 4" xfId="202" xr:uid="{00000000-0005-0000-0000-0000F30B0000}"/>
    <cellStyle name="Currency 5 2 2 4 10" xfId="8871" xr:uid="{DDC2EC7C-525D-44D8-AC1E-9CE34890EDBE}"/>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24964530-C99E-43E6-AD44-44712BE6212B}"/>
    <cellStyle name="Currency 5 2 2 4 2 2 3" xfId="11430" xr:uid="{7C560779-25E7-432F-B118-CA62AAF2CD23}"/>
    <cellStyle name="Currency 5 2 2 4 2 3" xfId="5061" xr:uid="{00000000-0005-0000-0000-0000F70B0000}"/>
    <cellStyle name="Currency 5 2 2 4 2 3 2" xfId="13503" xr:uid="{2A90F3E4-09DA-4B04-8A88-6C5EE591FD55}"/>
    <cellStyle name="Currency 5 2 2 4 2 4" xfId="9285" xr:uid="{2FF7101C-0D00-4B7F-B600-6AC9D6C811A9}"/>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3C0D5B72-085A-412A-B5CF-7C7AACDD8A6C}"/>
    <cellStyle name="Currency 5 2 2 4 3 2 3" xfId="11843" xr:uid="{0F68C198-0A54-4577-B70B-490F4DABF7C3}"/>
    <cellStyle name="Currency 5 2 2 4 3 3" xfId="5474" xr:uid="{00000000-0005-0000-0000-0000FB0B0000}"/>
    <cellStyle name="Currency 5 2 2 4 3 3 2" xfId="13916" xr:uid="{A9FB2D35-441E-4BB0-BF22-F5739B1959F9}"/>
    <cellStyle name="Currency 5 2 2 4 3 4" xfId="9698" xr:uid="{E8670D38-0B54-4E1A-B1E1-9563955CC64C}"/>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CF32FF9A-6059-4A71-837D-763024A2BD1F}"/>
    <cellStyle name="Currency 5 2 2 4 4 2 3" xfId="12256" xr:uid="{4BD5446F-254E-4E8C-9207-2B37C1502ECE}"/>
    <cellStyle name="Currency 5 2 2 4 4 3" xfId="5887" xr:uid="{00000000-0005-0000-0000-0000FF0B0000}"/>
    <cellStyle name="Currency 5 2 2 4 4 3 2" xfId="14329" xr:uid="{313F8AA1-C86C-4E99-AF2A-F3D2B765AD07}"/>
    <cellStyle name="Currency 5 2 2 4 4 4" xfId="10111" xr:uid="{4A1D601F-C773-409B-BA2D-A62F6C711FBF}"/>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865BA9A5-EF38-4750-9BB5-8E4EED9EC58F}"/>
    <cellStyle name="Currency 5 2 2 4 5 2 3" xfId="12669" xr:uid="{6BD660BE-53AD-4FBD-BA1D-6FAFBCA40E37}"/>
    <cellStyle name="Currency 5 2 2 4 5 3" xfId="6300" xr:uid="{00000000-0005-0000-0000-0000030C0000}"/>
    <cellStyle name="Currency 5 2 2 4 5 3 2" xfId="14742" xr:uid="{57E98AFA-4EE7-4761-896E-C44A2645B53B}"/>
    <cellStyle name="Currency 5 2 2 4 5 4" xfId="10524" xr:uid="{D9D964BE-E40C-4B04-AF3F-1848E3EE19DC}"/>
    <cellStyle name="Currency 5 2 2 4 6" xfId="2428" xr:uid="{00000000-0005-0000-0000-0000040C0000}"/>
    <cellStyle name="Currency 5 2 2 4 6 2" xfId="6713" xr:uid="{00000000-0005-0000-0000-0000050C0000}"/>
    <cellStyle name="Currency 5 2 2 4 6 2 2" xfId="15155" xr:uid="{0D2BE40E-35A9-4FC9-ADFF-D25A7D660C0A}"/>
    <cellStyle name="Currency 5 2 2 4 6 3" xfId="10937" xr:uid="{13F8B04F-C2E3-490B-B631-4CA8734A2244}"/>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161CADEE-A6DF-4732-9712-9483825CCB4C}"/>
    <cellStyle name="Currency 5 2 2 4 8 3" xfId="11254" xr:uid="{254BC8DA-2960-4C08-9814-6D9EF1F654F5}"/>
    <cellStyle name="Currency 5 2 2 4 9" xfId="4647" xr:uid="{00000000-0005-0000-0000-0000090C0000}"/>
    <cellStyle name="Currency 5 2 2 4 9 2" xfId="13089" xr:uid="{56950547-B0E4-41BF-8958-BE3FCFFF1829}"/>
    <cellStyle name="Currency 5 2 2 5" xfId="203" xr:uid="{00000000-0005-0000-0000-00000A0C0000}"/>
    <cellStyle name="Currency 5 2 2 5 10" xfId="8872" xr:uid="{4C2431E2-7775-4910-B9E6-449B8A5A8315}"/>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91BBFD80-D987-4B11-BCDC-7BBBE5C0DFA1}"/>
    <cellStyle name="Currency 5 2 2 5 2 2 3" xfId="11431" xr:uid="{50BEB85F-B8B1-4E89-8ACE-2905CF068331}"/>
    <cellStyle name="Currency 5 2 2 5 2 3" xfId="5062" xr:uid="{00000000-0005-0000-0000-00000E0C0000}"/>
    <cellStyle name="Currency 5 2 2 5 2 3 2" xfId="13504" xr:uid="{BC74FDFD-6B02-4DBA-9535-71AEEC0B1792}"/>
    <cellStyle name="Currency 5 2 2 5 2 4" xfId="9286" xr:uid="{AD35E453-EC56-4118-AA04-7E04DBBAF913}"/>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5FCAE80C-0E7C-4824-B33A-C8944F1A3D87}"/>
    <cellStyle name="Currency 5 2 2 5 3 2 3" xfId="11844" xr:uid="{F4DABC4E-0991-4ACD-99C0-96B94039EE7E}"/>
    <cellStyle name="Currency 5 2 2 5 3 3" xfId="5475" xr:uid="{00000000-0005-0000-0000-0000120C0000}"/>
    <cellStyle name="Currency 5 2 2 5 3 3 2" xfId="13917" xr:uid="{B0636508-CA95-45EE-B09A-BFC5F7B1887B}"/>
    <cellStyle name="Currency 5 2 2 5 3 4" xfId="9699" xr:uid="{1C823675-233A-4734-BE90-543B8D4133EA}"/>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81EC1E25-33CA-4017-8F43-649C0917D459}"/>
    <cellStyle name="Currency 5 2 2 5 4 2 3" xfId="12257" xr:uid="{02A79240-0245-4104-86D3-0B8AB15CEBE0}"/>
    <cellStyle name="Currency 5 2 2 5 4 3" xfId="5888" xr:uid="{00000000-0005-0000-0000-0000160C0000}"/>
    <cellStyle name="Currency 5 2 2 5 4 3 2" xfId="14330" xr:uid="{A2E1CA12-DE1F-4806-AF80-356318691610}"/>
    <cellStyle name="Currency 5 2 2 5 4 4" xfId="10112" xr:uid="{BE16286E-2F96-447E-AC9E-ED69F7DFBFDA}"/>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BF6333EE-D422-4994-B200-22BD514C9B28}"/>
    <cellStyle name="Currency 5 2 2 5 5 2 3" xfId="12670" xr:uid="{AB9BFA16-17ED-4445-82CA-7B69FF064CBF}"/>
    <cellStyle name="Currency 5 2 2 5 5 3" xfId="6301" xr:uid="{00000000-0005-0000-0000-00001A0C0000}"/>
    <cellStyle name="Currency 5 2 2 5 5 3 2" xfId="14743" xr:uid="{540C2E2A-F82A-4A44-A6BE-CC8499012057}"/>
    <cellStyle name="Currency 5 2 2 5 5 4" xfId="10525" xr:uid="{64763749-AF7C-47F4-B2D7-9FD1138E813E}"/>
    <cellStyle name="Currency 5 2 2 5 6" xfId="2429" xr:uid="{00000000-0005-0000-0000-00001B0C0000}"/>
    <cellStyle name="Currency 5 2 2 5 6 2" xfId="6714" xr:uid="{00000000-0005-0000-0000-00001C0C0000}"/>
    <cellStyle name="Currency 5 2 2 5 6 2 2" xfId="15156" xr:uid="{0B6424D0-0EA6-4DD1-A5FA-8FAAEA3DF0E8}"/>
    <cellStyle name="Currency 5 2 2 5 6 3" xfId="10938" xr:uid="{949E478A-EC35-4ED1-A974-C5CF8175DB81}"/>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6AF03221-B77C-4E89-A8BF-9C43FECD2DEE}"/>
    <cellStyle name="Currency 5 2 2 5 8 3" xfId="11255" xr:uid="{12477D12-8803-4CA5-B7E7-33A362FC93FB}"/>
    <cellStyle name="Currency 5 2 2 5 9" xfId="4648" xr:uid="{00000000-0005-0000-0000-0000200C0000}"/>
    <cellStyle name="Currency 5 2 2 5 9 2" xfId="13090" xr:uid="{7EF9B11A-6D56-4A31-8D42-B638D6FD716C}"/>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361A7665-309C-474F-86D6-C8DB9A599847}"/>
    <cellStyle name="Currency 5 2 4 11" xfId="8873" xr:uid="{7A602F7D-FB4D-4610-A245-A4BC75B9B107}"/>
    <cellStyle name="Currency 5 2 4 2" xfId="206" xr:uid="{00000000-0005-0000-0000-0000250C0000}"/>
    <cellStyle name="Currency 5 2 4 2 10" xfId="8874" xr:uid="{338793A9-8520-454C-99E7-E71966EB6F7F}"/>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E0F9761D-25A6-47BA-AFD7-B0514681849D}"/>
    <cellStyle name="Currency 5 2 4 2 2 2 3" xfId="11433" xr:uid="{76B38ADF-D179-4C3C-80ED-E9BDC89AE284}"/>
    <cellStyle name="Currency 5 2 4 2 2 3" xfId="5064" xr:uid="{00000000-0005-0000-0000-0000290C0000}"/>
    <cellStyle name="Currency 5 2 4 2 2 3 2" xfId="13506" xr:uid="{352B6E23-8E28-49DE-840D-4D8764B54557}"/>
    <cellStyle name="Currency 5 2 4 2 2 4" xfId="9288" xr:uid="{A82FA9B1-0762-4AA8-93A8-B67C71376FA1}"/>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1796FE76-91D7-4262-8C3B-34C7BF27C94B}"/>
    <cellStyle name="Currency 5 2 4 2 3 2 3" xfId="11846" xr:uid="{2827E652-2D53-4F3E-8CC2-003F02F76411}"/>
    <cellStyle name="Currency 5 2 4 2 3 3" xfId="5477" xr:uid="{00000000-0005-0000-0000-00002D0C0000}"/>
    <cellStyle name="Currency 5 2 4 2 3 3 2" xfId="13919" xr:uid="{91A81A24-7445-4899-850F-005A7A6AC6FA}"/>
    <cellStyle name="Currency 5 2 4 2 3 4" xfId="9701" xr:uid="{732C014F-D613-4CC6-9859-5CFB9D0FDF51}"/>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7F750E31-D574-4762-AFF1-AF88F437F0E7}"/>
    <cellStyle name="Currency 5 2 4 2 4 2 3" xfId="12259" xr:uid="{158024F1-AB0F-4E33-A8B8-BA8053351881}"/>
    <cellStyle name="Currency 5 2 4 2 4 3" xfId="5890" xr:uid="{00000000-0005-0000-0000-0000310C0000}"/>
    <cellStyle name="Currency 5 2 4 2 4 3 2" xfId="14332" xr:uid="{E6854955-2823-47DA-B842-D14D8DEA3E86}"/>
    <cellStyle name="Currency 5 2 4 2 4 4" xfId="10114" xr:uid="{9BADE63B-8A81-4B95-8433-4BD8CCD0467F}"/>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F9F54D75-408D-4850-B2F6-01EAAB14A937}"/>
    <cellStyle name="Currency 5 2 4 2 5 2 3" xfId="12672" xr:uid="{B0198D27-F2FF-4F3F-9CE4-619A52757D57}"/>
    <cellStyle name="Currency 5 2 4 2 5 3" xfId="6303" xr:uid="{00000000-0005-0000-0000-0000350C0000}"/>
    <cellStyle name="Currency 5 2 4 2 5 3 2" xfId="14745" xr:uid="{8E76865D-8B03-47E3-8F6D-64D25181DD97}"/>
    <cellStyle name="Currency 5 2 4 2 5 4" xfId="10527" xr:uid="{A569DC97-F4A1-45A7-AEDC-51251394E4E8}"/>
    <cellStyle name="Currency 5 2 4 2 6" xfId="2431" xr:uid="{00000000-0005-0000-0000-0000360C0000}"/>
    <cellStyle name="Currency 5 2 4 2 6 2" xfId="6716" xr:uid="{00000000-0005-0000-0000-0000370C0000}"/>
    <cellStyle name="Currency 5 2 4 2 6 2 2" xfId="15158" xr:uid="{A3190625-9111-4427-93B2-60E8B684EC5B}"/>
    <cellStyle name="Currency 5 2 4 2 6 3" xfId="10940" xr:uid="{07A6BED3-AEB5-4261-B4BD-276416A59C7D}"/>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83432453-F833-4FC2-8D72-228E2880D782}"/>
    <cellStyle name="Currency 5 2 4 2 8 3" xfId="11257" xr:uid="{578A9F35-D1B6-479D-857D-3792C27D3F58}"/>
    <cellStyle name="Currency 5 2 4 2 9" xfId="4650" xr:uid="{00000000-0005-0000-0000-00003B0C0000}"/>
    <cellStyle name="Currency 5 2 4 2 9 2" xfId="13092" xr:uid="{4F3ED952-641C-48F2-8195-ACFE8D200A6A}"/>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D973CBDD-EC8D-41B1-9034-182BCF26987F}"/>
    <cellStyle name="Currency 5 2 4 3 2 3" xfId="11432" xr:uid="{0F338878-65EA-4E10-9EC4-BDAAD8889E36}"/>
    <cellStyle name="Currency 5 2 4 3 3" xfId="5063" xr:uid="{00000000-0005-0000-0000-00003F0C0000}"/>
    <cellStyle name="Currency 5 2 4 3 3 2" xfId="13505" xr:uid="{A0C29868-5B41-4785-91ED-633CA0896CFB}"/>
    <cellStyle name="Currency 5 2 4 3 4" xfId="9287" xr:uid="{29320552-B993-4214-9EF3-EC8B3E309FB0}"/>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D38527A2-A787-4B88-9535-1807E8E696B4}"/>
    <cellStyle name="Currency 5 2 4 4 2 3" xfId="11845" xr:uid="{B89CEB7C-854A-4577-8E54-3A486BAE34C1}"/>
    <cellStyle name="Currency 5 2 4 4 3" xfId="5476" xr:uid="{00000000-0005-0000-0000-0000430C0000}"/>
    <cellStyle name="Currency 5 2 4 4 3 2" xfId="13918" xr:uid="{C1EE44B9-A50D-4D6B-8CA8-48C1D3F62A0B}"/>
    <cellStyle name="Currency 5 2 4 4 4" xfId="9700" xr:uid="{28E951DF-A22C-4C93-AED4-F18D5F83F6F1}"/>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DE7E8F97-1B55-4686-B0B2-D06A627CFC36}"/>
    <cellStyle name="Currency 5 2 4 5 2 3" xfId="12258" xr:uid="{F3BF3BB2-0FA2-4C51-86B0-925F9C37E573}"/>
    <cellStyle name="Currency 5 2 4 5 3" xfId="5889" xr:uid="{00000000-0005-0000-0000-0000470C0000}"/>
    <cellStyle name="Currency 5 2 4 5 3 2" xfId="14331" xr:uid="{403603B9-B5B7-4DF5-A024-2EB9064308DC}"/>
    <cellStyle name="Currency 5 2 4 5 4" xfId="10113" xr:uid="{44EE67ED-03BC-4F6D-96DC-EA857427FFD9}"/>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CC040469-D89A-4881-8F81-F282391A0EED}"/>
    <cellStyle name="Currency 5 2 4 6 2 3" xfId="12671" xr:uid="{F921FD25-6D4D-40AC-AA84-67CBA526F369}"/>
    <cellStyle name="Currency 5 2 4 6 3" xfId="6302" xr:uid="{00000000-0005-0000-0000-00004B0C0000}"/>
    <cellStyle name="Currency 5 2 4 6 3 2" xfId="14744" xr:uid="{EDF896BB-4120-4210-B751-C4AE3C5BED06}"/>
    <cellStyle name="Currency 5 2 4 6 4" xfId="10526" xr:uid="{7E495F83-1C64-4C52-AC6D-F4841D0E13D8}"/>
    <cellStyle name="Currency 5 2 4 7" xfId="2430" xr:uid="{00000000-0005-0000-0000-00004C0C0000}"/>
    <cellStyle name="Currency 5 2 4 7 2" xfId="6715" xr:uid="{00000000-0005-0000-0000-00004D0C0000}"/>
    <cellStyle name="Currency 5 2 4 7 2 2" xfId="15157" xr:uid="{753BA9F6-7458-4A3D-B593-D3FD235A4E5E}"/>
    <cellStyle name="Currency 5 2 4 7 3" xfId="10939" xr:uid="{EC65EA95-40DE-4E72-9CC9-A9486AC8237F}"/>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CF909CE-D283-4227-8F68-CAF2A267D37D}"/>
    <cellStyle name="Currency 5 2 4 9 3" xfId="11256" xr:uid="{680069D4-E343-4103-A20B-6A5BC6FFE662}"/>
    <cellStyle name="Currency 5 2 5" xfId="207" xr:uid="{00000000-0005-0000-0000-0000510C0000}"/>
    <cellStyle name="Currency 5 2 5 10" xfId="8875" xr:uid="{1DA12C6D-B8F8-48C9-B7AA-C44A4FD0E766}"/>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0A3856B5-008A-4E86-8EC3-C8EBAB2A0DEA}"/>
    <cellStyle name="Currency 5 2 5 2 2 3" xfId="11434" xr:uid="{EF434186-CC2A-4859-82E3-4DACA8C5094E}"/>
    <cellStyle name="Currency 5 2 5 2 3" xfId="5065" xr:uid="{00000000-0005-0000-0000-0000550C0000}"/>
    <cellStyle name="Currency 5 2 5 2 3 2" xfId="13507" xr:uid="{6895C348-CBD0-4874-A0AB-336F9A745EDA}"/>
    <cellStyle name="Currency 5 2 5 2 4" xfId="9289" xr:uid="{E42E17E8-5D35-4DB2-AA3E-E878F7E29973}"/>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C4308B6C-87E0-4FB9-AB9C-6EF0B3F7812E}"/>
    <cellStyle name="Currency 5 2 5 3 2 3" xfId="11847" xr:uid="{55AA7A73-49AC-49AA-9048-4870266BD24D}"/>
    <cellStyle name="Currency 5 2 5 3 3" xfId="5478" xr:uid="{00000000-0005-0000-0000-0000590C0000}"/>
    <cellStyle name="Currency 5 2 5 3 3 2" xfId="13920" xr:uid="{EA70FF66-F347-499F-B23B-1C21FC20B2EC}"/>
    <cellStyle name="Currency 5 2 5 3 4" xfId="9702" xr:uid="{0335001F-012C-44EC-8EF9-3EA0209DC015}"/>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1043AD47-FD6D-4662-9CC4-6F6E06582CB1}"/>
    <cellStyle name="Currency 5 2 5 4 2 3" xfId="12260" xr:uid="{01978C65-C20B-4D4E-B39F-CA02FBE83F63}"/>
    <cellStyle name="Currency 5 2 5 4 3" xfId="5891" xr:uid="{00000000-0005-0000-0000-00005D0C0000}"/>
    <cellStyle name="Currency 5 2 5 4 3 2" xfId="14333" xr:uid="{13A8D682-8CF9-4735-9B83-2E8FCD1318BB}"/>
    <cellStyle name="Currency 5 2 5 4 4" xfId="10115" xr:uid="{CA9D020A-A1FD-4056-8D63-C88638AB8D6F}"/>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41CDB6CB-0C4D-49AD-8E38-045E123AE74B}"/>
    <cellStyle name="Currency 5 2 5 5 2 3" xfId="12673" xr:uid="{1B740317-D134-4F5D-8121-CADC773DD953}"/>
    <cellStyle name="Currency 5 2 5 5 3" xfId="6304" xr:uid="{00000000-0005-0000-0000-0000610C0000}"/>
    <cellStyle name="Currency 5 2 5 5 3 2" xfId="14746" xr:uid="{7CAEA1A5-1F98-41AF-AC10-90D691D5CA3D}"/>
    <cellStyle name="Currency 5 2 5 5 4" xfId="10528" xr:uid="{69F05F20-CDB6-4976-A806-EA1B74C00618}"/>
    <cellStyle name="Currency 5 2 5 6" xfId="2432" xr:uid="{00000000-0005-0000-0000-0000620C0000}"/>
    <cellStyle name="Currency 5 2 5 6 2" xfId="6717" xr:uid="{00000000-0005-0000-0000-0000630C0000}"/>
    <cellStyle name="Currency 5 2 5 6 2 2" xfId="15159" xr:uid="{A999E59F-A648-4C99-BB73-02F6BBA39C69}"/>
    <cellStyle name="Currency 5 2 5 6 3" xfId="10941" xr:uid="{0C7051AE-A948-4953-873D-C04FF8169EBC}"/>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47A9F493-A042-44EB-88E9-8D2A65813526}"/>
    <cellStyle name="Currency 5 2 5 8 3" xfId="11258" xr:uid="{1FA23E75-7020-4608-BFFA-5A9D0C97CB16}"/>
    <cellStyle name="Currency 5 2 5 9" xfId="4651" xr:uid="{00000000-0005-0000-0000-0000670C0000}"/>
    <cellStyle name="Currency 5 2 5 9 2" xfId="13093" xr:uid="{F6290D8E-D8FC-43C5-8797-3388B20907EE}"/>
    <cellStyle name="Currency 5 2 6" xfId="208" xr:uid="{00000000-0005-0000-0000-0000680C0000}"/>
    <cellStyle name="Currency 5 2 6 10" xfId="8876" xr:uid="{9A424C2A-A8A9-413B-BEA8-C5E3F33E714E}"/>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7DE18992-B596-4C75-96E0-96CA8C0CF7F6}"/>
    <cellStyle name="Currency 5 2 6 2 2 3" xfId="11435" xr:uid="{A0172B8D-5A57-474F-AE99-DDC021C12766}"/>
    <cellStyle name="Currency 5 2 6 2 3" xfId="5066" xr:uid="{00000000-0005-0000-0000-00006C0C0000}"/>
    <cellStyle name="Currency 5 2 6 2 3 2" xfId="13508" xr:uid="{A6EF8432-3AD5-4C1C-9E46-712FF7EEDACA}"/>
    <cellStyle name="Currency 5 2 6 2 4" xfId="9290" xr:uid="{9348D721-037B-4CA6-BC40-6E54DEEB15C0}"/>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E9C3E44C-8BF3-4E88-8935-D0670676CCAB}"/>
    <cellStyle name="Currency 5 2 6 3 2 3" xfId="11848" xr:uid="{6FBDB298-AF5D-4631-8A53-46F9714DD277}"/>
    <cellStyle name="Currency 5 2 6 3 3" xfId="5479" xr:uid="{00000000-0005-0000-0000-0000700C0000}"/>
    <cellStyle name="Currency 5 2 6 3 3 2" xfId="13921" xr:uid="{2BA21869-B1CD-4C10-A45C-342337E2C2D9}"/>
    <cellStyle name="Currency 5 2 6 3 4" xfId="9703" xr:uid="{73F96C96-1142-434E-9979-AE20A1E28102}"/>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A57DE4BF-2D54-4F7A-8D25-B73675606527}"/>
    <cellStyle name="Currency 5 2 6 4 2 3" xfId="12261" xr:uid="{DA5514F7-A51B-4F32-85E0-6D8327181412}"/>
    <cellStyle name="Currency 5 2 6 4 3" xfId="5892" xr:uid="{00000000-0005-0000-0000-0000740C0000}"/>
    <cellStyle name="Currency 5 2 6 4 3 2" xfId="14334" xr:uid="{CEFB0E0C-78FA-4D30-8F58-4CB2EE3C8FE0}"/>
    <cellStyle name="Currency 5 2 6 4 4" xfId="10116" xr:uid="{20D09D7A-160F-4A13-AC5A-584B422D03AB}"/>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7B8E1226-9E8C-4CFC-846E-5E0B490ABC5E}"/>
    <cellStyle name="Currency 5 2 6 5 2 3" xfId="12674" xr:uid="{EA5B0244-C6E0-4D56-971E-752D94125FF4}"/>
    <cellStyle name="Currency 5 2 6 5 3" xfId="6305" xr:uid="{00000000-0005-0000-0000-0000780C0000}"/>
    <cellStyle name="Currency 5 2 6 5 3 2" xfId="14747" xr:uid="{F7D961C5-DABD-437F-9824-4766FC794489}"/>
    <cellStyle name="Currency 5 2 6 5 4" xfId="10529" xr:uid="{C9FD6889-72E8-4E93-9C96-787BE1326E18}"/>
    <cellStyle name="Currency 5 2 6 6" xfId="2433" xr:uid="{00000000-0005-0000-0000-0000790C0000}"/>
    <cellStyle name="Currency 5 2 6 6 2" xfId="6718" xr:uid="{00000000-0005-0000-0000-00007A0C0000}"/>
    <cellStyle name="Currency 5 2 6 6 2 2" xfId="15160" xr:uid="{BC21D537-EA50-40D9-AB20-6055C577F1E0}"/>
    <cellStyle name="Currency 5 2 6 6 3" xfId="10942" xr:uid="{C324AF14-DE68-4D5B-9513-2F31E4DBA2A3}"/>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1CCC8CE9-2DF4-4D8F-B694-7ABF6515C216}"/>
    <cellStyle name="Currency 5 2 6 8 3" xfId="11259" xr:uid="{5DD2C0D1-796D-42D6-91E4-EC5411C6E2A0}"/>
    <cellStyle name="Currency 5 2 6 9" xfId="4652" xr:uid="{00000000-0005-0000-0000-00007E0C0000}"/>
    <cellStyle name="Currency 5 2 6 9 2" xfId="13094" xr:uid="{588EE6EF-5289-4F40-9C91-87E6DAD68FD5}"/>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3BB67583-834B-4914-87AB-308236754113}"/>
    <cellStyle name="Currency 5 3 2 10 3" xfId="11260" xr:uid="{DD422176-3DE3-4C0A-863D-0D29D86F4CFB}"/>
    <cellStyle name="Currency 5 3 2 11" xfId="4653" xr:uid="{00000000-0005-0000-0000-0000840C0000}"/>
    <cellStyle name="Currency 5 3 2 11 2" xfId="13095" xr:uid="{3ACFA4C1-C9BD-4217-BF4B-4C6DB02D6901}"/>
    <cellStyle name="Currency 5 3 2 12" xfId="8877" xr:uid="{5D0D5237-CAF4-4DDE-803A-61B6CB735151}"/>
    <cellStyle name="Currency 5 3 2 2" xfId="211" xr:uid="{00000000-0005-0000-0000-0000850C0000}"/>
    <cellStyle name="Currency 5 3 2 2 10" xfId="4654" xr:uid="{00000000-0005-0000-0000-0000860C0000}"/>
    <cellStyle name="Currency 5 3 2 2 10 2" xfId="13096" xr:uid="{26BB73A5-D86D-4CCA-A49C-1DBA6669B1FC}"/>
    <cellStyle name="Currency 5 3 2 2 11" xfId="8878" xr:uid="{676AB8B2-3DC3-4DD1-AD00-F4B3E6C14499}"/>
    <cellStyle name="Currency 5 3 2 2 2" xfId="212" xr:uid="{00000000-0005-0000-0000-0000870C0000}"/>
    <cellStyle name="Currency 5 3 2 2 2 10" xfId="8879" xr:uid="{02F1782A-419A-46DF-B1B4-D829018BBA02}"/>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68160FB0-0313-4A80-B8A6-AA00CFB70F3A}"/>
    <cellStyle name="Currency 5 3 2 2 2 2 2 3" xfId="11438" xr:uid="{A5646E91-23EC-4F0D-95BD-B6679B13C6ED}"/>
    <cellStyle name="Currency 5 3 2 2 2 2 3" xfId="5069" xr:uid="{00000000-0005-0000-0000-00008B0C0000}"/>
    <cellStyle name="Currency 5 3 2 2 2 2 3 2" xfId="13511" xr:uid="{0F486E20-2D64-4F1E-8D79-1EB9896E7035}"/>
    <cellStyle name="Currency 5 3 2 2 2 2 4" xfId="9293" xr:uid="{36E22F13-F7F9-4325-BB8A-FCE4526B3F32}"/>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AC7F842E-0BF3-43AE-912A-3019CDD10259}"/>
    <cellStyle name="Currency 5 3 2 2 2 3 2 3" xfId="11851" xr:uid="{E6CCDE68-104F-4D21-8F67-CDA5FC2A3E0D}"/>
    <cellStyle name="Currency 5 3 2 2 2 3 3" xfId="5482" xr:uid="{00000000-0005-0000-0000-00008F0C0000}"/>
    <cellStyle name="Currency 5 3 2 2 2 3 3 2" xfId="13924" xr:uid="{47701FBB-BE44-4D50-B8C9-BCE71F88E470}"/>
    <cellStyle name="Currency 5 3 2 2 2 3 4" xfId="9706" xr:uid="{CA5983F4-60D4-4B2E-B99D-4AC895AA2615}"/>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55880339-56A1-45C4-A83E-A84FA5D84A8D}"/>
    <cellStyle name="Currency 5 3 2 2 2 4 2 3" xfId="12264" xr:uid="{7380D452-00CE-4425-9BCD-1CDADB01DEE4}"/>
    <cellStyle name="Currency 5 3 2 2 2 4 3" xfId="5895" xr:uid="{00000000-0005-0000-0000-0000930C0000}"/>
    <cellStyle name="Currency 5 3 2 2 2 4 3 2" xfId="14337" xr:uid="{D7ADDB35-4336-4CD4-A3AF-395F8808CDA1}"/>
    <cellStyle name="Currency 5 3 2 2 2 4 4" xfId="10119" xr:uid="{616708AC-31C4-431E-9411-83ECD23CE85C}"/>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BA4C053E-5410-4AAE-BFBF-3C5B6CBF0FCC}"/>
    <cellStyle name="Currency 5 3 2 2 2 5 2 3" xfId="12677" xr:uid="{EA49FB47-3E14-4811-B598-AD2364451113}"/>
    <cellStyle name="Currency 5 3 2 2 2 5 3" xfId="6308" xr:uid="{00000000-0005-0000-0000-0000970C0000}"/>
    <cellStyle name="Currency 5 3 2 2 2 5 3 2" xfId="14750" xr:uid="{C5B591F4-97E4-4A1E-9B7D-7948FC083BA9}"/>
    <cellStyle name="Currency 5 3 2 2 2 5 4" xfId="10532" xr:uid="{F613E015-A818-483D-B353-B71508F36C48}"/>
    <cellStyle name="Currency 5 3 2 2 2 6" xfId="2436" xr:uid="{00000000-0005-0000-0000-0000980C0000}"/>
    <cellStyle name="Currency 5 3 2 2 2 6 2" xfId="6721" xr:uid="{00000000-0005-0000-0000-0000990C0000}"/>
    <cellStyle name="Currency 5 3 2 2 2 6 2 2" xfId="15163" xr:uid="{27737DB3-A8B4-44A4-88B0-D61CFD223164}"/>
    <cellStyle name="Currency 5 3 2 2 2 6 3" xfId="10945" xr:uid="{37A66AD6-8D1C-402C-9D24-030EC3C6F778}"/>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EB4A4F58-20A4-4D60-8433-9BF65371E1CF}"/>
    <cellStyle name="Currency 5 3 2 2 2 8 3" xfId="11262" xr:uid="{03BB42FD-C20E-4FF9-808F-17D11AABB66F}"/>
    <cellStyle name="Currency 5 3 2 2 2 9" xfId="4655" xr:uid="{00000000-0005-0000-0000-00009D0C0000}"/>
    <cellStyle name="Currency 5 3 2 2 2 9 2" xfId="13097" xr:uid="{9F0A07C0-69D6-4FCE-A1EB-48D4C5326B03}"/>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BAE8FCD7-A015-48FD-978C-B1ED868EFEAD}"/>
    <cellStyle name="Currency 5 3 2 2 3 2 3" xfId="11437" xr:uid="{07BD2B46-0FAA-447A-8B5D-EA7B56851A63}"/>
    <cellStyle name="Currency 5 3 2 2 3 3" xfId="5068" xr:uid="{00000000-0005-0000-0000-0000A10C0000}"/>
    <cellStyle name="Currency 5 3 2 2 3 3 2" xfId="13510" xr:uid="{C2D20420-2F03-4547-B014-5E0987972FF6}"/>
    <cellStyle name="Currency 5 3 2 2 3 4" xfId="9292" xr:uid="{C47A35EC-8EC9-476D-8E00-E07006FADB81}"/>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AA681270-CA70-4AC5-804D-EC626446A163}"/>
    <cellStyle name="Currency 5 3 2 2 4 2 3" xfId="11850" xr:uid="{236CFC1B-23C9-473B-9C4E-059C0DB7660A}"/>
    <cellStyle name="Currency 5 3 2 2 4 3" xfId="5481" xr:uid="{00000000-0005-0000-0000-0000A50C0000}"/>
    <cellStyle name="Currency 5 3 2 2 4 3 2" xfId="13923" xr:uid="{2A5245F3-9830-49CC-9DB3-01ECED40E62E}"/>
    <cellStyle name="Currency 5 3 2 2 4 4" xfId="9705" xr:uid="{ED3C3E4B-7692-43C1-8412-EFBDE2C871C4}"/>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34D3C90F-65C3-42BA-BF06-0647A52D141E}"/>
    <cellStyle name="Currency 5 3 2 2 5 2 3" xfId="12263" xr:uid="{7D12BA0D-57EE-447F-874E-B9341606DE49}"/>
    <cellStyle name="Currency 5 3 2 2 5 3" xfId="5894" xr:uid="{00000000-0005-0000-0000-0000A90C0000}"/>
    <cellStyle name="Currency 5 3 2 2 5 3 2" xfId="14336" xr:uid="{9BF12201-6FC5-4B9E-B74A-621473EBCDA3}"/>
    <cellStyle name="Currency 5 3 2 2 5 4" xfId="10118" xr:uid="{9EA20248-F7CC-468A-B840-E0BE46A7C193}"/>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EB5285AE-9C01-4261-9F47-363467327709}"/>
    <cellStyle name="Currency 5 3 2 2 6 2 3" xfId="12676" xr:uid="{E862E137-2856-4840-B681-5908118777B7}"/>
    <cellStyle name="Currency 5 3 2 2 6 3" xfId="6307" xr:uid="{00000000-0005-0000-0000-0000AD0C0000}"/>
    <cellStyle name="Currency 5 3 2 2 6 3 2" xfId="14749" xr:uid="{0742813A-7642-45C5-84AF-6F56FEF37185}"/>
    <cellStyle name="Currency 5 3 2 2 6 4" xfId="10531" xr:uid="{8B545A27-2F24-4318-B43E-3ED61EE18A4E}"/>
    <cellStyle name="Currency 5 3 2 2 7" xfId="2435" xr:uid="{00000000-0005-0000-0000-0000AE0C0000}"/>
    <cellStyle name="Currency 5 3 2 2 7 2" xfId="6720" xr:uid="{00000000-0005-0000-0000-0000AF0C0000}"/>
    <cellStyle name="Currency 5 3 2 2 7 2 2" xfId="15162" xr:uid="{046DBF8E-88C6-4CAE-A83E-80336777D132}"/>
    <cellStyle name="Currency 5 3 2 2 7 3" xfId="10944" xr:uid="{E78B86F6-9473-4C22-8D76-37B76B0A3891}"/>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B4D8F467-3A2A-4618-9FCC-7154C85B7359}"/>
    <cellStyle name="Currency 5 3 2 2 9 3" xfId="11261" xr:uid="{3BE47C29-266B-4475-BE67-3C3876409B58}"/>
    <cellStyle name="Currency 5 3 2 3" xfId="213" xr:uid="{00000000-0005-0000-0000-0000B30C0000}"/>
    <cellStyle name="Currency 5 3 2 3 10" xfId="8880" xr:uid="{8D3BE397-3211-4414-B3EE-DE268E60E835}"/>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E09D9966-665A-417D-8B8A-72268BD412E9}"/>
    <cellStyle name="Currency 5 3 2 3 2 2 3" xfId="11439" xr:uid="{2EFB66EC-80A5-413B-B15F-55B59FA6DF20}"/>
    <cellStyle name="Currency 5 3 2 3 2 3" xfId="5070" xr:uid="{00000000-0005-0000-0000-0000B70C0000}"/>
    <cellStyle name="Currency 5 3 2 3 2 3 2" xfId="13512" xr:uid="{601FE179-F162-4C96-9E30-BCA088B44966}"/>
    <cellStyle name="Currency 5 3 2 3 2 4" xfId="9294" xr:uid="{E44C984B-83C8-488E-8E1F-AAA90BD5869D}"/>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E5037687-126B-4512-845D-182B3F2C961E}"/>
    <cellStyle name="Currency 5 3 2 3 3 2 3" xfId="11852" xr:uid="{FE9F103B-B99D-4391-A4CA-AB19E97B0C16}"/>
    <cellStyle name="Currency 5 3 2 3 3 3" xfId="5483" xr:uid="{00000000-0005-0000-0000-0000BB0C0000}"/>
    <cellStyle name="Currency 5 3 2 3 3 3 2" xfId="13925" xr:uid="{FAAA2DF0-331E-4940-9ACF-DDD1C9E1E326}"/>
    <cellStyle name="Currency 5 3 2 3 3 4" xfId="9707" xr:uid="{3CE119E8-6A47-43CD-85AF-84B7EC424591}"/>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A9D04446-43D9-4546-811D-4DFCB4D3B956}"/>
    <cellStyle name="Currency 5 3 2 3 4 2 3" xfId="12265" xr:uid="{69FB0E12-1000-41BE-A949-916271A34F3C}"/>
    <cellStyle name="Currency 5 3 2 3 4 3" xfId="5896" xr:uid="{00000000-0005-0000-0000-0000BF0C0000}"/>
    <cellStyle name="Currency 5 3 2 3 4 3 2" xfId="14338" xr:uid="{CE58B516-5CEB-4164-B8AD-36D571B23C10}"/>
    <cellStyle name="Currency 5 3 2 3 4 4" xfId="10120" xr:uid="{00CD0289-93D9-4CF8-A1D7-2423BC1305E8}"/>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916B2AD5-2FF2-450E-A8FF-CA4964B3D83D}"/>
    <cellStyle name="Currency 5 3 2 3 5 2 3" xfId="12678" xr:uid="{172B4072-B49A-40B5-9A6E-6003310569E7}"/>
    <cellStyle name="Currency 5 3 2 3 5 3" xfId="6309" xr:uid="{00000000-0005-0000-0000-0000C30C0000}"/>
    <cellStyle name="Currency 5 3 2 3 5 3 2" xfId="14751" xr:uid="{39846330-43BF-43F9-B2BE-AA3B294BF5D0}"/>
    <cellStyle name="Currency 5 3 2 3 5 4" xfId="10533" xr:uid="{EAE54B88-1BA5-46A5-9980-07B3DF115A5E}"/>
    <cellStyle name="Currency 5 3 2 3 6" xfId="2437" xr:uid="{00000000-0005-0000-0000-0000C40C0000}"/>
    <cellStyle name="Currency 5 3 2 3 6 2" xfId="6722" xr:uid="{00000000-0005-0000-0000-0000C50C0000}"/>
    <cellStyle name="Currency 5 3 2 3 6 2 2" xfId="15164" xr:uid="{1351756D-E076-4F9A-976C-984D3AF424BE}"/>
    <cellStyle name="Currency 5 3 2 3 6 3" xfId="10946" xr:uid="{D450919D-2B5C-40EA-85C5-63DC8392C472}"/>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ADAC11D2-127F-4B4D-8412-A71DBE087691}"/>
    <cellStyle name="Currency 5 3 2 3 8 3" xfId="11263" xr:uid="{79D59F7A-F0D0-4C50-A1AD-9FDDCD599AB4}"/>
    <cellStyle name="Currency 5 3 2 3 9" xfId="4656" xr:uid="{00000000-0005-0000-0000-0000C90C0000}"/>
    <cellStyle name="Currency 5 3 2 3 9 2" xfId="13098" xr:uid="{7661852C-7CE9-4000-8C95-73C7A1817022}"/>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34D06A37-3C22-47EE-8CD0-EA0D4D078600}"/>
    <cellStyle name="Currency 5 3 2 4 2 3" xfId="11436" xr:uid="{6406940E-ED78-46B2-8415-9B8F4061E67D}"/>
    <cellStyle name="Currency 5 3 2 4 3" xfId="5067" xr:uid="{00000000-0005-0000-0000-0000CD0C0000}"/>
    <cellStyle name="Currency 5 3 2 4 3 2" xfId="13509" xr:uid="{05383873-B7DD-4D73-A838-90AFA4B7CBF7}"/>
    <cellStyle name="Currency 5 3 2 4 4" xfId="9291" xr:uid="{B5AADD9A-7643-457C-8623-515BF9551884}"/>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A4D657B2-FE67-4816-8856-8CAB8B134660}"/>
    <cellStyle name="Currency 5 3 2 5 2 3" xfId="11849" xr:uid="{D94B8BFA-A9D4-42A3-A62A-DA4DF28289AF}"/>
    <cellStyle name="Currency 5 3 2 5 3" xfId="5480" xr:uid="{00000000-0005-0000-0000-0000D10C0000}"/>
    <cellStyle name="Currency 5 3 2 5 3 2" xfId="13922" xr:uid="{00734CD5-B5ED-4DE6-AF94-8473BFFB3DEF}"/>
    <cellStyle name="Currency 5 3 2 5 4" xfId="9704" xr:uid="{DFF7E582-2334-4DF4-ACCE-C39E9F3E57D9}"/>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BF3489CD-A8B8-4208-92C0-309BEDB32058}"/>
    <cellStyle name="Currency 5 3 2 6 2 3" xfId="12262" xr:uid="{5F26248B-54B4-4651-81C0-0D93C75E9F22}"/>
    <cellStyle name="Currency 5 3 2 6 3" xfId="5893" xr:uid="{00000000-0005-0000-0000-0000D50C0000}"/>
    <cellStyle name="Currency 5 3 2 6 3 2" xfId="14335" xr:uid="{CE2E199C-2BEE-46E4-B607-EB14292F0B56}"/>
    <cellStyle name="Currency 5 3 2 6 4" xfId="10117" xr:uid="{5BB998D9-C068-4BA9-B945-AF1952D0FD3D}"/>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CC4328C9-E91A-4719-B905-F62DD296D212}"/>
    <cellStyle name="Currency 5 3 2 7 2 3" xfId="12675" xr:uid="{55CC4FA9-0F37-4042-A7DC-8F8E56EA34D6}"/>
    <cellStyle name="Currency 5 3 2 7 3" xfId="6306" xr:uid="{00000000-0005-0000-0000-0000D90C0000}"/>
    <cellStyle name="Currency 5 3 2 7 3 2" xfId="14748" xr:uid="{72DB82A7-DE3F-4E58-AB73-CE89D316F356}"/>
    <cellStyle name="Currency 5 3 2 7 4" xfId="10530" xr:uid="{47FA72CA-EAA7-4C8A-8B20-21208FFCA17A}"/>
    <cellStyle name="Currency 5 3 2 8" xfId="2434" xr:uid="{00000000-0005-0000-0000-0000DA0C0000}"/>
    <cellStyle name="Currency 5 3 2 8 2" xfId="6719" xr:uid="{00000000-0005-0000-0000-0000DB0C0000}"/>
    <cellStyle name="Currency 5 3 2 8 2 2" xfId="15161" xr:uid="{2B3A9250-377A-48F8-AD69-E0EEAF2C2E6C}"/>
    <cellStyle name="Currency 5 3 2 8 3" xfId="10943" xr:uid="{E3BF87B7-D4C6-48F0-9524-01B20BC43352}"/>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D4E9428C-3D4E-40E3-AA40-9952BD628903}"/>
    <cellStyle name="Currency 5 3 3 11" xfId="8881" xr:uid="{32BBF79B-D097-44F8-88DC-9591C8DB84B7}"/>
    <cellStyle name="Currency 5 3 3 2" xfId="215" xr:uid="{00000000-0005-0000-0000-0000DF0C0000}"/>
    <cellStyle name="Currency 5 3 3 2 10" xfId="8882" xr:uid="{4081C10D-EEC9-481A-B7FF-7FC9C9D8CDCB}"/>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044593C4-E158-43E4-A347-87B37E185746}"/>
    <cellStyle name="Currency 5 3 3 2 2 2 3" xfId="11441" xr:uid="{A2AD78F5-C3E2-40E0-AD30-6E2208165D15}"/>
    <cellStyle name="Currency 5 3 3 2 2 3" xfId="5072" xr:uid="{00000000-0005-0000-0000-0000E30C0000}"/>
    <cellStyle name="Currency 5 3 3 2 2 3 2" xfId="13514" xr:uid="{0E3801B4-FED9-46E1-8ADA-4618A63F617C}"/>
    <cellStyle name="Currency 5 3 3 2 2 4" xfId="9296" xr:uid="{A5F80E07-F0D9-485F-A785-D6F8D9865A1A}"/>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09481C93-C437-47B7-954B-C36E465D995D}"/>
    <cellStyle name="Currency 5 3 3 2 3 2 3" xfId="11854" xr:uid="{FD76FD8D-A836-44C5-B76A-47AE227B78F2}"/>
    <cellStyle name="Currency 5 3 3 2 3 3" xfId="5485" xr:uid="{00000000-0005-0000-0000-0000E70C0000}"/>
    <cellStyle name="Currency 5 3 3 2 3 3 2" xfId="13927" xr:uid="{60CB527F-29BB-41D0-A846-379B5D2BD991}"/>
    <cellStyle name="Currency 5 3 3 2 3 4" xfId="9709" xr:uid="{EA98D66D-569F-4FB2-8040-0AA4D4347399}"/>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86126ACE-5937-4AE5-8D21-E35B9B04AE27}"/>
    <cellStyle name="Currency 5 3 3 2 4 2 3" xfId="12267" xr:uid="{0D54C597-1E02-466C-B105-15FB14A1B200}"/>
    <cellStyle name="Currency 5 3 3 2 4 3" xfId="5898" xr:uid="{00000000-0005-0000-0000-0000EB0C0000}"/>
    <cellStyle name="Currency 5 3 3 2 4 3 2" xfId="14340" xr:uid="{3AE88C46-0739-4597-B87C-A3D3B9696F1B}"/>
    <cellStyle name="Currency 5 3 3 2 4 4" xfId="10122" xr:uid="{20B90432-A6E0-46AC-B9DE-C65D2D068311}"/>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1794700E-62BE-422B-833B-F6D1A9B19FDB}"/>
    <cellStyle name="Currency 5 3 3 2 5 2 3" xfId="12680" xr:uid="{6621C22A-6CB9-4E48-9907-33060898BB7C}"/>
    <cellStyle name="Currency 5 3 3 2 5 3" xfId="6311" xr:uid="{00000000-0005-0000-0000-0000EF0C0000}"/>
    <cellStyle name="Currency 5 3 3 2 5 3 2" xfId="14753" xr:uid="{8CC61363-168E-4DBB-93BE-EAE2B5924918}"/>
    <cellStyle name="Currency 5 3 3 2 5 4" xfId="10535" xr:uid="{B4B529AB-E866-4565-831A-451E3F5D14A2}"/>
    <cellStyle name="Currency 5 3 3 2 6" xfId="2439" xr:uid="{00000000-0005-0000-0000-0000F00C0000}"/>
    <cellStyle name="Currency 5 3 3 2 6 2" xfId="6724" xr:uid="{00000000-0005-0000-0000-0000F10C0000}"/>
    <cellStyle name="Currency 5 3 3 2 6 2 2" xfId="15166" xr:uid="{5B9E4C8F-3F04-4E49-A9A7-4F1E3B753ECC}"/>
    <cellStyle name="Currency 5 3 3 2 6 3" xfId="10948" xr:uid="{93D82328-D6D3-4EDA-87D4-1667CB93608F}"/>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059FB748-13C4-4A64-8830-A6923EE8AB8A}"/>
    <cellStyle name="Currency 5 3 3 2 8 3" xfId="11265" xr:uid="{ABDD684B-E737-4088-BFD7-DF687637C803}"/>
    <cellStyle name="Currency 5 3 3 2 9" xfId="4658" xr:uid="{00000000-0005-0000-0000-0000F50C0000}"/>
    <cellStyle name="Currency 5 3 3 2 9 2" xfId="13100" xr:uid="{037056F0-4AB8-4339-8145-C418F488B347}"/>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535779AD-D8D2-4957-8039-C5B40F6EB399}"/>
    <cellStyle name="Currency 5 3 3 3 2 3" xfId="11440" xr:uid="{AF6DC7EA-4D97-4224-AE1A-380F3D9A17E0}"/>
    <cellStyle name="Currency 5 3 3 3 3" xfId="5071" xr:uid="{00000000-0005-0000-0000-0000F90C0000}"/>
    <cellStyle name="Currency 5 3 3 3 3 2" xfId="13513" xr:uid="{5618229A-A427-4581-9DB2-C8FE126C6CED}"/>
    <cellStyle name="Currency 5 3 3 3 4" xfId="9295" xr:uid="{E3D4EEC9-1250-496D-857D-290FDE495434}"/>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D73CC126-1DF4-4EE2-9BC6-1AB411432056}"/>
    <cellStyle name="Currency 5 3 3 4 2 3" xfId="11853" xr:uid="{D3E9E62F-997D-4B0A-809D-CFFAE1541436}"/>
    <cellStyle name="Currency 5 3 3 4 3" xfId="5484" xr:uid="{00000000-0005-0000-0000-0000FD0C0000}"/>
    <cellStyle name="Currency 5 3 3 4 3 2" xfId="13926" xr:uid="{D5174396-B537-41EF-BF59-40F0E2FB33DE}"/>
    <cellStyle name="Currency 5 3 3 4 4" xfId="9708" xr:uid="{14EA9DA2-BF10-4F0A-BC3A-B1DE65D9D3E4}"/>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0D447298-A572-455D-8F2A-9D83191BDFDB}"/>
    <cellStyle name="Currency 5 3 3 5 2 3" xfId="12266" xr:uid="{2D8DC97D-B618-433D-9A20-D0B7F1A1A347}"/>
    <cellStyle name="Currency 5 3 3 5 3" xfId="5897" xr:uid="{00000000-0005-0000-0000-0000010D0000}"/>
    <cellStyle name="Currency 5 3 3 5 3 2" xfId="14339" xr:uid="{19BAA499-4377-426F-9A58-222818F55423}"/>
    <cellStyle name="Currency 5 3 3 5 4" xfId="10121" xr:uid="{213450B8-4FD0-4B50-83F8-22401EF82BF0}"/>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0B342652-76F5-44B2-8C98-8AFF78071351}"/>
    <cellStyle name="Currency 5 3 3 6 2 3" xfId="12679" xr:uid="{862F4445-124C-4961-92D6-420AFE1CDABC}"/>
    <cellStyle name="Currency 5 3 3 6 3" xfId="6310" xr:uid="{00000000-0005-0000-0000-0000050D0000}"/>
    <cellStyle name="Currency 5 3 3 6 3 2" xfId="14752" xr:uid="{A667C2AE-0CF3-411C-AEB3-E3DDBFC237A7}"/>
    <cellStyle name="Currency 5 3 3 6 4" xfId="10534" xr:uid="{C04536B2-6D57-46A0-838A-6D90FE3EFB2C}"/>
    <cellStyle name="Currency 5 3 3 7" xfId="2438" xr:uid="{00000000-0005-0000-0000-0000060D0000}"/>
    <cellStyle name="Currency 5 3 3 7 2" xfId="6723" xr:uid="{00000000-0005-0000-0000-0000070D0000}"/>
    <cellStyle name="Currency 5 3 3 7 2 2" xfId="15165" xr:uid="{83733C1D-F683-4EBB-9A06-16EE56ECFDB9}"/>
    <cellStyle name="Currency 5 3 3 7 3" xfId="10947" xr:uid="{32910B0E-5B9C-4B01-B58B-D2D000776F8C}"/>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E50856F0-1B1C-48FC-B9FC-B929144E1EA5}"/>
    <cellStyle name="Currency 5 3 3 9 3" xfId="11264" xr:uid="{7D912833-9D91-47AA-8FAC-6EBF18B84421}"/>
    <cellStyle name="Currency 5 3 4" xfId="216" xr:uid="{00000000-0005-0000-0000-00000B0D0000}"/>
    <cellStyle name="Currency 5 3 4 10" xfId="8883" xr:uid="{F41EC2BF-8B85-4173-BE70-B6AC607114E6}"/>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BB61D91F-1696-48A7-A5EE-27C4165BE4FB}"/>
    <cellStyle name="Currency 5 3 4 2 2 3" xfId="11442" xr:uid="{9A24AA5C-0CF5-44A1-B163-626849118E4F}"/>
    <cellStyle name="Currency 5 3 4 2 3" xfId="5073" xr:uid="{00000000-0005-0000-0000-00000F0D0000}"/>
    <cellStyle name="Currency 5 3 4 2 3 2" xfId="13515" xr:uid="{22EA3C5B-A05B-4F2C-9BA1-029125B6C2DB}"/>
    <cellStyle name="Currency 5 3 4 2 4" xfId="9297" xr:uid="{18F2BFA8-55A1-4E05-8EFE-27BC886F3D62}"/>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03509CAE-7CD4-4491-B213-FAB9DA131BDD}"/>
    <cellStyle name="Currency 5 3 4 3 2 3" xfId="11855" xr:uid="{FB9CDC19-0392-4605-9974-DF766643368D}"/>
    <cellStyle name="Currency 5 3 4 3 3" xfId="5486" xr:uid="{00000000-0005-0000-0000-0000130D0000}"/>
    <cellStyle name="Currency 5 3 4 3 3 2" xfId="13928" xr:uid="{B76D82A0-5BAD-4FA0-B46D-249FB7D07050}"/>
    <cellStyle name="Currency 5 3 4 3 4" xfId="9710" xr:uid="{66D1B97E-8259-4B16-8A8A-832E03CB511F}"/>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9916FE15-E56B-49AF-A96B-0015BFCC4745}"/>
    <cellStyle name="Currency 5 3 4 4 2 3" xfId="12268" xr:uid="{368FCE06-508C-4E43-9D56-9DE0FBC6D45C}"/>
    <cellStyle name="Currency 5 3 4 4 3" xfId="5899" xr:uid="{00000000-0005-0000-0000-0000170D0000}"/>
    <cellStyle name="Currency 5 3 4 4 3 2" xfId="14341" xr:uid="{0EB243D7-2A84-4627-8597-B5F9D982F67C}"/>
    <cellStyle name="Currency 5 3 4 4 4" xfId="10123" xr:uid="{4E1F8641-504E-4604-A180-459F3E10BC36}"/>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4CD4E069-F1F9-4536-B16D-82C9AEF390D8}"/>
    <cellStyle name="Currency 5 3 4 5 2 3" xfId="12681" xr:uid="{508913D4-55A9-420E-B9B4-F674B60DB6E2}"/>
    <cellStyle name="Currency 5 3 4 5 3" xfId="6312" xr:uid="{00000000-0005-0000-0000-00001B0D0000}"/>
    <cellStyle name="Currency 5 3 4 5 3 2" xfId="14754" xr:uid="{58DEBD6B-A2D5-4B9A-8C1B-B839F8239B7A}"/>
    <cellStyle name="Currency 5 3 4 5 4" xfId="10536" xr:uid="{20F38554-E9CA-42FD-89F4-9937F577C143}"/>
    <cellStyle name="Currency 5 3 4 6" xfId="2440" xr:uid="{00000000-0005-0000-0000-00001C0D0000}"/>
    <cellStyle name="Currency 5 3 4 6 2" xfId="6725" xr:uid="{00000000-0005-0000-0000-00001D0D0000}"/>
    <cellStyle name="Currency 5 3 4 6 2 2" xfId="15167" xr:uid="{CB5FB0AF-1811-49DF-8D34-4D2FD5242FA2}"/>
    <cellStyle name="Currency 5 3 4 6 3" xfId="10949" xr:uid="{B473C644-0768-4333-8F2E-76C534ADFC3A}"/>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724B4A35-E3AF-4A22-B1A6-7673DB9F36C9}"/>
    <cellStyle name="Currency 5 3 4 8 3" xfId="11266" xr:uid="{6DE5F997-9B55-435E-BDA3-5F2162F79D9D}"/>
    <cellStyle name="Currency 5 3 4 9" xfId="4659" xr:uid="{00000000-0005-0000-0000-0000210D0000}"/>
    <cellStyle name="Currency 5 3 4 9 2" xfId="13101" xr:uid="{612E042D-CC38-4032-91F3-00184552399E}"/>
    <cellStyle name="Currency 5 3 5" xfId="217" xr:uid="{00000000-0005-0000-0000-0000220D0000}"/>
    <cellStyle name="Currency 5 3 5 10" xfId="8884" xr:uid="{DBCC4DD7-8BB5-4737-8B22-9E24A7BE91A6}"/>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0CD2FC74-CBD1-402B-8DFE-D82B3DD1E376}"/>
    <cellStyle name="Currency 5 3 5 2 2 3" xfId="11443" xr:uid="{0DD55A0F-134F-47C6-9DF2-3CB70A45C1AD}"/>
    <cellStyle name="Currency 5 3 5 2 3" xfId="5074" xr:uid="{00000000-0005-0000-0000-0000260D0000}"/>
    <cellStyle name="Currency 5 3 5 2 3 2" xfId="13516" xr:uid="{60FC27C7-C0FC-4D98-9FAB-C5103D140488}"/>
    <cellStyle name="Currency 5 3 5 2 4" xfId="9298" xr:uid="{8550EDE2-C4A6-4A97-B23F-C9D3DB062F95}"/>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AE9AEC5B-7CCA-4274-AC0C-EF04BC80593E}"/>
    <cellStyle name="Currency 5 3 5 3 2 3" xfId="11856" xr:uid="{1157D71F-2CEC-4BE7-A092-60C3DC5B6D9F}"/>
    <cellStyle name="Currency 5 3 5 3 3" xfId="5487" xr:uid="{00000000-0005-0000-0000-00002A0D0000}"/>
    <cellStyle name="Currency 5 3 5 3 3 2" xfId="13929" xr:uid="{8D835C9B-40DA-425A-9273-EF5A4141A200}"/>
    <cellStyle name="Currency 5 3 5 3 4" xfId="9711" xr:uid="{E180301E-DAD0-48BA-8DE0-343D7CAF1AC4}"/>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ADD8F57B-1374-450E-8185-B081ED0ACCF4}"/>
    <cellStyle name="Currency 5 3 5 4 2 3" xfId="12269" xr:uid="{9E011CFD-7840-4A59-BFA3-37FB5C65EA0B}"/>
    <cellStyle name="Currency 5 3 5 4 3" xfId="5900" xr:uid="{00000000-0005-0000-0000-00002E0D0000}"/>
    <cellStyle name="Currency 5 3 5 4 3 2" xfId="14342" xr:uid="{7E33F588-352B-40B8-B33F-372A7A6B8EF6}"/>
    <cellStyle name="Currency 5 3 5 4 4" xfId="10124" xr:uid="{70607FAA-BAE8-4BAD-801D-36DC5B5888D1}"/>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2FEAC319-5935-4B5F-9CDD-1FA177839770}"/>
    <cellStyle name="Currency 5 3 5 5 2 3" xfId="12682" xr:uid="{361453D5-8016-4C10-AC9A-24ABE7D59776}"/>
    <cellStyle name="Currency 5 3 5 5 3" xfId="6313" xr:uid="{00000000-0005-0000-0000-0000320D0000}"/>
    <cellStyle name="Currency 5 3 5 5 3 2" xfId="14755" xr:uid="{80BF248C-9B72-4DE4-A3C4-DD9948001517}"/>
    <cellStyle name="Currency 5 3 5 5 4" xfId="10537" xr:uid="{E37A464C-2B3E-4693-AF94-DEEDE4379325}"/>
    <cellStyle name="Currency 5 3 5 6" xfId="2441" xr:uid="{00000000-0005-0000-0000-0000330D0000}"/>
    <cellStyle name="Currency 5 3 5 6 2" xfId="6726" xr:uid="{00000000-0005-0000-0000-0000340D0000}"/>
    <cellStyle name="Currency 5 3 5 6 2 2" xfId="15168" xr:uid="{B7F03C66-52BE-488D-B2BD-DC9397D4F911}"/>
    <cellStyle name="Currency 5 3 5 6 3" xfId="10950" xr:uid="{A227D1DD-28AD-4E77-908E-68A31109025A}"/>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EC8003F1-A9AA-4216-8967-329799E67FDC}"/>
    <cellStyle name="Currency 5 3 5 8 3" xfId="11267" xr:uid="{E1643A6C-C51E-433A-BC0A-1C4F91B46715}"/>
    <cellStyle name="Currency 5 3 5 9" xfId="4660" xr:uid="{00000000-0005-0000-0000-0000380D0000}"/>
    <cellStyle name="Currency 5 3 5 9 2" xfId="13102" xr:uid="{AC03331C-4FE3-4941-929C-AAC664B13B72}"/>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54767C18-5339-4BEB-B6DF-807E8ACEC0EB}"/>
    <cellStyle name="Currency 5 5 11" xfId="8885" xr:uid="{8090C2B1-E4F4-48D8-B4C4-6A081B4E24EB}"/>
    <cellStyle name="Currency 5 5 2" xfId="220" xr:uid="{00000000-0005-0000-0000-00003D0D0000}"/>
    <cellStyle name="Currency 5 5 2 10" xfId="8886" xr:uid="{AC71F3CA-0ECD-4400-8592-D6AAC10CED15}"/>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29ADF6A7-01EC-41BE-BBB6-4C7AF26F5BE2}"/>
    <cellStyle name="Currency 5 5 2 2 2 3" xfId="11445" xr:uid="{719805E9-241F-4208-B029-E971FBB998E4}"/>
    <cellStyle name="Currency 5 5 2 2 3" xfId="5076" xr:uid="{00000000-0005-0000-0000-0000410D0000}"/>
    <cellStyle name="Currency 5 5 2 2 3 2" xfId="13518" xr:uid="{7F4ECFF4-623C-4C78-A833-65BFE6ACD6EB}"/>
    <cellStyle name="Currency 5 5 2 2 4" xfId="9300" xr:uid="{36D1611F-33DE-4544-B300-F044E5824588}"/>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48376737-4E10-4409-89D1-2D524FEF3436}"/>
    <cellStyle name="Currency 5 5 2 3 2 3" xfId="11858" xr:uid="{F4178CB9-3382-4960-8731-6C87F96E96E9}"/>
    <cellStyle name="Currency 5 5 2 3 3" xfId="5489" xr:uid="{00000000-0005-0000-0000-0000450D0000}"/>
    <cellStyle name="Currency 5 5 2 3 3 2" xfId="13931" xr:uid="{BA4D4AEC-3CE7-421C-9402-BB4B2E073C11}"/>
    <cellStyle name="Currency 5 5 2 3 4" xfId="9713" xr:uid="{8F899AB2-BA27-4457-BB70-FE4F04D55443}"/>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D5634A9B-B785-4B60-B028-D356B651265A}"/>
    <cellStyle name="Currency 5 5 2 4 2 3" xfId="12271" xr:uid="{04B6CC3F-7131-435D-A4BB-D6CB8833EBFB}"/>
    <cellStyle name="Currency 5 5 2 4 3" xfId="5902" xr:uid="{00000000-0005-0000-0000-0000490D0000}"/>
    <cellStyle name="Currency 5 5 2 4 3 2" xfId="14344" xr:uid="{F12862AA-5DD8-4DC7-B7DF-EE14926F948E}"/>
    <cellStyle name="Currency 5 5 2 4 4" xfId="10126" xr:uid="{37C365FD-6CFE-4AB6-B0BD-FB832FD3F94F}"/>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E9A2F367-C511-4755-A20D-3FBC9ABD89E7}"/>
    <cellStyle name="Currency 5 5 2 5 2 3" xfId="12684" xr:uid="{ED250BF7-31C5-4C35-B199-D08665060963}"/>
    <cellStyle name="Currency 5 5 2 5 3" xfId="6315" xr:uid="{00000000-0005-0000-0000-00004D0D0000}"/>
    <cellStyle name="Currency 5 5 2 5 3 2" xfId="14757" xr:uid="{38935959-3123-404F-82B0-9F2537768E74}"/>
    <cellStyle name="Currency 5 5 2 5 4" xfId="10539" xr:uid="{90E8E3C8-3057-42A2-8EB6-3AE495584CB6}"/>
    <cellStyle name="Currency 5 5 2 6" xfId="2443" xr:uid="{00000000-0005-0000-0000-00004E0D0000}"/>
    <cellStyle name="Currency 5 5 2 6 2" xfId="6728" xr:uid="{00000000-0005-0000-0000-00004F0D0000}"/>
    <cellStyle name="Currency 5 5 2 6 2 2" xfId="15170" xr:uid="{3DED987E-190F-44A4-B32D-B2C793645838}"/>
    <cellStyle name="Currency 5 5 2 6 3" xfId="10952" xr:uid="{606A8617-C258-46D4-8970-9B90133A9201}"/>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A6172C85-7A07-4F16-9FA1-35964D10A5B2}"/>
    <cellStyle name="Currency 5 5 2 8 3" xfId="11269" xr:uid="{EA620076-B448-4B40-981D-F100BAB47E66}"/>
    <cellStyle name="Currency 5 5 2 9" xfId="4662" xr:uid="{00000000-0005-0000-0000-0000530D0000}"/>
    <cellStyle name="Currency 5 5 2 9 2" xfId="13104" xr:uid="{BB67FB3B-DAFE-4E46-BD9A-D38C16A5FDB4}"/>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EA50DE09-9FB2-4207-81EA-CC8493097579}"/>
    <cellStyle name="Currency 5 5 3 2 3" xfId="11444" xr:uid="{7B8136D4-E081-4018-BA64-812A72CD4566}"/>
    <cellStyle name="Currency 5 5 3 3" xfId="5075" xr:uid="{00000000-0005-0000-0000-0000570D0000}"/>
    <cellStyle name="Currency 5 5 3 3 2" xfId="13517" xr:uid="{0594CBCF-458C-4B0A-B41B-C7364CFB3355}"/>
    <cellStyle name="Currency 5 5 3 4" xfId="9299" xr:uid="{8D3C681C-24EB-4714-9C69-196F0CC61A4F}"/>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397B0137-A139-43F8-A987-C2F3AF4F2DA9}"/>
    <cellStyle name="Currency 5 5 4 2 3" xfId="11857" xr:uid="{594B8319-BF71-4AD3-B9FB-4838B31AD163}"/>
    <cellStyle name="Currency 5 5 4 3" xfId="5488" xr:uid="{00000000-0005-0000-0000-00005B0D0000}"/>
    <cellStyle name="Currency 5 5 4 3 2" xfId="13930" xr:uid="{3ABBF2BD-E2CB-4579-8384-3B4CE88D7B41}"/>
    <cellStyle name="Currency 5 5 4 4" xfId="9712" xr:uid="{D0B2811F-A207-462F-80C6-10B6F4C47529}"/>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135D5464-5E74-47C8-A29A-62B3357AC617}"/>
    <cellStyle name="Currency 5 5 5 2 3" xfId="12270" xr:uid="{5805F373-B478-45DA-9182-5D7BBAE8E8FB}"/>
    <cellStyle name="Currency 5 5 5 3" xfId="5901" xr:uid="{00000000-0005-0000-0000-00005F0D0000}"/>
    <cellStyle name="Currency 5 5 5 3 2" xfId="14343" xr:uid="{7C3B566E-5F84-49B9-A909-D7EC98A1F4FF}"/>
    <cellStyle name="Currency 5 5 5 4" xfId="10125" xr:uid="{A6205378-046E-4B44-8B15-ADE6C533E138}"/>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3F8BD048-B7B5-475F-9A72-009C2FFB7C27}"/>
    <cellStyle name="Currency 5 5 6 2 3" xfId="12683" xr:uid="{6C13CCE4-A1BB-47E5-A5BF-C6D6DA120628}"/>
    <cellStyle name="Currency 5 5 6 3" xfId="6314" xr:uid="{00000000-0005-0000-0000-0000630D0000}"/>
    <cellStyle name="Currency 5 5 6 3 2" xfId="14756" xr:uid="{03D40AEA-19F0-4116-9265-E0849C29DA0F}"/>
    <cellStyle name="Currency 5 5 6 4" xfId="10538" xr:uid="{66864C14-AFFE-4F7A-9F73-260339C3E200}"/>
    <cellStyle name="Currency 5 5 7" xfId="2442" xr:uid="{00000000-0005-0000-0000-0000640D0000}"/>
    <cellStyle name="Currency 5 5 7 2" xfId="6727" xr:uid="{00000000-0005-0000-0000-0000650D0000}"/>
    <cellStyle name="Currency 5 5 7 2 2" xfId="15169" xr:uid="{D968B449-5C56-4263-80B6-555EEE949204}"/>
    <cellStyle name="Currency 5 5 7 3" xfId="10951" xr:uid="{362CFF86-A971-4123-BBAD-BC0A13A7D4E9}"/>
    <cellStyle name="Currency 5 5 8" xfId="2739" xr:uid="{00000000-0005-0000-0000-0000660D0000}"/>
    <cellStyle name="Currency 5 5 9" xfId="2820" xr:uid="{00000000-0005-0000-0000-0000670D0000}"/>
    <cellStyle name="Currency 5 5 9 2" xfId="7044" xr:uid="{00000000-0005-0000-0000-0000680D0000}"/>
    <cellStyle name="Currency 5 5 9 2 2" xfId="15486" xr:uid="{DE23A6CC-7346-4570-B08F-62AD9C93AB4B}"/>
    <cellStyle name="Currency 5 5 9 3" xfId="11268" xr:uid="{E16E4FAD-EC81-4482-8D33-77C0271C5553}"/>
    <cellStyle name="Currency 5 6" xfId="221" xr:uid="{00000000-0005-0000-0000-0000690D0000}"/>
    <cellStyle name="Currency 5 6 10" xfId="8887" xr:uid="{932CC321-D3BA-4E88-B354-BE98A0F05874}"/>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2BA4768C-C85B-4E0E-B7CE-AB3BC22A6BDE}"/>
    <cellStyle name="Currency 5 6 2 2 3" xfId="11446" xr:uid="{CE6D48EF-4730-47F0-A19E-81B69461FD34}"/>
    <cellStyle name="Currency 5 6 2 3" xfId="5077" xr:uid="{00000000-0005-0000-0000-00006D0D0000}"/>
    <cellStyle name="Currency 5 6 2 3 2" xfId="13519" xr:uid="{1339B674-EBD5-4E6A-B1C4-58CAE2395845}"/>
    <cellStyle name="Currency 5 6 2 4" xfId="9301" xr:uid="{C138E19A-58F4-46AA-8B96-DB9F7DCDD304}"/>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5AE3060D-F12F-4E02-B6DF-35CCFC4B9C3C}"/>
    <cellStyle name="Currency 5 6 3 2 3" xfId="11859" xr:uid="{C79DF01C-C08F-4ACD-B047-57847E39074E}"/>
    <cellStyle name="Currency 5 6 3 3" xfId="5490" xr:uid="{00000000-0005-0000-0000-0000710D0000}"/>
    <cellStyle name="Currency 5 6 3 3 2" xfId="13932" xr:uid="{B1472602-9DFF-4EA0-A597-1CE505B0BACA}"/>
    <cellStyle name="Currency 5 6 3 4" xfId="9714" xr:uid="{CE902D0C-F6F3-4A6C-92B3-E4D5CFC0FB06}"/>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91809BBE-2A88-4DD3-905C-411CEB9DBDFF}"/>
    <cellStyle name="Currency 5 6 4 2 3" xfId="12272" xr:uid="{F6F9BFBD-DB5D-4E56-A288-991C91DD3F3D}"/>
    <cellStyle name="Currency 5 6 4 3" xfId="5903" xr:uid="{00000000-0005-0000-0000-0000750D0000}"/>
    <cellStyle name="Currency 5 6 4 3 2" xfId="14345" xr:uid="{9145CBE5-BDF3-4DF2-BA42-6FDFD22FFD56}"/>
    <cellStyle name="Currency 5 6 4 4" xfId="10127" xr:uid="{5FFCA840-AEE3-46E6-814D-91D17B292A77}"/>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BB672B37-0EAB-45F5-9655-13413A9002BD}"/>
    <cellStyle name="Currency 5 6 5 2 3" xfId="12685" xr:uid="{85C77A52-900D-4F85-93EB-AC4E89A6020D}"/>
    <cellStyle name="Currency 5 6 5 3" xfId="6316" xr:uid="{00000000-0005-0000-0000-0000790D0000}"/>
    <cellStyle name="Currency 5 6 5 3 2" xfId="14758" xr:uid="{B2EA11CD-6A84-4133-8A7E-08553C5C1F53}"/>
    <cellStyle name="Currency 5 6 5 4" xfId="10540" xr:uid="{1F6AD58F-23D7-468E-BA1B-26247CCF11AF}"/>
    <cellStyle name="Currency 5 6 6" xfId="2444" xr:uid="{00000000-0005-0000-0000-00007A0D0000}"/>
    <cellStyle name="Currency 5 6 6 2" xfId="6729" xr:uid="{00000000-0005-0000-0000-00007B0D0000}"/>
    <cellStyle name="Currency 5 6 6 2 2" xfId="15171" xr:uid="{F4674938-EB84-457A-BBEB-F63A59C1B1FF}"/>
    <cellStyle name="Currency 5 6 6 3" xfId="10953" xr:uid="{D680140D-6BAA-40F1-9F75-A0E66EAB7021}"/>
    <cellStyle name="Currency 5 6 7" xfId="2741" xr:uid="{00000000-0005-0000-0000-00007C0D0000}"/>
    <cellStyle name="Currency 5 6 8" xfId="2822" xr:uid="{00000000-0005-0000-0000-00007D0D0000}"/>
    <cellStyle name="Currency 5 6 8 2" xfId="7046" xr:uid="{00000000-0005-0000-0000-00007E0D0000}"/>
    <cellStyle name="Currency 5 6 8 2 2" xfId="15488" xr:uid="{E6E2F1C9-F574-41CF-B66A-28072D6FB282}"/>
    <cellStyle name="Currency 5 6 8 3" xfId="11270" xr:uid="{D83CF3AE-CEDB-4875-B2FA-4D4110988CD3}"/>
    <cellStyle name="Currency 5 6 9" xfId="4663" xr:uid="{00000000-0005-0000-0000-00007F0D0000}"/>
    <cellStyle name="Currency 5 6 9 2" xfId="13105" xr:uid="{26D28EEC-5325-4D1E-BD44-20E40B5EC009}"/>
    <cellStyle name="Currency 5 7" xfId="222" xr:uid="{00000000-0005-0000-0000-0000800D0000}"/>
    <cellStyle name="Currency 5 7 10" xfId="8888" xr:uid="{CACCB980-3AFC-40D5-A779-F259999C4F68}"/>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B22CE3E4-865D-43C1-A7A1-E673C0B3FF9A}"/>
    <cellStyle name="Currency 5 7 2 2 3" xfId="11447" xr:uid="{F13FFDC5-D9E9-4E59-BF96-823EB777C83E}"/>
    <cellStyle name="Currency 5 7 2 3" xfId="5078" xr:uid="{00000000-0005-0000-0000-0000840D0000}"/>
    <cellStyle name="Currency 5 7 2 3 2" xfId="13520" xr:uid="{6BD81043-57D1-43A8-9891-B1177AE35F80}"/>
    <cellStyle name="Currency 5 7 2 4" xfId="9302" xr:uid="{C2D122B0-0749-4CDB-9D8E-484FEF386172}"/>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4E8F625C-404E-44B9-AF0C-1394981855E0}"/>
    <cellStyle name="Currency 5 7 3 2 3" xfId="11860" xr:uid="{6D8890F6-EB6D-46AE-9247-6EB85CA818BA}"/>
    <cellStyle name="Currency 5 7 3 3" xfId="5491" xr:uid="{00000000-0005-0000-0000-0000880D0000}"/>
    <cellStyle name="Currency 5 7 3 3 2" xfId="13933" xr:uid="{39FE07CF-127D-4B24-9457-AA1930116739}"/>
    <cellStyle name="Currency 5 7 3 4" xfId="9715" xr:uid="{0C7F42F6-78B8-4999-B2B2-26F878753F0F}"/>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E3F89212-8E6F-4741-96EB-A4808D71BC78}"/>
    <cellStyle name="Currency 5 7 4 2 3" xfId="12273" xr:uid="{B7F85FD7-39B8-48E7-BCA5-5A99947DF4D4}"/>
    <cellStyle name="Currency 5 7 4 3" xfId="5904" xr:uid="{00000000-0005-0000-0000-00008C0D0000}"/>
    <cellStyle name="Currency 5 7 4 3 2" xfId="14346" xr:uid="{8116CACF-3CA4-46AA-8343-14341C651B0A}"/>
    <cellStyle name="Currency 5 7 4 4" xfId="10128" xr:uid="{C606C104-7B5F-4FCF-A50D-B3F3891EDBBB}"/>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60A7582D-72CC-4E5C-9392-87ED9239C673}"/>
    <cellStyle name="Currency 5 7 5 2 3" xfId="12686" xr:uid="{F92ABA50-C2D8-43AB-AB0A-0B1F41A56656}"/>
    <cellStyle name="Currency 5 7 5 3" xfId="6317" xr:uid="{00000000-0005-0000-0000-0000900D0000}"/>
    <cellStyle name="Currency 5 7 5 3 2" xfId="14759" xr:uid="{8F010575-7E3C-4D7D-9638-1B8B38B717E8}"/>
    <cellStyle name="Currency 5 7 5 4" xfId="10541" xr:uid="{76199316-2DA2-43A4-B951-D438BE74024C}"/>
    <cellStyle name="Currency 5 7 6" xfId="2445" xr:uid="{00000000-0005-0000-0000-0000910D0000}"/>
    <cellStyle name="Currency 5 7 6 2" xfId="6730" xr:uid="{00000000-0005-0000-0000-0000920D0000}"/>
    <cellStyle name="Currency 5 7 6 2 2" xfId="15172" xr:uid="{FD88B5E7-6C54-45B0-ACB9-7B307450BCD9}"/>
    <cellStyle name="Currency 5 7 6 3" xfId="10954" xr:uid="{700BD52A-406C-4194-8800-0BA168D5F688}"/>
    <cellStyle name="Currency 5 7 7" xfId="2742" xr:uid="{00000000-0005-0000-0000-0000930D0000}"/>
    <cellStyle name="Currency 5 7 8" xfId="2823" xr:uid="{00000000-0005-0000-0000-0000940D0000}"/>
    <cellStyle name="Currency 5 7 8 2" xfId="7047" xr:uid="{00000000-0005-0000-0000-0000950D0000}"/>
    <cellStyle name="Currency 5 7 8 2 2" xfId="15489" xr:uid="{1F607AEC-DA2C-41E9-8CD1-CB87DB90C097}"/>
    <cellStyle name="Currency 5 7 8 3" xfId="11271" xr:uid="{068B3653-7069-486C-8244-8D0AFB96EEDB}"/>
    <cellStyle name="Currency 5 7 9" xfId="4664" xr:uid="{00000000-0005-0000-0000-0000960D0000}"/>
    <cellStyle name="Currency 5 7 9 2" xfId="13106" xr:uid="{F0B8AC1D-1170-4246-8EAB-30FC01179EEB}"/>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23BB3044-BEE0-4D2C-97BF-868B6D94FD1A}"/>
    <cellStyle name="Normal 12 10 3" xfId="10955" xr:uid="{D25AA261-FCBB-4D37-BD35-53B843A7E4A4}"/>
    <cellStyle name="Normal 12 11" xfId="4665" xr:uid="{00000000-0005-0000-0000-0000CC0D0000}"/>
    <cellStyle name="Normal 12 11 2" xfId="13107" xr:uid="{73D6EC5B-7B8D-4F99-B942-1AE365AB586A}"/>
    <cellStyle name="Normal 12 12" xfId="8889" xr:uid="{E525B08E-9D89-49D7-84AB-C402EE8D10C1}"/>
    <cellStyle name="Normal 12 2" xfId="260" xr:uid="{00000000-0005-0000-0000-0000CD0D0000}"/>
    <cellStyle name="Normal 12 2 10" xfId="8890" xr:uid="{49029007-5152-4971-92F1-2A25E51CC4C4}"/>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5965BB9C-4304-4E22-8220-810F9868111A}"/>
    <cellStyle name="Normal 12 2 2 2 2 2 3" xfId="11451" xr:uid="{B14EF8D0-0549-4B6F-9DCB-7F789A472715}"/>
    <cellStyle name="Normal 12 2 2 2 2 3" xfId="5082" xr:uid="{00000000-0005-0000-0000-0000D30D0000}"/>
    <cellStyle name="Normal 12 2 2 2 2 3 2" xfId="13524" xr:uid="{1C1F9EA9-BE7A-4B15-8285-53CB7DFECCD5}"/>
    <cellStyle name="Normal 12 2 2 2 2 4" xfId="9306" xr:uid="{CADE5248-1E3B-4F0D-B2AC-650BE0A299F4}"/>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DB962B04-0F60-49AA-A595-F52F9189F984}"/>
    <cellStyle name="Normal 12 2 2 2 3 2 3" xfId="11864" xr:uid="{DECB1B12-F357-4E90-91A9-DC06F82553E6}"/>
    <cellStyle name="Normal 12 2 2 2 3 3" xfId="5495" xr:uid="{00000000-0005-0000-0000-0000D70D0000}"/>
    <cellStyle name="Normal 12 2 2 2 3 3 2" xfId="13937" xr:uid="{662F534F-4E8B-4999-90D3-2B2EBCACA32A}"/>
    <cellStyle name="Normal 12 2 2 2 3 4" xfId="9719" xr:uid="{6D388D40-7946-4F4B-8E01-0ED0272B3EDB}"/>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8BC80515-C481-4320-AC0E-679E3AAAF186}"/>
    <cellStyle name="Normal 12 2 2 2 4 2 3" xfId="12277" xr:uid="{9695C4F2-EFAC-49C2-A2BF-1E65BA48D355}"/>
    <cellStyle name="Normal 12 2 2 2 4 3" xfId="5908" xr:uid="{00000000-0005-0000-0000-0000DB0D0000}"/>
    <cellStyle name="Normal 12 2 2 2 4 3 2" xfId="14350" xr:uid="{0508EC50-AA22-476D-B731-0CC051684015}"/>
    <cellStyle name="Normal 12 2 2 2 4 4" xfId="10132" xr:uid="{229457DC-B849-4E7A-B6D2-6E79FAC7DE74}"/>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EB3C43F1-80EE-4EB9-A72A-F782666FA32D}"/>
    <cellStyle name="Normal 12 2 2 2 5 2 3" xfId="12690" xr:uid="{4F255595-15A4-47EE-86B2-61F753530FAC}"/>
    <cellStyle name="Normal 12 2 2 2 5 3" xfId="6321" xr:uid="{00000000-0005-0000-0000-0000DF0D0000}"/>
    <cellStyle name="Normal 12 2 2 2 5 3 2" xfId="14763" xr:uid="{1013F570-B35A-4618-B873-34271320ADD2}"/>
    <cellStyle name="Normal 12 2 2 2 5 4" xfId="10545" xr:uid="{3C07E7DD-480E-4702-836F-5FEDB48B6A96}"/>
    <cellStyle name="Normal 12 2 2 2 6" xfId="2450" xr:uid="{00000000-0005-0000-0000-0000E00D0000}"/>
    <cellStyle name="Normal 12 2 2 2 6 2" xfId="6734" xr:uid="{00000000-0005-0000-0000-0000E10D0000}"/>
    <cellStyle name="Normal 12 2 2 2 6 2 2" xfId="15176" xr:uid="{09B09700-742A-4E93-A100-EEE449B8E182}"/>
    <cellStyle name="Normal 12 2 2 2 6 3" xfId="10958" xr:uid="{76513E2C-380F-4A3B-AA28-F76D74B12238}"/>
    <cellStyle name="Normal 12 2 2 2 7" xfId="4668" xr:uid="{00000000-0005-0000-0000-0000E20D0000}"/>
    <cellStyle name="Normal 12 2 2 2 7 2" xfId="13110" xr:uid="{B54F57EA-120D-46B6-A466-C9EEF2DD7EE7}"/>
    <cellStyle name="Normal 12 2 2 2 8" xfId="8892" xr:uid="{6D843C43-0FEB-4E17-B00A-8A3479A304F9}"/>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4CF9FCBD-BFC4-4B52-B2AD-FF45A8AABF99}"/>
    <cellStyle name="Normal 12 2 2 3 2 3" xfId="11450" xr:uid="{D2341493-FE53-445E-A6E3-3BAB9B04EFE4}"/>
    <cellStyle name="Normal 12 2 2 3 3" xfId="5081" xr:uid="{00000000-0005-0000-0000-0000E60D0000}"/>
    <cellStyle name="Normal 12 2 2 3 3 2" xfId="13523" xr:uid="{F05B01CD-92F0-4003-A16F-D26F20488A2E}"/>
    <cellStyle name="Normal 12 2 2 3 4" xfId="9305" xr:uid="{45E3529C-27F4-4CC3-BED8-31766E9F76D6}"/>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16CB5181-3F53-49E3-8F8A-B39D516EDBD8}"/>
    <cellStyle name="Normal 12 2 2 4 2 3" xfId="11863" xr:uid="{520E5E0C-B8F7-4728-8F84-F19894C838F6}"/>
    <cellStyle name="Normal 12 2 2 4 3" xfId="5494" xr:uid="{00000000-0005-0000-0000-0000EA0D0000}"/>
    <cellStyle name="Normal 12 2 2 4 3 2" xfId="13936" xr:uid="{89AF3193-6595-4B92-8E7F-F98354752154}"/>
    <cellStyle name="Normal 12 2 2 4 4" xfId="9718" xr:uid="{87F16ACA-9355-48E6-8E03-C82F8161986E}"/>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E8A279B1-982C-4267-B512-BCF554842B8F}"/>
    <cellStyle name="Normal 12 2 2 5 2 3" xfId="12276" xr:uid="{4E7D6BCC-A155-4FD3-AED0-F8F9599E8CBD}"/>
    <cellStyle name="Normal 12 2 2 5 3" xfId="5907" xr:uid="{00000000-0005-0000-0000-0000EE0D0000}"/>
    <cellStyle name="Normal 12 2 2 5 3 2" xfId="14349" xr:uid="{CE7D0A74-0E33-499D-9C5A-84518DC66C84}"/>
    <cellStyle name="Normal 12 2 2 5 4" xfId="10131" xr:uid="{409F915B-C735-45F2-965B-D923F74935F6}"/>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5B1783AA-EBD2-48EE-A3CB-EFC94C7FA698}"/>
    <cellStyle name="Normal 12 2 2 6 2 3" xfId="12689" xr:uid="{2CA28169-1BD5-461A-BC70-B7C51211A0AF}"/>
    <cellStyle name="Normal 12 2 2 6 3" xfId="6320" xr:uid="{00000000-0005-0000-0000-0000F20D0000}"/>
    <cellStyle name="Normal 12 2 2 6 3 2" xfId="14762" xr:uid="{B905A76E-C028-45CD-A0C1-85E7C35EDC31}"/>
    <cellStyle name="Normal 12 2 2 6 4" xfId="10544" xr:uid="{C9D40A81-E5DC-4E18-A8C3-92A8CB03026B}"/>
    <cellStyle name="Normal 12 2 2 7" xfId="2449" xr:uid="{00000000-0005-0000-0000-0000F30D0000}"/>
    <cellStyle name="Normal 12 2 2 7 2" xfId="6733" xr:uid="{00000000-0005-0000-0000-0000F40D0000}"/>
    <cellStyle name="Normal 12 2 2 7 2 2" xfId="15175" xr:uid="{47A4E320-6E43-4FFE-885A-EACE1A34DFE0}"/>
    <cellStyle name="Normal 12 2 2 7 3" xfId="10957" xr:uid="{0A7051FF-2CA1-49D8-BC0F-AFEA201AF493}"/>
    <cellStyle name="Normal 12 2 2 8" xfId="4667" xr:uid="{00000000-0005-0000-0000-0000F50D0000}"/>
    <cellStyle name="Normal 12 2 2 8 2" xfId="13109" xr:uid="{F98618C4-42E5-4A99-897C-835F6AA5DED4}"/>
    <cellStyle name="Normal 12 2 2 9" xfId="8891" xr:uid="{0FD44D9C-DB12-4322-A031-633AA50583DC}"/>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E862184E-0190-4414-B14D-DB1AC85EBA3A}"/>
    <cellStyle name="Normal 12 2 3 2 2 3" xfId="11452" xr:uid="{662F06FD-2F31-429B-BD99-1DD9690079C4}"/>
    <cellStyle name="Normal 12 2 3 2 3" xfId="5083" xr:uid="{00000000-0005-0000-0000-0000FA0D0000}"/>
    <cellStyle name="Normal 12 2 3 2 3 2" xfId="13525" xr:uid="{CE47E42B-CA49-4C94-AC21-5C71D097EFE8}"/>
    <cellStyle name="Normal 12 2 3 2 4" xfId="9307" xr:uid="{A7B1D1CC-677B-49FA-8518-8B15E3F2B52F}"/>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0D86DC68-BCD3-4ADD-AB03-18AE58D08E35}"/>
    <cellStyle name="Normal 12 2 3 3 2 3" xfId="11865" xr:uid="{97D9F3A3-1B94-451A-9689-7A371A70EC24}"/>
    <cellStyle name="Normal 12 2 3 3 3" xfId="5496" xr:uid="{00000000-0005-0000-0000-0000FE0D0000}"/>
    <cellStyle name="Normal 12 2 3 3 3 2" xfId="13938" xr:uid="{659AA861-3DEC-4854-9F30-D529F40EBC49}"/>
    <cellStyle name="Normal 12 2 3 3 4" xfId="9720" xr:uid="{A800D1B3-B464-41D4-927F-EA0DB78C8B6D}"/>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0D6302B2-471D-44F9-A96F-A43366489517}"/>
    <cellStyle name="Normal 12 2 3 4 2 3" xfId="12278" xr:uid="{10CE6252-3A2D-4613-9383-76E95921AF7E}"/>
    <cellStyle name="Normal 12 2 3 4 3" xfId="5909" xr:uid="{00000000-0005-0000-0000-0000020E0000}"/>
    <cellStyle name="Normal 12 2 3 4 3 2" xfId="14351" xr:uid="{90C327CF-8680-406E-8474-511F9B9F55A1}"/>
    <cellStyle name="Normal 12 2 3 4 4" xfId="10133" xr:uid="{2A2C8352-C05E-4ABA-BB33-4E7979AAED27}"/>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6DA0F300-9BBA-4FA6-9BBB-F4F76328AE9D}"/>
    <cellStyle name="Normal 12 2 3 5 2 3" xfId="12691" xr:uid="{0FD1F793-8C0E-4A3F-8F48-97D545830623}"/>
    <cellStyle name="Normal 12 2 3 5 3" xfId="6322" xr:uid="{00000000-0005-0000-0000-0000060E0000}"/>
    <cellStyle name="Normal 12 2 3 5 3 2" xfId="14764" xr:uid="{69C3EFCC-9152-4B2A-BE2E-D3EFBBAF5C37}"/>
    <cellStyle name="Normal 12 2 3 5 4" xfId="10546" xr:uid="{73AF540F-7173-4D99-B5CA-2C9833467F5E}"/>
    <cellStyle name="Normal 12 2 3 6" xfId="2451" xr:uid="{00000000-0005-0000-0000-0000070E0000}"/>
    <cellStyle name="Normal 12 2 3 6 2" xfId="6735" xr:uid="{00000000-0005-0000-0000-0000080E0000}"/>
    <cellStyle name="Normal 12 2 3 6 2 2" xfId="15177" xr:uid="{DA03FDF7-3CCB-4FBE-B671-A74CD2987753}"/>
    <cellStyle name="Normal 12 2 3 6 3" xfId="10959" xr:uid="{E822272B-C410-4B69-92A4-69C062AC039D}"/>
    <cellStyle name="Normal 12 2 3 7" xfId="4669" xr:uid="{00000000-0005-0000-0000-0000090E0000}"/>
    <cellStyle name="Normal 12 2 3 7 2" xfId="13111" xr:uid="{BC4A5F31-C95D-487F-B2E0-166BF7DA06A1}"/>
    <cellStyle name="Normal 12 2 3 8" xfId="8893" xr:uid="{6C75ED90-91D5-4C4A-A52E-53942CEAC158}"/>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ADA98B29-B77F-4C7B-BDD8-4BE5BF2BD00F}"/>
    <cellStyle name="Normal 12 2 4 2 3" xfId="11449" xr:uid="{B71D58DE-AC78-4E83-A859-6ADBD702A873}"/>
    <cellStyle name="Normal 12 2 4 3" xfId="5080" xr:uid="{00000000-0005-0000-0000-00000D0E0000}"/>
    <cellStyle name="Normal 12 2 4 3 2" xfId="13522" xr:uid="{B9C0B4F9-3B19-420B-81FF-F187AC560059}"/>
    <cellStyle name="Normal 12 2 4 4" xfId="9304" xr:uid="{C839B0C5-F587-4DEA-B2A6-DEF955539D5F}"/>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2BF8BF6F-6F07-49BB-A061-28D0C97CCCBF}"/>
    <cellStyle name="Normal 12 2 5 2 3" xfId="11862" xr:uid="{F2B2F0DE-2D25-4D11-8C2A-B03459E7921B}"/>
    <cellStyle name="Normal 12 2 5 3" xfId="5493" xr:uid="{00000000-0005-0000-0000-0000110E0000}"/>
    <cellStyle name="Normal 12 2 5 3 2" xfId="13935" xr:uid="{9F4A4680-837D-418C-8C15-2817711CD370}"/>
    <cellStyle name="Normal 12 2 5 4" xfId="9717" xr:uid="{7004A0D8-4AC0-4C7F-ADD9-0997078F330D}"/>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DEAEA4F9-541A-4E00-B0B5-3B31CB7C4BF6}"/>
    <cellStyle name="Normal 12 2 6 2 3" xfId="12275" xr:uid="{4714D56B-40DF-49C9-985F-201A9F2F75B8}"/>
    <cellStyle name="Normal 12 2 6 3" xfId="5906" xr:uid="{00000000-0005-0000-0000-0000150E0000}"/>
    <cellStyle name="Normal 12 2 6 3 2" xfId="14348" xr:uid="{8845D9C6-68FE-4DE1-B314-D866B0A4D77A}"/>
    <cellStyle name="Normal 12 2 6 4" xfId="10130" xr:uid="{B0BAFDA5-FE44-4CFB-8E6B-018874FD89BB}"/>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0F8272FE-AB0D-4624-B3F6-EBDEFC2128A4}"/>
    <cellStyle name="Normal 12 2 7 2 3" xfId="12688" xr:uid="{05927E37-34E5-46C7-9776-B9E03335FC38}"/>
    <cellStyle name="Normal 12 2 7 3" xfId="6319" xr:uid="{00000000-0005-0000-0000-0000190E0000}"/>
    <cellStyle name="Normal 12 2 7 3 2" xfId="14761" xr:uid="{ED280524-59F3-41A0-A5FF-FE03DF03184F}"/>
    <cellStyle name="Normal 12 2 7 4" xfId="10543" xr:uid="{ACC4412E-9243-4E10-AFF8-08ED726D7660}"/>
    <cellStyle name="Normal 12 2 8" xfId="2448" xr:uid="{00000000-0005-0000-0000-00001A0E0000}"/>
    <cellStyle name="Normal 12 2 8 2" xfId="6732" xr:uid="{00000000-0005-0000-0000-00001B0E0000}"/>
    <cellStyle name="Normal 12 2 8 2 2" xfId="15174" xr:uid="{65ACBC60-B277-439D-AAC6-96B52642CEF7}"/>
    <cellStyle name="Normal 12 2 8 3" xfId="10956" xr:uid="{D7415678-2926-43A5-A993-5FCA7627E654}"/>
    <cellStyle name="Normal 12 2 9" xfId="4666" xr:uid="{00000000-0005-0000-0000-00001C0E0000}"/>
    <cellStyle name="Normal 12 2 9 2" xfId="13108" xr:uid="{531CE0FC-150E-466E-B6F5-0A7B3B486939}"/>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6190CF03-C814-4265-9788-AA670ED5FAC8}"/>
    <cellStyle name="Normal 12 3 2 2 2 3" xfId="11454" xr:uid="{F7047324-BFC5-4B3A-BD28-7FA21EB5FF3E}"/>
    <cellStyle name="Normal 12 3 2 2 3" xfId="5085" xr:uid="{00000000-0005-0000-0000-0000220E0000}"/>
    <cellStyle name="Normal 12 3 2 2 3 2" xfId="13527" xr:uid="{CB030DD2-D5FF-45DB-99E4-025D44054F57}"/>
    <cellStyle name="Normal 12 3 2 2 4" xfId="9309" xr:uid="{22DC221F-ECDD-4D93-B3B3-497F766F342D}"/>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BA07A31D-EDB9-4A70-9D52-D0D8EA4E5230}"/>
    <cellStyle name="Normal 12 3 2 3 2 3" xfId="11867" xr:uid="{49A12592-6049-428A-9E52-5F601E78E12C}"/>
    <cellStyle name="Normal 12 3 2 3 3" xfId="5498" xr:uid="{00000000-0005-0000-0000-0000260E0000}"/>
    <cellStyle name="Normal 12 3 2 3 3 2" xfId="13940" xr:uid="{CD979785-ACCD-424A-A6D7-D9ABFBCBF735}"/>
    <cellStyle name="Normal 12 3 2 3 4" xfId="9722" xr:uid="{D5F4E80A-726E-4BA7-B56E-8E363D7B618E}"/>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9F074B70-14B2-4CB3-B4B0-CAF9DFFC7DE6}"/>
    <cellStyle name="Normal 12 3 2 4 2 3" xfId="12280" xr:uid="{1F8726FC-0C34-424C-8130-A07A2FEC7F58}"/>
    <cellStyle name="Normal 12 3 2 4 3" xfId="5911" xr:uid="{00000000-0005-0000-0000-00002A0E0000}"/>
    <cellStyle name="Normal 12 3 2 4 3 2" xfId="14353" xr:uid="{06C9E212-C134-469B-A0CF-6EC1C8EC3124}"/>
    <cellStyle name="Normal 12 3 2 4 4" xfId="10135" xr:uid="{5BEC931F-814F-4D8C-A52F-79F26E299BBF}"/>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095207F8-F85D-47F9-B790-947C4B0697EB}"/>
    <cellStyle name="Normal 12 3 2 5 2 3" xfId="12693" xr:uid="{71120D68-099B-4A7E-B405-849B2DDC968E}"/>
    <cellStyle name="Normal 12 3 2 5 3" xfId="6324" xr:uid="{00000000-0005-0000-0000-00002E0E0000}"/>
    <cellStyle name="Normal 12 3 2 5 3 2" xfId="14766" xr:uid="{C19825BD-6557-4C3B-9DE0-B5068F8BFEC0}"/>
    <cellStyle name="Normal 12 3 2 5 4" xfId="10548" xr:uid="{EDF5FFB8-83A5-4A93-9AE9-2A57D2D3573C}"/>
    <cellStyle name="Normal 12 3 2 6" xfId="2453" xr:uid="{00000000-0005-0000-0000-00002F0E0000}"/>
    <cellStyle name="Normal 12 3 2 6 2" xfId="6737" xr:uid="{00000000-0005-0000-0000-0000300E0000}"/>
    <cellStyle name="Normal 12 3 2 6 2 2" xfId="15179" xr:uid="{F0EA2CFA-214B-4433-BA03-C404F0CD1D83}"/>
    <cellStyle name="Normal 12 3 2 6 3" xfId="10961" xr:uid="{0894DCD8-A280-4C7C-A5DA-F69F8DC8F712}"/>
    <cellStyle name="Normal 12 3 2 7" xfId="4671" xr:uid="{00000000-0005-0000-0000-0000310E0000}"/>
    <cellStyle name="Normal 12 3 2 7 2" xfId="13113" xr:uid="{678CC099-2453-42CB-9DF8-56E278190072}"/>
    <cellStyle name="Normal 12 3 2 8" xfId="8895" xr:uid="{4A5C38E4-E972-406C-A8E1-34B0FB99FF9A}"/>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F53D4186-12D6-4DD8-BE83-C5A2991C90CC}"/>
    <cellStyle name="Normal 12 3 3 2 3" xfId="11453" xr:uid="{64946058-6564-4B3F-A367-F3FB1E070A66}"/>
    <cellStyle name="Normal 12 3 3 3" xfId="5084" xr:uid="{00000000-0005-0000-0000-0000350E0000}"/>
    <cellStyle name="Normal 12 3 3 3 2" xfId="13526" xr:uid="{6774AE48-E930-456F-AB9A-07CFE8FAB332}"/>
    <cellStyle name="Normal 12 3 3 4" xfId="9308" xr:uid="{E6AE1AFF-8AE5-412F-B917-59F991B21FBF}"/>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C3DC4ED4-EB2A-4780-B61B-9715F4FD0C77}"/>
    <cellStyle name="Normal 12 3 4 2 3" xfId="11866" xr:uid="{1B3E51C0-F219-4BDC-B354-7B88C5D82210}"/>
    <cellStyle name="Normal 12 3 4 3" xfId="5497" xr:uid="{00000000-0005-0000-0000-0000390E0000}"/>
    <cellStyle name="Normal 12 3 4 3 2" xfId="13939" xr:uid="{38384407-D619-4654-8BEA-EC5010667C0C}"/>
    <cellStyle name="Normal 12 3 4 4" xfId="9721" xr:uid="{318860A3-7657-49AA-B7C4-FFB714C8D00F}"/>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881673CE-13EC-4DDC-B4FB-FDB2F0C360EA}"/>
    <cellStyle name="Normal 12 3 5 2 3" xfId="12279" xr:uid="{BE19B675-30DD-4A7E-BFAA-D951A2E97764}"/>
    <cellStyle name="Normal 12 3 5 3" xfId="5910" xr:uid="{00000000-0005-0000-0000-00003D0E0000}"/>
    <cellStyle name="Normal 12 3 5 3 2" xfId="14352" xr:uid="{85F88693-F338-419B-A27D-6DD000A28375}"/>
    <cellStyle name="Normal 12 3 5 4" xfId="10134" xr:uid="{2BB69900-F340-495D-8EDC-F4F411707787}"/>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E0F8A551-5139-428B-948F-40E273E88FBB}"/>
    <cellStyle name="Normal 12 3 6 2 3" xfId="12692" xr:uid="{5DAFDAF7-A10C-4E4C-A343-C2E31B697113}"/>
    <cellStyle name="Normal 12 3 6 3" xfId="6323" xr:uid="{00000000-0005-0000-0000-0000410E0000}"/>
    <cellStyle name="Normal 12 3 6 3 2" xfId="14765" xr:uid="{78F67104-CC6B-4C9B-AA03-6D984E1AD420}"/>
    <cellStyle name="Normal 12 3 6 4" xfId="10547" xr:uid="{A5B4E10E-68A8-484D-BCE3-1C6E2FFD365A}"/>
    <cellStyle name="Normal 12 3 7" xfId="2452" xr:uid="{00000000-0005-0000-0000-0000420E0000}"/>
    <cellStyle name="Normal 12 3 7 2" xfId="6736" xr:uid="{00000000-0005-0000-0000-0000430E0000}"/>
    <cellStyle name="Normal 12 3 7 2 2" xfId="15178" xr:uid="{8BF3EFB7-D1E0-4C37-8CD1-64AB7DEBB57F}"/>
    <cellStyle name="Normal 12 3 7 3" xfId="10960" xr:uid="{8B5AB64F-6AD7-47FC-BC9A-C8F03C80FEAB}"/>
    <cellStyle name="Normal 12 3 8" xfId="4670" xr:uid="{00000000-0005-0000-0000-0000440E0000}"/>
    <cellStyle name="Normal 12 3 8 2" xfId="13112" xr:uid="{607B99C2-80F5-4CFE-A9AC-02F6F52D2F75}"/>
    <cellStyle name="Normal 12 3 9" xfId="8894" xr:uid="{60F7D38D-DCEC-4147-B69C-1F40800BCE79}"/>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581EBD17-2AEC-41C1-A9BE-25A26804B6C3}"/>
    <cellStyle name="Normal 12 4 2 2 3" xfId="11455" xr:uid="{3ADE81C1-FA25-425E-895B-98F1F88A639D}"/>
    <cellStyle name="Normal 12 4 2 3" xfId="5086" xr:uid="{00000000-0005-0000-0000-0000490E0000}"/>
    <cellStyle name="Normal 12 4 2 3 2" xfId="13528" xr:uid="{852696EC-64BB-4A03-BD85-E0B81327D91E}"/>
    <cellStyle name="Normal 12 4 2 4" xfId="9310" xr:uid="{196956D5-5795-4B7B-96F9-3CE0E71A7129}"/>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EC4A9611-EDF9-4C2B-AC5A-A005D539D424}"/>
    <cellStyle name="Normal 12 4 3 2 3" xfId="11868" xr:uid="{AE5085F9-DF73-4922-90B2-6045DE2B56E0}"/>
    <cellStyle name="Normal 12 4 3 3" xfId="5499" xr:uid="{00000000-0005-0000-0000-00004D0E0000}"/>
    <cellStyle name="Normal 12 4 3 3 2" xfId="13941" xr:uid="{EA227196-BA6E-4642-BE0C-AF4F8CFCD936}"/>
    <cellStyle name="Normal 12 4 3 4" xfId="9723" xr:uid="{E8BF308F-8C5C-4FCA-876E-97692751412F}"/>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A20081B6-DA6C-452A-9837-47BD4B989899}"/>
    <cellStyle name="Normal 12 4 4 2 3" xfId="12281" xr:uid="{12E3487A-8780-44CC-93DB-31F9CF7FB0B4}"/>
    <cellStyle name="Normal 12 4 4 3" xfId="5912" xr:uid="{00000000-0005-0000-0000-0000510E0000}"/>
    <cellStyle name="Normal 12 4 4 3 2" xfId="14354" xr:uid="{3411CABF-21B8-41CB-8C44-14AB58CC6F06}"/>
    <cellStyle name="Normal 12 4 4 4" xfId="10136" xr:uid="{31B199D7-DCAB-495B-8869-7DC1BE7DC596}"/>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97E8451C-4830-482B-BB2B-4576FE4DACA1}"/>
    <cellStyle name="Normal 12 4 5 2 3" xfId="12694" xr:uid="{E22F3EDC-45CC-4850-BD61-E6E0493F8A9E}"/>
    <cellStyle name="Normal 12 4 5 3" xfId="6325" xr:uid="{00000000-0005-0000-0000-0000550E0000}"/>
    <cellStyle name="Normal 12 4 5 3 2" xfId="14767" xr:uid="{63DCCB54-98C5-4538-9007-E23C0626A344}"/>
    <cellStyle name="Normal 12 4 5 4" xfId="10549" xr:uid="{D3BD7B19-6246-40E9-B40C-093BC2EC43F9}"/>
    <cellStyle name="Normal 12 4 6" xfId="2454" xr:uid="{00000000-0005-0000-0000-0000560E0000}"/>
    <cellStyle name="Normal 12 4 6 2" xfId="6738" xr:uid="{00000000-0005-0000-0000-0000570E0000}"/>
    <cellStyle name="Normal 12 4 6 2 2" xfId="15180" xr:uid="{E30E4EF9-013F-4C2B-A650-94A68BCCCF52}"/>
    <cellStyle name="Normal 12 4 6 3" xfId="10962" xr:uid="{4A8B5AFF-4C30-48B9-804F-5F3738FD3E57}"/>
    <cellStyle name="Normal 12 4 7" xfId="4672" xr:uid="{00000000-0005-0000-0000-0000580E0000}"/>
    <cellStyle name="Normal 12 4 7 2" xfId="13114" xr:uid="{EA887304-2AE0-4978-8C7C-AD6526EA8D84}"/>
    <cellStyle name="Normal 12 4 8" xfId="8896" xr:uid="{B699DFBB-52FA-43AD-98C3-93B02078D16C}"/>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80B6A6D4-C991-4779-A0E2-D7A0487B5ECB}"/>
    <cellStyle name="Normal 12 6 2 3" xfId="11448" xr:uid="{96851C63-C97A-4761-8083-F9C5A0100DF8}"/>
    <cellStyle name="Normal 12 6 3" xfId="5079" xr:uid="{00000000-0005-0000-0000-00005D0E0000}"/>
    <cellStyle name="Normal 12 6 3 2" xfId="13521" xr:uid="{2F4E0980-ADD6-4DEF-B284-025506A2C538}"/>
    <cellStyle name="Normal 12 6 4" xfId="9303" xr:uid="{C5B5F77C-5598-4B9D-BDE0-A92DE53227E8}"/>
    <cellStyle name="Normal 12 7" xfId="1183" xr:uid="{00000000-0005-0000-0000-00005E0E0000}"/>
    <cellStyle name="Normal 12 7 2" xfId="3414" xr:uid="{00000000-0005-0000-0000-00005F0E0000}"/>
    <cellStyle name="Normal 12 7 2 2" xfId="7637" xr:uid="{00000000-0005-0000-0000-0000600E0000}"/>
    <cellStyle name="Normal 12 7 2 2 2" xfId="16079" xr:uid="{48EBC799-DBC1-4C6F-9CFC-C3F3F062975B}"/>
    <cellStyle name="Normal 12 7 2 3" xfId="11861" xr:uid="{AAE65C82-A431-4D3F-ACE7-9C92000757A3}"/>
    <cellStyle name="Normal 12 7 3" xfId="5492" xr:uid="{00000000-0005-0000-0000-0000610E0000}"/>
    <cellStyle name="Normal 12 7 3 2" xfId="13934" xr:uid="{DE711D81-18DA-4B83-83CD-2F45C3BDAC91}"/>
    <cellStyle name="Normal 12 7 4" xfId="9716" xr:uid="{838EAD47-AAD5-4D89-BE84-EF4E832004BA}"/>
    <cellStyle name="Normal 12 8" xfId="1597" xr:uid="{00000000-0005-0000-0000-0000620E0000}"/>
    <cellStyle name="Normal 12 8 2" xfId="3827" xr:uid="{00000000-0005-0000-0000-0000630E0000}"/>
    <cellStyle name="Normal 12 8 2 2" xfId="8050" xr:uid="{00000000-0005-0000-0000-0000640E0000}"/>
    <cellStyle name="Normal 12 8 2 2 2" xfId="16492" xr:uid="{DFE3BB36-4BBE-440E-BFB8-DFBAB39610F1}"/>
    <cellStyle name="Normal 12 8 2 3" xfId="12274" xr:uid="{2B48F535-95CB-4286-8375-3C2A36FB96B4}"/>
    <cellStyle name="Normal 12 8 3" xfId="5905" xr:uid="{00000000-0005-0000-0000-0000650E0000}"/>
    <cellStyle name="Normal 12 8 3 2" xfId="14347" xr:uid="{ADDB3D01-5825-45F7-9378-C98FB15F363C}"/>
    <cellStyle name="Normal 12 8 4" xfId="10129" xr:uid="{0A51FC9B-B03C-428C-9062-BB1CEFCB68B9}"/>
    <cellStyle name="Normal 12 9" xfId="2011" xr:uid="{00000000-0005-0000-0000-0000660E0000}"/>
    <cellStyle name="Normal 12 9 2" xfId="4240" xr:uid="{00000000-0005-0000-0000-0000670E0000}"/>
    <cellStyle name="Normal 12 9 2 2" xfId="8463" xr:uid="{00000000-0005-0000-0000-0000680E0000}"/>
    <cellStyle name="Normal 12 9 2 2 2" xfId="16905" xr:uid="{36115390-6F81-4734-B05C-DA0C2E7E402F}"/>
    <cellStyle name="Normal 12 9 2 3" xfId="12687" xr:uid="{897DD357-E93B-409A-910E-F65C5964D6D8}"/>
    <cellStyle name="Normal 12 9 3" xfId="6318" xr:uid="{00000000-0005-0000-0000-0000690E0000}"/>
    <cellStyle name="Normal 12 9 3 2" xfId="14760" xr:uid="{A60CFE9C-1600-43F8-8286-E355B45BC535}"/>
    <cellStyle name="Normal 12 9 4" xfId="10542" xr:uid="{2FD27881-1B1A-428D-87B0-01F7D60BDA67}"/>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DE7CA65B-0357-432F-AB0B-CE74CECB4005}"/>
    <cellStyle name="Normal 14 2 2 3" xfId="11456" xr:uid="{5D6701DE-9490-417A-9F8C-4571F4117381}"/>
    <cellStyle name="Normal 14 2 3" xfId="5087" xr:uid="{00000000-0005-0000-0000-0000700E0000}"/>
    <cellStyle name="Normal 14 2 3 2" xfId="13529" xr:uid="{C5983E07-8C9A-4DD6-B6C0-75A6620F4010}"/>
    <cellStyle name="Normal 14 2 4" xfId="9311" xr:uid="{932CDF8D-2E7D-4F68-9385-A785C07A7989}"/>
    <cellStyle name="Normal 14 3" xfId="1191" xr:uid="{00000000-0005-0000-0000-0000710E0000}"/>
    <cellStyle name="Normal 14 3 2" xfId="3422" xr:uid="{00000000-0005-0000-0000-0000720E0000}"/>
    <cellStyle name="Normal 14 3 2 2" xfId="7645" xr:uid="{00000000-0005-0000-0000-0000730E0000}"/>
    <cellStyle name="Normal 14 3 2 2 2" xfId="16087" xr:uid="{45A6E724-D374-44D2-BDEC-A31752A59CC4}"/>
    <cellStyle name="Normal 14 3 2 3" xfId="11869" xr:uid="{DFAA44CF-02C7-490E-8BFC-DABB16FBB005}"/>
    <cellStyle name="Normal 14 3 3" xfId="5500" xr:uid="{00000000-0005-0000-0000-0000740E0000}"/>
    <cellStyle name="Normal 14 3 3 2" xfId="13942" xr:uid="{18D0B1FB-7A77-4CBA-9D70-5A369200E3A1}"/>
    <cellStyle name="Normal 14 3 4" xfId="9724" xr:uid="{8BFBC940-8699-45EE-B715-7DC38F2D066E}"/>
    <cellStyle name="Normal 14 4" xfId="1605" xr:uid="{00000000-0005-0000-0000-0000750E0000}"/>
    <cellStyle name="Normal 14 4 2" xfId="3835" xr:uid="{00000000-0005-0000-0000-0000760E0000}"/>
    <cellStyle name="Normal 14 4 2 2" xfId="8058" xr:uid="{00000000-0005-0000-0000-0000770E0000}"/>
    <cellStyle name="Normal 14 4 2 2 2" xfId="16500" xr:uid="{27156B12-6452-4C03-A058-386851D70114}"/>
    <cellStyle name="Normal 14 4 2 3" xfId="12282" xr:uid="{0F5FFA65-D834-4633-9909-CDEA78AD4FFD}"/>
    <cellStyle name="Normal 14 4 3" xfId="5913" xr:uid="{00000000-0005-0000-0000-0000780E0000}"/>
    <cellStyle name="Normal 14 4 3 2" xfId="14355" xr:uid="{EEF11F95-C078-4DEF-8AA1-894C50400A94}"/>
    <cellStyle name="Normal 14 4 4" xfId="10137" xr:uid="{0233E73B-3FB3-4B47-99AB-4A8F252F1DEE}"/>
    <cellStyle name="Normal 14 5" xfId="2019" xr:uid="{00000000-0005-0000-0000-0000790E0000}"/>
    <cellStyle name="Normal 14 5 2" xfId="4248" xr:uid="{00000000-0005-0000-0000-00007A0E0000}"/>
    <cellStyle name="Normal 14 5 2 2" xfId="8471" xr:uid="{00000000-0005-0000-0000-00007B0E0000}"/>
    <cellStyle name="Normal 14 5 2 2 2" xfId="16913" xr:uid="{18B71207-23D7-4DB4-B538-2AE4EF1BA9A0}"/>
    <cellStyle name="Normal 14 5 2 3" xfId="12695" xr:uid="{FB6288F6-EA14-413B-9742-854768592F98}"/>
    <cellStyle name="Normal 14 5 3" xfId="6326" xr:uid="{00000000-0005-0000-0000-00007C0E0000}"/>
    <cellStyle name="Normal 14 5 3 2" xfId="14768" xr:uid="{4DA8EFDB-F26D-4D86-B08F-3C7A6D74A24F}"/>
    <cellStyle name="Normal 14 5 4" xfId="10550" xr:uid="{F42FC6C0-FE83-4004-A244-14BE54E2D7C6}"/>
    <cellStyle name="Normal 14 6" xfId="2455" xr:uid="{00000000-0005-0000-0000-00007D0E0000}"/>
    <cellStyle name="Normal 14 6 2" xfId="6739" xr:uid="{00000000-0005-0000-0000-00007E0E0000}"/>
    <cellStyle name="Normal 14 6 2 2" xfId="15181" xr:uid="{EC99E44A-87BC-42F9-9D81-2B40876EE366}"/>
    <cellStyle name="Normal 14 6 3" xfId="10963" xr:uid="{50C2C68A-F6DF-451E-B5C7-64F6A3DADBF6}"/>
    <cellStyle name="Normal 14 7" xfId="4673" xr:uid="{00000000-0005-0000-0000-00007F0E0000}"/>
    <cellStyle name="Normal 14 7 2" xfId="13115" xr:uid="{77AC4FFC-680D-4E4D-AC72-80D4BD46A282}"/>
    <cellStyle name="Normal 14 8" xfId="8897" xr:uid="{E05350D2-E67C-4EFA-9217-C1A589D0F51E}"/>
    <cellStyle name="Normal 15" xfId="4496" xr:uid="{00000000-0005-0000-0000-0000800E0000}"/>
    <cellStyle name="Normal 15 2" xfId="12941" xr:uid="{FCB730FF-2FE0-479C-8A65-ABD959EF60FC}"/>
    <cellStyle name="Normal 16" xfId="4500" xr:uid="{00000000-0005-0000-0000-0000810E0000}"/>
    <cellStyle name="Normal 16 2" xfId="8716" xr:uid="{00000000-0005-0000-0000-0000820E0000}"/>
    <cellStyle name="Normal 16 2 2" xfId="17158" xr:uid="{17F44E89-88DB-4730-8283-CAA5D53ADEA8}"/>
    <cellStyle name="Normal 16 3" xfId="8719" xr:uid="{3DE1BEEB-61FA-4094-B10F-9E0444F68763}"/>
    <cellStyle name="Normal 16 3 2" xfId="8723" xr:uid="{FE0BC069-4698-40B2-814D-8E09719245E9}"/>
    <cellStyle name="Normal 16 3 2 2" xfId="8726" xr:uid="{D3E9609F-293A-4CFC-B194-1FF2F92D621D}"/>
    <cellStyle name="Normal 16 3 2 2 2" xfId="17167" xr:uid="{D5B939A3-0EA4-4FE2-992E-7E6B773EFA2E}"/>
    <cellStyle name="Normal 16 3 2 3" xfId="17164" xr:uid="{2ECF5804-95B2-4309-A8D9-F66E89455B92}"/>
    <cellStyle name="Normal 16 3 3" xfId="17161" xr:uid="{CE9CDC56-17D2-4E8F-89F7-84D41F894B7E}"/>
    <cellStyle name="Normal 16 4" xfId="12944" xr:uid="{2D87FED0-1D01-4760-95B8-C47C568B760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BE85512A-3A3B-4E91-A51F-BECB7916BB6B}"/>
    <cellStyle name="Normal 2 4 2 10 2 3" xfId="12696" xr:uid="{98AF9C7B-5855-4B3F-9CB3-7D75B81F3309}"/>
    <cellStyle name="Normal 2 4 2 10 3" xfId="6327" xr:uid="{00000000-0005-0000-0000-0000910E0000}"/>
    <cellStyle name="Normal 2 4 2 10 3 2" xfId="14769" xr:uid="{A5AAA2C6-A8A1-4D8E-88B6-9D18E8D95F67}"/>
    <cellStyle name="Normal 2 4 2 10 4" xfId="10551" xr:uid="{411C2DA8-B661-4B1F-979D-6ACB9F429FD5}"/>
    <cellStyle name="Normal 2 4 2 11" xfId="2456" xr:uid="{00000000-0005-0000-0000-0000920E0000}"/>
    <cellStyle name="Normal 2 4 2 11 2" xfId="6740" xr:uid="{00000000-0005-0000-0000-0000930E0000}"/>
    <cellStyle name="Normal 2 4 2 11 2 2" xfId="15182" xr:uid="{64AA1828-E13E-4B8A-BF08-782BCBDAAF32}"/>
    <cellStyle name="Normal 2 4 2 11 3" xfId="10964" xr:uid="{D55E2B3A-A9FC-4747-88E0-1EB04D4D5CD1}"/>
    <cellStyle name="Normal 2 4 2 12" xfId="4674" xr:uid="{00000000-0005-0000-0000-0000940E0000}"/>
    <cellStyle name="Normal 2 4 2 12 2" xfId="13116" xr:uid="{33E4AF5D-1562-4E0D-8575-A3465F29F0D6}"/>
    <cellStyle name="Normal 2 4 2 13" xfId="8898" xr:uid="{6FFEDBE9-63C6-445D-8135-2D179E21E377}"/>
    <cellStyle name="Normal 2 4 2 2" xfId="280" xr:uid="{00000000-0005-0000-0000-0000950E0000}"/>
    <cellStyle name="Normal 2 4 2 3" xfId="281" xr:uid="{00000000-0005-0000-0000-0000960E0000}"/>
    <cellStyle name="Normal 2 4 2 3 10" xfId="4675" xr:uid="{00000000-0005-0000-0000-0000970E0000}"/>
    <cellStyle name="Normal 2 4 2 3 10 2" xfId="13117" xr:uid="{683F1C51-3461-4215-949D-671F882E3AEE}"/>
    <cellStyle name="Normal 2 4 2 3 11" xfId="8899" xr:uid="{29D383D2-B08F-45BF-929B-ADA7328E8ABA}"/>
    <cellStyle name="Normal 2 4 2 3 2" xfId="282" xr:uid="{00000000-0005-0000-0000-0000980E0000}"/>
    <cellStyle name="Normal 2 4 2 3 2 10" xfId="8900" xr:uid="{1BC6D7A5-DF0E-4647-9CFB-B23E27DE9CEE}"/>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04CE39A8-5B9F-4522-A907-2CFDFDB39925}"/>
    <cellStyle name="Normal 2 4 2 3 2 2 2 2 2 3" xfId="11461" xr:uid="{1C850B18-054C-451F-A78C-040C28CEB1A4}"/>
    <cellStyle name="Normal 2 4 2 3 2 2 2 2 3" xfId="5092" xr:uid="{00000000-0005-0000-0000-00009E0E0000}"/>
    <cellStyle name="Normal 2 4 2 3 2 2 2 2 3 2" xfId="13534" xr:uid="{BE1A9CF8-053D-47EE-9B8A-C3C3FDFA3062}"/>
    <cellStyle name="Normal 2 4 2 3 2 2 2 2 4" xfId="9316" xr:uid="{244043DA-DF80-473D-93EB-4CF5CE6D03F1}"/>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E82610D6-97F2-4F83-B268-0CF687A3FB36}"/>
    <cellStyle name="Normal 2 4 2 3 2 2 2 3 2 3" xfId="11874" xr:uid="{53A40CCC-520A-4375-84E4-45668BC495CF}"/>
    <cellStyle name="Normal 2 4 2 3 2 2 2 3 3" xfId="5505" xr:uid="{00000000-0005-0000-0000-0000A20E0000}"/>
    <cellStyle name="Normal 2 4 2 3 2 2 2 3 3 2" xfId="13947" xr:uid="{EC6A9CE0-8FB8-4654-B637-0303F1964C13}"/>
    <cellStyle name="Normal 2 4 2 3 2 2 2 3 4" xfId="9729" xr:uid="{A7636EEA-0550-4C20-844F-7DDD6676043F}"/>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D4C7E550-5691-4F0B-B527-D000240BA35F}"/>
    <cellStyle name="Normal 2 4 2 3 2 2 2 4 2 3" xfId="12287" xr:uid="{846C8253-9E40-4AC5-839F-6482EDCA6FD5}"/>
    <cellStyle name="Normal 2 4 2 3 2 2 2 4 3" xfId="5918" xr:uid="{00000000-0005-0000-0000-0000A60E0000}"/>
    <cellStyle name="Normal 2 4 2 3 2 2 2 4 3 2" xfId="14360" xr:uid="{B1C4F788-29CC-4677-93DE-36BF24413A2A}"/>
    <cellStyle name="Normal 2 4 2 3 2 2 2 4 4" xfId="10142" xr:uid="{0B40142E-BB7C-41F1-B89D-B0C9098590C5}"/>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02E60A3F-0477-4E78-8E8A-FCB948654C45}"/>
    <cellStyle name="Normal 2 4 2 3 2 2 2 5 2 3" xfId="12700" xr:uid="{DD40BFA6-6986-471F-9DF3-323CC1AFB6A0}"/>
    <cellStyle name="Normal 2 4 2 3 2 2 2 5 3" xfId="6331" xr:uid="{00000000-0005-0000-0000-0000AA0E0000}"/>
    <cellStyle name="Normal 2 4 2 3 2 2 2 5 3 2" xfId="14773" xr:uid="{A9060D3F-5880-49EA-B31B-E8F955897662}"/>
    <cellStyle name="Normal 2 4 2 3 2 2 2 5 4" xfId="10555" xr:uid="{CB35E50A-F6D5-4A44-9F7A-01152A26EECD}"/>
    <cellStyle name="Normal 2 4 2 3 2 2 2 6" xfId="2460" xr:uid="{00000000-0005-0000-0000-0000AB0E0000}"/>
    <cellStyle name="Normal 2 4 2 3 2 2 2 6 2" xfId="6744" xr:uid="{00000000-0005-0000-0000-0000AC0E0000}"/>
    <cellStyle name="Normal 2 4 2 3 2 2 2 6 2 2" xfId="15186" xr:uid="{FB296749-086D-4392-BEEE-DEE25C00F35F}"/>
    <cellStyle name="Normal 2 4 2 3 2 2 2 6 3" xfId="10968" xr:uid="{71205E33-0650-4857-82F9-1E972E9B9922}"/>
    <cellStyle name="Normal 2 4 2 3 2 2 2 7" xfId="4678" xr:uid="{00000000-0005-0000-0000-0000AD0E0000}"/>
    <cellStyle name="Normal 2 4 2 3 2 2 2 7 2" xfId="13120" xr:uid="{E3E8138F-F632-459E-82C5-9C01F54A4DC6}"/>
    <cellStyle name="Normal 2 4 2 3 2 2 2 8" xfId="8902" xr:uid="{F89951C9-9B08-4622-89E9-B3F811796FAD}"/>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4224CB34-5FB2-42C5-8961-88345823D952}"/>
    <cellStyle name="Normal 2 4 2 3 2 2 3 2 3" xfId="11460" xr:uid="{5E1B1E38-F3A0-44F5-B9AB-A825F4A2F03C}"/>
    <cellStyle name="Normal 2 4 2 3 2 2 3 3" xfId="5091" xr:uid="{00000000-0005-0000-0000-0000B10E0000}"/>
    <cellStyle name="Normal 2 4 2 3 2 2 3 3 2" xfId="13533" xr:uid="{7E45A4E1-96C0-4791-8F24-AB427BE0DA9D}"/>
    <cellStyle name="Normal 2 4 2 3 2 2 3 4" xfId="9315" xr:uid="{A8BA2325-6333-469B-B480-C96671C64AD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7E0BE036-E0A6-4EF4-83A1-E7DBEB397383}"/>
    <cellStyle name="Normal 2 4 2 3 2 2 4 2 3" xfId="11873" xr:uid="{578A7D2F-D522-44A4-AE82-B133A45DC478}"/>
    <cellStyle name="Normal 2 4 2 3 2 2 4 3" xfId="5504" xr:uid="{00000000-0005-0000-0000-0000B50E0000}"/>
    <cellStyle name="Normal 2 4 2 3 2 2 4 3 2" xfId="13946" xr:uid="{50A9DD44-4552-4C5D-924E-9C38F7AB786F}"/>
    <cellStyle name="Normal 2 4 2 3 2 2 4 4" xfId="9728" xr:uid="{26DB5900-49AB-4F09-A645-3DFC29563809}"/>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4B8F6780-E7AB-424E-B2EF-584DBB5805B7}"/>
    <cellStyle name="Normal 2 4 2 3 2 2 5 2 3" xfId="12286" xr:uid="{B94FE5BE-87CD-4824-A9D5-D6AC3D87E05A}"/>
    <cellStyle name="Normal 2 4 2 3 2 2 5 3" xfId="5917" xr:uid="{00000000-0005-0000-0000-0000B90E0000}"/>
    <cellStyle name="Normal 2 4 2 3 2 2 5 3 2" xfId="14359" xr:uid="{608CDB0D-69F0-4293-952C-5280DBAF7904}"/>
    <cellStyle name="Normal 2 4 2 3 2 2 5 4" xfId="10141" xr:uid="{71740115-48B7-481C-9C2A-1CCF8A7133E5}"/>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FB5C6588-A6D2-484F-9104-718DCB67403A}"/>
    <cellStyle name="Normal 2 4 2 3 2 2 6 2 3" xfId="12699" xr:uid="{D5A94972-B910-4E5B-A8A9-BCB09AD48B89}"/>
    <cellStyle name="Normal 2 4 2 3 2 2 6 3" xfId="6330" xr:uid="{00000000-0005-0000-0000-0000BD0E0000}"/>
    <cellStyle name="Normal 2 4 2 3 2 2 6 3 2" xfId="14772" xr:uid="{A772D14F-C6B9-4787-A51D-E13AB777BCD8}"/>
    <cellStyle name="Normal 2 4 2 3 2 2 6 4" xfId="10554" xr:uid="{FACA1866-C272-49E0-BFD9-F519F8E7E87D}"/>
    <cellStyle name="Normal 2 4 2 3 2 2 7" xfId="2459" xr:uid="{00000000-0005-0000-0000-0000BE0E0000}"/>
    <cellStyle name="Normal 2 4 2 3 2 2 7 2" xfId="6743" xr:uid="{00000000-0005-0000-0000-0000BF0E0000}"/>
    <cellStyle name="Normal 2 4 2 3 2 2 7 2 2" xfId="15185" xr:uid="{EA7E6D79-382B-4A0F-91FA-3D2D756FBAC9}"/>
    <cellStyle name="Normal 2 4 2 3 2 2 7 3" xfId="10967" xr:uid="{28D26217-11BF-4DAE-8C17-17D805586091}"/>
    <cellStyle name="Normal 2 4 2 3 2 2 8" xfId="4677" xr:uid="{00000000-0005-0000-0000-0000C00E0000}"/>
    <cellStyle name="Normal 2 4 2 3 2 2 8 2" xfId="13119" xr:uid="{2DAF2206-4B60-4C99-A17C-7B4DEDFA0388}"/>
    <cellStyle name="Normal 2 4 2 3 2 2 9" xfId="8901" xr:uid="{41C5C1A2-FEF4-408D-B6C0-4A563EB77AEE}"/>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11618BCC-680D-42AB-881E-9E8D08068FB9}"/>
    <cellStyle name="Normal 2 4 2 3 2 3 2 2 3" xfId="11462" xr:uid="{978478C5-F6B2-47E5-B35C-5E74BDF695CE}"/>
    <cellStyle name="Normal 2 4 2 3 2 3 2 3" xfId="5093" xr:uid="{00000000-0005-0000-0000-0000C50E0000}"/>
    <cellStyle name="Normal 2 4 2 3 2 3 2 3 2" xfId="13535" xr:uid="{D29D3FAA-0A41-473B-A166-3AD05D67C431}"/>
    <cellStyle name="Normal 2 4 2 3 2 3 2 4" xfId="9317" xr:uid="{B0B7AA19-2246-4F12-8AF3-BE490C4934C8}"/>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7138CF09-01C7-46FD-A837-5ACBBEC1D20B}"/>
    <cellStyle name="Normal 2 4 2 3 2 3 3 2 3" xfId="11875" xr:uid="{4CC76D2B-39F2-4898-913E-A2963AB05A88}"/>
    <cellStyle name="Normal 2 4 2 3 2 3 3 3" xfId="5506" xr:uid="{00000000-0005-0000-0000-0000C90E0000}"/>
    <cellStyle name="Normal 2 4 2 3 2 3 3 3 2" xfId="13948" xr:uid="{8EFCEE7B-E9AF-44F3-9DDC-8F16DE34AE75}"/>
    <cellStyle name="Normal 2 4 2 3 2 3 3 4" xfId="9730" xr:uid="{0B549970-B60D-407F-A6F8-D8D1B5654199}"/>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28A1D099-027C-42CB-BEAE-3823D5C62258}"/>
    <cellStyle name="Normal 2 4 2 3 2 3 4 2 3" xfId="12288" xr:uid="{91D002E4-C949-4A49-BF41-B2C4F5C26555}"/>
    <cellStyle name="Normal 2 4 2 3 2 3 4 3" xfId="5919" xr:uid="{00000000-0005-0000-0000-0000CD0E0000}"/>
    <cellStyle name="Normal 2 4 2 3 2 3 4 3 2" xfId="14361" xr:uid="{BE950530-1AB5-4482-9E96-121E82C258B1}"/>
    <cellStyle name="Normal 2 4 2 3 2 3 4 4" xfId="10143" xr:uid="{7796F22D-69B5-45A8-AC44-5186C3654E6E}"/>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F9D3669C-682B-481A-832E-F4023B815510}"/>
    <cellStyle name="Normal 2 4 2 3 2 3 5 2 3" xfId="12701" xr:uid="{8C7BF688-1A69-4D53-830F-F06BCF794EDB}"/>
    <cellStyle name="Normal 2 4 2 3 2 3 5 3" xfId="6332" xr:uid="{00000000-0005-0000-0000-0000D10E0000}"/>
    <cellStyle name="Normal 2 4 2 3 2 3 5 3 2" xfId="14774" xr:uid="{C142685E-CD0B-45B4-9A87-77EE76B232DA}"/>
    <cellStyle name="Normal 2 4 2 3 2 3 5 4" xfId="10556" xr:uid="{635D62EC-8B03-457F-BBE4-93774C41C742}"/>
    <cellStyle name="Normal 2 4 2 3 2 3 6" xfId="2461" xr:uid="{00000000-0005-0000-0000-0000D20E0000}"/>
    <cellStyle name="Normal 2 4 2 3 2 3 6 2" xfId="6745" xr:uid="{00000000-0005-0000-0000-0000D30E0000}"/>
    <cellStyle name="Normal 2 4 2 3 2 3 6 2 2" xfId="15187" xr:uid="{2072D982-9681-4EF1-AAD4-748D22BB053A}"/>
    <cellStyle name="Normal 2 4 2 3 2 3 6 3" xfId="10969" xr:uid="{39BE08A8-0577-4D1F-88B6-5F0ACC5E2331}"/>
    <cellStyle name="Normal 2 4 2 3 2 3 7" xfId="4679" xr:uid="{00000000-0005-0000-0000-0000D40E0000}"/>
    <cellStyle name="Normal 2 4 2 3 2 3 7 2" xfId="13121" xr:uid="{1B53749E-3C58-432E-B830-CA3903C5F5AA}"/>
    <cellStyle name="Normal 2 4 2 3 2 3 8" xfId="8903" xr:uid="{C21F3246-2D25-48CD-B95A-5A06579AB199}"/>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3136B5F3-3042-476E-9FF9-A3EB1609DD1A}"/>
    <cellStyle name="Normal 2 4 2 3 2 4 2 3" xfId="11459" xr:uid="{2B837A7B-97B7-4B78-A25A-C222F46C3361}"/>
    <cellStyle name="Normal 2 4 2 3 2 4 3" xfId="5090" xr:uid="{00000000-0005-0000-0000-0000D80E0000}"/>
    <cellStyle name="Normal 2 4 2 3 2 4 3 2" xfId="13532" xr:uid="{F48395D6-842F-42E0-A69C-41D29C24CE1A}"/>
    <cellStyle name="Normal 2 4 2 3 2 4 4" xfId="9314" xr:uid="{1C6BF2C9-4188-4231-A045-103690D4996B}"/>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DEB96136-8703-4E07-94A6-15156EF65319}"/>
    <cellStyle name="Normal 2 4 2 3 2 5 2 3" xfId="11872" xr:uid="{38971BA9-93E4-4214-AE9C-1DC3558920A6}"/>
    <cellStyle name="Normal 2 4 2 3 2 5 3" xfId="5503" xr:uid="{00000000-0005-0000-0000-0000DC0E0000}"/>
    <cellStyle name="Normal 2 4 2 3 2 5 3 2" xfId="13945" xr:uid="{E0103861-98D3-44BF-B093-9A7F797BF890}"/>
    <cellStyle name="Normal 2 4 2 3 2 5 4" xfId="9727" xr:uid="{F2FBDF39-A06C-4BBA-8AC3-7800467135DA}"/>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7511510A-B206-44A0-8529-EB5D544AA28F}"/>
    <cellStyle name="Normal 2 4 2 3 2 6 2 3" xfId="12285" xr:uid="{1B570A65-DE5E-459B-BBB5-DBBD8FBC170B}"/>
    <cellStyle name="Normal 2 4 2 3 2 6 3" xfId="5916" xr:uid="{00000000-0005-0000-0000-0000E00E0000}"/>
    <cellStyle name="Normal 2 4 2 3 2 6 3 2" xfId="14358" xr:uid="{AC107F28-DB1B-457E-BFCF-D906A158EBBB}"/>
    <cellStyle name="Normal 2 4 2 3 2 6 4" xfId="10140" xr:uid="{92D678EB-B889-4E92-A5C6-D8ACA0DC1F89}"/>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CCFA78F3-A19B-47A9-A3E0-6BA442269BB9}"/>
    <cellStyle name="Normal 2 4 2 3 2 7 2 3" xfId="12698" xr:uid="{A2104923-6803-4ABC-9EF2-45BBE60938FE}"/>
    <cellStyle name="Normal 2 4 2 3 2 7 3" xfId="6329" xr:uid="{00000000-0005-0000-0000-0000E40E0000}"/>
    <cellStyle name="Normal 2 4 2 3 2 7 3 2" xfId="14771" xr:uid="{CE161273-1A8D-4454-86A6-96327B378BF7}"/>
    <cellStyle name="Normal 2 4 2 3 2 7 4" xfId="10553" xr:uid="{52848478-32D0-4655-B6A8-57B1D757FACB}"/>
    <cellStyle name="Normal 2 4 2 3 2 8" xfId="2458" xr:uid="{00000000-0005-0000-0000-0000E50E0000}"/>
    <cellStyle name="Normal 2 4 2 3 2 8 2" xfId="6742" xr:uid="{00000000-0005-0000-0000-0000E60E0000}"/>
    <cellStyle name="Normal 2 4 2 3 2 8 2 2" xfId="15184" xr:uid="{70E6006A-7913-4815-B387-6F9CFE1C8A48}"/>
    <cellStyle name="Normal 2 4 2 3 2 8 3" xfId="10966" xr:uid="{4C246B3E-1EF3-4498-9B86-D5B51854FB72}"/>
    <cellStyle name="Normal 2 4 2 3 2 9" xfId="4676" xr:uid="{00000000-0005-0000-0000-0000E70E0000}"/>
    <cellStyle name="Normal 2 4 2 3 2 9 2" xfId="13118" xr:uid="{FA99CEA4-DD89-4BAA-832A-4C10DAB7E668}"/>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08C2B62B-FFA8-40E8-B1F7-6E16651F1E29}"/>
    <cellStyle name="Normal 2 4 2 3 3 2 2 2 3" xfId="11464" xr:uid="{560CF3BD-00CA-4B9C-AFBA-CB8F8FE07CFE}"/>
    <cellStyle name="Normal 2 4 2 3 3 2 2 3" xfId="5095" xr:uid="{00000000-0005-0000-0000-0000ED0E0000}"/>
    <cellStyle name="Normal 2 4 2 3 3 2 2 3 2" xfId="13537" xr:uid="{944110EB-5ED4-4933-8181-3D3AAC7FCC25}"/>
    <cellStyle name="Normal 2 4 2 3 3 2 2 4" xfId="9319" xr:uid="{6387795B-C4B9-42C3-BEE7-BF960EB4D91F}"/>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A0C8232E-4EBD-47D0-BF4C-D91C167FB9FF}"/>
    <cellStyle name="Normal 2 4 2 3 3 2 3 2 3" xfId="11877" xr:uid="{8AEB59A6-1472-4513-81E4-34D66C2B4DAF}"/>
    <cellStyle name="Normal 2 4 2 3 3 2 3 3" xfId="5508" xr:uid="{00000000-0005-0000-0000-0000F10E0000}"/>
    <cellStyle name="Normal 2 4 2 3 3 2 3 3 2" xfId="13950" xr:uid="{40152195-C546-4486-ADAF-FB245345EEF4}"/>
    <cellStyle name="Normal 2 4 2 3 3 2 3 4" xfId="9732" xr:uid="{C3998EDC-FA82-4B44-A3CB-7D5C4FF48038}"/>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77417418-35E2-40E0-BABF-E2351FC6C2C7}"/>
    <cellStyle name="Normal 2 4 2 3 3 2 4 2 3" xfId="12290" xr:uid="{10B37519-A6F1-476B-ABED-18528E7A1475}"/>
    <cellStyle name="Normal 2 4 2 3 3 2 4 3" xfId="5921" xr:uid="{00000000-0005-0000-0000-0000F50E0000}"/>
    <cellStyle name="Normal 2 4 2 3 3 2 4 3 2" xfId="14363" xr:uid="{B19B78EB-94E7-4488-9E30-7AD41A7099A5}"/>
    <cellStyle name="Normal 2 4 2 3 3 2 4 4" xfId="10145" xr:uid="{FAF7D61F-E0E1-4C58-A066-4169F65FFBED}"/>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5B6BB980-5773-4920-904A-51934863C8A2}"/>
    <cellStyle name="Normal 2 4 2 3 3 2 5 2 3" xfId="12703" xr:uid="{CDC2B6A5-9456-4997-B369-E3F6D2926007}"/>
    <cellStyle name="Normal 2 4 2 3 3 2 5 3" xfId="6334" xr:uid="{00000000-0005-0000-0000-0000F90E0000}"/>
    <cellStyle name="Normal 2 4 2 3 3 2 5 3 2" xfId="14776" xr:uid="{A5263ED3-9835-4D0F-99FE-B0D751B893F3}"/>
    <cellStyle name="Normal 2 4 2 3 3 2 5 4" xfId="10558" xr:uid="{E07A3CDC-0EA6-431F-BCAD-16F665DC77B9}"/>
    <cellStyle name="Normal 2 4 2 3 3 2 6" xfId="2463" xr:uid="{00000000-0005-0000-0000-0000FA0E0000}"/>
    <cellStyle name="Normal 2 4 2 3 3 2 6 2" xfId="6747" xr:uid="{00000000-0005-0000-0000-0000FB0E0000}"/>
    <cellStyle name="Normal 2 4 2 3 3 2 6 2 2" xfId="15189" xr:uid="{0EA608FD-3CEE-42F9-B93C-D5884216BB31}"/>
    <cellStyle name="Normal 2 4 2 3 3 2 6 3" xfId="10971" xr:uid="{6C8BF9CC-8DCB-4215-9438-6A6B72CD300F}"/>
    <cellStyle name="Normal 2 4 2 3 3 2 7" xfId="4681" xr:uid="{00000000-0005-0000-0000-0000FC0E0000}"/>
    <cellStyle name="Normal 2 4 2 3 3 2 7 2" xfId="13123" xr:uid="{14D40B16-CD46-4943-A3F6-C75B4DB56065}"/>
    <cellStyle name="Normal 2 4 2 3 3 2 8" xfId="8905" xr:uid="{30B7F427-6A5D-47DB-BB6A-7458BABBCBF5}"/>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BBBE2EC9-0A12-43C5-BD2D-137B10BA1FD8}"/>
    <cellStyle name="Normal 2 4 2 3 3 3 2 3" xfId="11463" xr:uid="{D41ABE54-4071-4E00-A8A5-A1B75460025D}"/>
    <cellStyle name="Normal 2 4 2 3 3 3 3" xfId="5094" xr:uid="{00000000-0005-0000-0000-0000000F0000}"/>
    <cellStyle name="Normal 2 4 2 3 3 3 3 2" xfId="13536" xr:uid="{DEF6DAD9-CDB6-4AD8-A9BF-25F7CB320A9C}"/>
    <cellStyle name="Normal 2 4 2 3 3 3 4" xfId="9318" xr:uid="{8ACAE952-AA7C-473E-88E7-354C26B3A754}"/>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6DAA57A5-0A5D-4A16-BDE4-8DA5F979E0A3}"/>
    <cellStyle name="Normal 2 4 2 3 3 4 2 3" xfId="11876" xr:uid="{F60A40B2-16D9-44B8-A5EF-C916E78780D6}"/>
    <cellStyle name="Normal 2 4 2 3 3 4 3" xfId="5507" xr:uid="{00000000-0005-0000-0000-0000040F0000}"/>
    <cellStyle name="Normal 2 4 2 3 3 4 3 2" xfId="13949" xr:uid="{BE145373-8B23-4E73-96CD-45DECF7F0B11}"/>
    <cellStyle name="Normal 2 4 2 3 3 4 4" xfId="9731" xr:uid="{096E3D5F-7A1C-4C74-A0C5-7EEF577BA5EC}"/>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C1A8FF00-BAFD-4960-AAA8-5FCC36F0DCA3}"/>
    <cellStyle name="Normal 2 4 2 3 3 5 2 3" xfId="12289" xr:uid="{75B53CC1-97DC-4D42-A0BC-9B29ABD9EB98}"/>
    <cellStyle name="Normal 2 4 2 3 3 5 3" xfId="5920" xr:uid="{00000000-0005-0000-0000-0000080F0000}"/>
    <cellStyle name="Normal 2 4 2 3 3 5 3 2" xfId="14362" xr:uid="{FE89E275-4B87-4C23-AD55-368427EF9B2E}"/>
    <cellStyle name="Normal 2 4 2 3 3 5 4" xfId="10144" xr:uid="{C56C0D01-D638-48F9-AE33-140F0ED9D98E}"/>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FFB584E2-7821-41F6-8BDB-450F1D87F83B}"/>
    <cellStyle name="Normal 2 4 2 3 3 6 2 3" xfId="12702" xr:uid="{A7AC4093-1FAE-4ED7-AF6D-88C474833494}"/>
    <cellStyle name="Normal 2 4 2 3 3 6 3" xfId="6333" xr:uid="{00000000-0005-0000-0000-00000C0F0000}"/>
    <cellStyle name="Normal 2 4 2 3 3 6 3 2" xfId="14775" xr:uid="{DEB9734B-0FD5-429A-B2C1-B1FB3742786B}"/>
    <cellStyle name="Normal 2 4 2 3 3 6 4" xfId="10557" xr:uid="{6575EF33-728B-4BAD-BA4D-ECABCC90B2E8}"/>
    <cellStyle name="Normal 2 4 2 3 3 7" xfId="2462" xr:uid="{00000000-0005-0000-0000-00000D0F0000}"/>
    <cellStyle name="Normal 2 4 2 3 3 7 2" xfId="6746" xr:uid="{00000000-0005-0000-0000-00000E0F0000}"/>
    <cellStyle name="Normal 2 4 2 3 3 7 2 2" xfId="15188" xr:uid="{0A9FCB24-A225-4219-A9F1-F36B83AE67CE}"/>
    <cellStyle name="Normal 2 4 2 3 3 7 3" xfId="10970" xr:uid="{E529D170-2D76-4BB1-84CA-52752B198451}"/>
    <cellStyle name="Normal 2 4 2 3 3 8" xfId="4680" xr:uid="{00000000-0005-0000-0000-00000F0F0000}"/>
    <cellStyle name="Normal 2 4 2 3 3 8 2" xfId="13122" xr:uid="{D0B7DDB5-36A8-468E-BE47-35EAF3C24AA9}"/>
    <cellStyle name="Normal 2 4 2 3 3 9" xfId="8904" xr:uid="{7883E3DF-9E91-4A45-AE12-814AB3F40A73}"/>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D4021877-B4C2-4C7D-8C6A-DC84642BD51D}"/>
    <cellStyle name="Normal 2 4 2 3 4 2 2 3" xfId="11465" xr:uid="{CCC71035-E79A-44A0-BC78-FA0851B7B3BC}"/>
    <cellStyle name="Normal 2 4 2 3 4 2 3" xfId="5096" xr:uid="{00000000-0005-0000-0000-0000140F0000}"/>
    <cellStyle name="Normal 2 4 2 3 4 2 3 2" xfId="13538" xr:uid="{6F6ED836-4FD9-447F-8CE3-BE8065F40775}"/>
    <cellStyle name="Normal 2 4 2 3 4 2 4" xfId="9320" xr:uid="{C0B74FDE-408C-47A7-8A6F-B480B9CCE099}"/>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E64C584D-D729-49E6-82F5-F964D36F8953}"/>
    <cellStyle name="Normal 2 4 2 3 4 3 2 3" xfId="11878" xr:uid="{3A957503-B405-46C4-A71F-EF4002CD4787}"/>
    <cellStyle name="Normal 2 4 2 3 4 3 3" xfId="5509" xr:uid="{00000000-0005-0000-0000-0000180F0000}"/>
    <cellStyle name="Normal 2 4 2 3 4 3 3 2" xfId="13951" xr:uid="{65D0511F-0F2B-47B4-99C6-D5A97EF35E6D}"/>
    <cellStyle name="Normal 2 4 2 3 4 3 4" xfId="9733" xr:uid="{726B1E0A-63CF-45A3-956D-28ED6ECDA79A}"/>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EDF134C0-A2DD-4979-B3C5-AB03A7CCE0BE}"/>
    <cellStyle name="Normal 2 4 2 3 4 4 2 3" xfId="12291" xr:uid="{A3A730B9-CB97-42A1-A2D5-A17257BF1F5E}"/>
    <cellStyle name="Normal 2 4 2 3 4 4 3" xfId="5922" xr:uid="{00000000-0005-0000-0000-00001C0F0000}"/>
    <cellStyle name="Normal 2 4 2 3 4 4 3 2" xfId="14364" xr:uid="{A719A2FB-6E5F-4EFC-94B4-EDFCF4F3DE83}"/>
    <cellStyle name="Normal 2 4 2 3 4 4 4" xfId="10146" xr:uid="{4EC2B489-FB01-486F-9F04-CF877BB209BA}"/>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A2A014DF-4ED1-4A1F-963E-941396C1FB0A}"/>
    <cellStyle name="Normal 2 4 2 3 4 5 2 3" xfId="12704" xr:uid="{F05550A4-5AE8-4FB7-BFE2-23AF5812F5C9}"/>
    <cellStyle name="Normal 2 4 2 3 4 5 3" xfId="6335" xr:uid="{00000000-0005-0000-0000-0000200F0000}"/>
    <cellStyle name="Normal 2 4 2 3 4 5 3 2" xfId="14777" xr:uid="{5FDE650F-1E49-4CA7-9347-0FB924E2646B}"/>
    <cellStyle name="Normal 2 4 2 3 4 5 4" xfId="10559" xr:uid="{B9363ECD-0D94-42D0-9DF5-2036FE473778}"/>
    <cellStyle name="Normal 2 4 2 3 4 6" xfId="2464" xr:uid="{00000000-0005-0000-0000-0000210F0000}"/>
    <cellStyle name="Normal 2 4 2 3 4 6 2" xfId="6748" xr:uid="{00000000-0005-0000-0000-0000220F0000}"/>
    <cellStyle name="Normal 2 4 2 3 4 6 2 2" xfId="15190" xr:uid="{D91618B6-5F18-45B3-8A2D-8BB18CBAEBFC}"/>
    <cellStyle name="Normal 2 4 2 3 4 6 3" xfId="10972" xr:uid="{2E8B110F-DE5D-479D-ADEA-E6562F30C62E}"/>
    <cellStyle name="Normal 2 4 2 3 4 7" xfId="4682" xr:uid="{00000000-0005-0000-0000-0000230F0000}"/>
    <cellStyle name="Normal 2 4 2 3 4 7 2" xfId="13124" xr:uid="{C30D4EBD-FABE-4881-AADF-8665F1FA266E}"/>
    <cellStyle name="Normal 2 4 2 3 4 8" xfId="8906" xr:uid="{3DB91233-AB39-424D-AB73-CBEDB5C8B0E9}"/>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E279D246-7870-4200-AF2F-B9D6586E4E45}"/>
    <cellStyle name="Normal 2 4 2 3 5 2 3" xfId="11458" xr:uid="{93DBAB38-FA1B-4D06-BA08-D1AB880A8038}"/>
    <cellStyle name="Normal 2 4 2 3 5 3" xfId="5089" xr:uid="{00000000-0005-0000-0000-0000270F0000}"/>
    <cellStyle name="Normal 2 4 2 3 5 3 2" xfId="13531" xr:uid="{D87C7C5F-0A6D-4CA9-AE3D-86FA77133C40}"/>
    <cellStyle name="Normal 2 4 2 3 5 4" xfId="9313" xr:uid="{E5CD3FFA-212C-4898-BED4-1FD7B3ED620C}"/>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3ADE9E14-D762-4B31-B96E-4EB37E5C1808}"/>
    <cellStyle name="Normal 2 4 2 3 6 2 3" xfId="11871" xr:uid="{BBF95DF1-658B-4C0F-B177-C2DACD3338B1}"/>
    <cellStyle name="Normal 2 4 2 3 6 3" xfId="5502" xr:uid="{00000000-0005-0000-0000-00002B0F0000}"/>
    <cellStyle name="Normal 2 4 2 3 6 3 2" xfId="13944" xr:uid="{8B6BF783-C0A5-4864-815B-5F99A8935D9D}"/>
    <cellStyle name="Normal 2 4 2 3 6 4" xfId="9726" xr:uid="{9521E2FE-0AF0-479E-83DC-DF5FC0686839}"/>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04F322A3-4471-444E-9718-A246633FF2C8}"/>
    <cellStyle name="Normal 2 4 2 3 7 2 3" xfId="12284" xr:uid="{A8AB19F8-D258-40CB-8C4F-3E51DEE5CDF3}"/>
    <cellStyle name="Normal 2 4 2 3 7 3" xfId="5915" xr:uid="{00000000-0005-0000-0000-00002F0F0000}"/>
    <cellStyle name="Normal 2 4 2 3 7 3 2" xfId="14357" xr:uid="{369B1856-A03A-47DA-A9F8-D3EEA79B8399}"/>
    <cellStyle name="Normal 2 4 2 3 7 4" xfId="10139" xr:uid="{D13E61E7-43E3-41DC-8447-903260960F2C}"/>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3D3F7DA8-A185-407F-9AD0-E7269C313392}"/>
    <cellStyle name="Normal 2 4 2 3 8 2 3" xfId="12697" xr:uid="{52051BEE-EA65-4C08-A323-C791F5C286C3}"/>
    <cellStyle name="Normal 2 4 2 3 8 3" xfId="6328" xr:uid="{00000000-0005-0000-0000-0000330F0000}"/>
    <cellStyle name="Normal 2 4 2 3 8 3 2" xfId="14770" xr:uid="{4D67186F-32D4-4784-A2A5-36B92DA35268}"/>
    <cellStyle name="Normal 2 4 2 3 8 4" xfId="10552" xr:uid="{F6400EF2-D532-42CD-946A-8BA03FD3E66C}"/>
    <cellStyle name="Normal 2 4 2 3 9" xfId="2457" xr:uid="{00000000-0005-0000-0000-0000340F0000}"/>
    <cellStyle name="Normal 2 4 2 3 9 2" xfId="6741" xr:uid="{00000000-0005-0000-0000-0000350F0000}"/>
    <cellStyle name="Normal 2 4 2 3 9 2 2" xfId="15183" xr:uid="{B0A85B2B-0733-471A-8C99-42C5A3963AE4}"/>
    <cellStyle name="Normal 2 4 2 3 9 3" xfId="10965" xr:uid="{8F0D05C6-657D-4056-8F1C-0B45234E7EA5}"/>
    <cellStyle name="Normal 2 4 2 4" xfId="289" xr:uid="{00000000-0005-0000-0000-0000360F0000}"/>
    <cellStyle name="Normal 2 4 2 4 10" xfId="8907" xr:uid="{D9C99EFD-2B2E-475C-B009-3BE08B9D33B4}"/>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2371ED7B-1E51-495B-9747-30C7B12C918F}"/>
    <cellStyle name="Normal 2 4 2 4 2 2 2 2 3" xfId="11468" xr:uid="{EF539AC5-2731-4035-AC81-637DFA33A8C2}"/>
    <cellStyle name="Normal 2 4 2 4 2 2 2 3" xfId="5099" xr:uid="{00000000-0005-0000-0000-00003C0F0000}"/>
    <cellStyle name="Normal 2 4 2 4 2 2 2 3 2" xfId="13541" xr:uid="{6C02B84B-206C-4832-8EC7-EF22779522F0}"/>
    <cellStyle name="Normal 2 4 2 4 2 2 2 4" xfId="9323" xr:uid="{D47BE1FC-9E07-4AB7-B8D6-8A98F7E6A135}"/>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25F784A7-9457-467D-81B6-F01DF94B969C}"/>
    <cellStyle name="Normal 2 4 2 4 2 2 3 2 3" xfId="11881" xr:uid="{79A3C8E0-4906-42A4-859E-DBD41244E86F}"/>
    <cellStyle name="Normal 2 4 2 4 2 2 3 3" xfId="5512" xr:uid="{00000000-0005-0000-0000-0000400F0000}"/>
    <cellStyle name="Normal 2 4 2 4 2 2 3 3 2" xfId="13954" xr:uid="{43A37998-3614-4A1D-A249-BDA480B2F4FA}"/>
    <cellStyle name="Normal 2 4 2 4 2 2 3 4" xfId="9736" xr:uid="{D6A0CA32-8675-4A03-9321-C8FAEA450FE5}"/>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D4C624EF-841C-45CE-A07A-9413FD97D6C9}"/>
    <cellStyle name="Normal 2 4 2 4 2 2 4 2 3" xfId="12294" xr:uid="{CC72CD0B-D26C-45DE-ACEE-62F48EE5573A}"/>
    <cellStyle name="Normal 2 4 2 4 2 2 4 3" xfId="5925" xr:uid="{00000000-0005-0000-0000-0000440F0000}"/>
    <cellStyle name="Normal 2 4 2 4 2 2 4 3 2" xfId="14367" xr:uid="{182B168B-79F9-4545-A89D-5C1961F18A9A}"/>
    <cellStyle name="Normal 2 4 2 4 2 2 4 4" xfId="10149" xr:uid="{5C734EB4-208E-43E2-B75B-BBD5D87A3E0C}"/>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574ADE3A-BF5A-4BA1-9D8A-1106BEE183FD}"/>
    <cellStyle name="Normal 2 4 2 4 2 2 5 2 3" xfId="12707" xr:uid="{D29C2374-1539-44AE-81B1-E117759C9F1B}"/>
    <cellStyle name="Normal 2 4 2 4 2 2 5 3" xfId="6338" xr:uid="{00000000-0005-0000-0000-0000480F0000}"/>
    <cellStyle name="Normal 2 4 2 4 2 2 5 3 2" xfId="14780" xr:uid="{EB0F8102-9BC3-48FD-9568-8081E084149D}"/>
    <cellStyle name="Normal 2 4 2 4 2 2 5 4" xfId="10562" xr:uid="{DFD4CE66-40E1-46BF-BA78-D7C27B2A0349}"/>
    <cellStyle name="Normal 2 4 2 4 2 2 6" xfId="2467" xr:uid="{00000000-0005-0000-0000-0000490F0000}"/>
    <cellStyle name="Normal 2 4 2 4 2 2 6 2" xfId="6751" xr:uid="{00000000-0005-0000-0000-00004A0F0000}"/>
    <cellStyle name="Normal 2 4 2 4 2 2 6 2 2" xfId="15193" xr:uid="{A8BB640B-A358-4A05-81D2-4F363372F053}"/>
    <cellStyle name="Normal 2 4 2 4 2 2 6 3" xfId="10975" xr:uid="{7C5DB8DC-945F-41EF-B13D-E9E74B9D151A}"/>
    <cellStyle name="Normal 2 4 2 4 2 2 7" xfId="4685" xr:uid="{00000000-0005-0000-0000-00004B0F0000}"/>
    <cellStyle name="Normal 2 4 2 4 2 2 7 2" xfId="13127" xr:uid="{F1DB4DF4-AC90-4541-8850-CC0483E59EE8}"/>
    <cellStyle name="Normal 2 4 2 4 2 2 8" xfId="8909" xr:uid="{62D40C15-E711-4EDE-A33E-349D0A2093FF}"/>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46CD82B1-0944-4DAA-8854-487979400B4C}"/>
    <cellStyle name="Normal 2 4 2 4 2 3 2 3" xfId="11467" xr:uid="{F6677975-7638-4CFC-B240-635BCF02E456}"/>
    <cellStyle name="Normal 2 4 2 4 2 3 3" xfId="5098" xr:uid="{00000000-0005-0000-0000-00004F0F0000}"/>
    <cellStyle name="Normal 2 4 2 4 2 3 3 2" xfId="13540" xr:uid="{6AF583D8-24FF-4E5E-8159-C0090C910B4F}"/>
    <cellStyle name="Normal 2 4 2 4 2 3 4" xfId="9322" xr:uid="{443FA32D-CD9F-41B3-A4A3-A979BE153F23}"/>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BE25087F-A842-4EF8-87F9-2389A5D15E3D}"/>
    <cellStyle name="Normal 2 4 2 4 2 4 2 3" xfId="11880" xr:uid="{AF6DAB14-8A06-43AA-8BEF-573F941EB6D1}"/>
    <cellStyle name="Normal 2 4 2 4 2 4 3" xfId="5511" xr:uid="{00000000-0005-0000-0000-0000530F0000}"/>
    <cellStyle name="Normal 2 4 2 4 2 4 3 2" xfId="13953" xr:uid="{A868E1B0-F21F-477B-B6F0-8F0727A60182}"/>
    <cellStyle name="Normal 2 4 2 4 2 4 4" xfId="9735" xr:uid="{65E156A8-6456-4DF8-80C0-D14F452A1702}"/>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9081D141-E098-47B7-B2EA-3224F18ECCCF}"/>
    <cellStyle name="Normal 2 4 2 4 2 5 2 3" xfId="12293" xr:uid="{7E459484-AE44-42A5-BCE7-9A7256721FC9}"/>
    <cellStyle name="Normal 2 4 2 4 2 5 3" xfId="5924" xr:uid="{00000000-0005-0000-0000-0000570F0000}"/>
    <cellStyle name="Normal 2 4 2 4 2 5 3 2" xfId="14366" xr:uid="{B44845DC-C3A8-4FC8-8E35-32AAE15D939B}"/>
    <cellStyle name="Normal 2 4 2 4 2 5 4" xfId="10148" xr:uid="{B20D0233-3D1F-476D-88E7-75959EC3FE76}"/>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3293D861-1A10-4563-AC67-9816D56301B2}"/>
    <cellStyle name="Normal 2 4 2 4 2 6 2 3" xfId="12706" xr:uid="{22E1D718-B79A-4A17-B972-8425BA2CB2CD}"/>
    <cellStyle name="Normal 2 4 2 4 2 6 3" xfId="6337" xr:uid="{00000000-0005-0000-0000-00005B0F0000}"/>
    <cellStyle name="Normal 2 4 2 4 2 6 3 2" xfId="14779" xr:uid="{B9F6CF28-1690-4870-9A8A-A9306AF7FA2B}"/>
    <cellStyle name="Normal 2 4 2 4 2 6 4" xfId="10561" xr:uid="{A8CC4C97-469E-4DE4-9963-208666D5F566}"/>
    <cellStyle name="Normal 2 4 2 4 2 7" xfId="2466" xr:uid="{00000000-0005-0000-0000-00005C0F0000}"/>
    <cellStyle name="Normal 2 4 2 4 2 7 2" xfId="6750" xr:uid="{00000000-0005-0000-0000-00005D0F0000}"/>
    <cellStyle name="Normal 2 4 2 4 2 7 2 2" xfId="15192" xr:uid="{7B8163EC-1298-4080-B503-1B44A687586E}"/>
    <cellStyle name="Normal 2 4 2 4 2 7 3" xfId="10974" xr:uid="{740C7AE4-6EB5-4CA7-9850-03FD7C36EF4C}"/>
    <cellStyle name="Normal 2 4 2 4 2 8" xfId="4684" xr:uid="{00000000-0005-0000-0000-00005E0F0000}"/>
    <cellStyle name="Normal 2 4 2 4 2 8 2" xfId="13126" xr:uid="{24FC331E-E1B9-486E-8282-633108759B9E}"/>
    <cellStyle name="Normal 2 4 2 4 2 9" xfId="8908" xr:uid="{718FA1E4-82A2-4FD9-8D8F-2C583F7116D4}"/>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79C69BC8-E04D-4862-BC43-CAE417944078}"/>
    <cellStyle name="Normal 2 4 2 4 3 2 2 3" xfId="11469" xr:uid="{A0F6D54B-389E-4AA1-A107-68C07DE06118}"/>
    <cellStyle name="Normal 2 4 2 4 3 2 3" xfId="5100" xr:uid="{00000000-0005-0000-0000-0000630F0000}"/>
    <cellStyle name="Normal 2 4 2 4 3 2 3 2" xfId="13542" xr:uid="{8F656C30-6700-44E8-ABDF-35561D740A2E}"/>
    <cellStyle name="Normal 2 4 2 4 3 2 4" xfId="9324" xr:uid="{95FFD9FE-FA2E-4662-B347-88557AE503A1}"/>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12FA68B2-BFDA-4E3B-B90A-57DC558AF615}"/>
    <cellStyle name="Normal 2 4 2 4 3 3 2 3" xfId="11882" xr:uid="{10873D87-59A2-4FDE-A8F9-7AF5029F69B1}"/>
    <cellStyle name="Normal 2 4 2 4 3 3 3" xfId="5513" xr:uid="{00000000-0005-0000-0000-0000670F0000}"/>
    <cellStyle name="Normal 2 4 2 4 3 3 3 2" xfId="13955" xr:uid="{ECC0401A-4C35-496D-90F7-F9B25ECA554D}"/>
    <cellStyle name="Normal 2 4 2 4 3 3 4" xfId="9737" xr:uid="{865F2DC6-C0E5-413A-AE93-F9599EAF2438}"/>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1BD574A5-A021-415D-80F4-B566BAD283B4}"/>
    <cellStyle name="Normal 2 4 2 4 3 4 2 3" xfId="12295" xr:uid="{AE2C6B12-8E10-410B-B1F0-361838CDF10E}"/>
    <cellStyle name="Normal 2 4 2 4 3 4 3" xfId="5926" xr:uid="{00000000-0005-0000-0000-00006B0F0000}"/>
    <cellStyle name="Normal 2 4 2 4 3 4 3 2" xfId="14368" xr:uid="{EA645325-46B4-4CCA-B307-5E610A385603}"/>
    <cellStyle name="Normal 2 4 2 4 3 4 4" xfId="10150" xr:uid="{0168C3F9-0799-4A32-BDE8-5F707B06906A}"/>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3B34A257-3DF2-4B4D-B7BA-F3848DC98918}"/>
    <cellStyle name="Normal 2 4 2 4 3 5 2 3" xfId="12708" xr:uid="{244798CE-62C2-40BF-8341-9F5D2DC6A00B}"/>
    <cellStyle name="Normal 2 4 2 4 3 5 3" xfId="6339" xr:uid="{00000000-0005-0000-0000-00006F0F0000}"/>
    <cellStyle name="Normal 2 4 2 4 3 5 3 2" xfId="14781" xr:uid="{3BBCAA69-0FAF-411B-8AE8-7753218F5B0B}"/>
    <cellStyle name="Normal 2 4 2 4 3 5 4" xfId="10563" xr:uid="{B1352302-5D5A-4FB9-8717-C3664C2FC5C2}"/>
    <cellStyle name="Normal 2 4 2 4 3 6" xfId="2468" xr:uid="{00000000-0005-0000-0000-0000700F0000}"/>
    <cellStyle name="Normal 2 4 2 4 3 6 2" xfId="6752" xr:uid="{00000000-0005-0000-0000-0000710F0000}"/>
    <cellStyle name="Normal 2 4 2 4 3 6 2 2" xfId="15194" xr:uid="{CB9DB39E-B658-418F-B285-424D8970BBA8}"/>
    <cellStyle name="Normal 2 4 2 4 3 6 3" xfId="10976" xr:uid="{000A8811-C5D7-40D8-88FB-6A31C7A4C7C3}"/>
    <cellStyle name="Normal 2 4 2 4 3 7" xfId="4686" xr:uid="{00000000-0005-0000-0000-0000720F0000}"/>
    <cellStyle name="Normal 2 4 2 4 3 7 2" xfId="13128" xr:uid="{DDC02DCB-1E42-4F43-81AE-04D7BB26C4DE}"/>
    <cellStyle name="Normal 2 4 2 4 3 8" xfId="8910" xr:uid="{424600FD-E322-40A2-A74C-E79DC40F4B0E}"/>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1D35E988-E6C3-43DD-BE9E-08C6F8F33A1D}"/>
    <cellStyle name="Normal 2 4 2 4 4 2 3" xfId="11466" xr:uid="{31DAF14A-EDB7-4156-980B-21B4D727D658}"/>
    <cellStyle name="Normal 2 4 2 4 4 3" xfId="5097" xr:uid="{00000000-0005-0000-0000-0000760F0000}"/>
    <cellStyle name="Normal 2 4 2 4 4 3 2" xfId="13539" xr:uid="{DFBCB098-F498-4CFB-860D-0726F7407012}"/>
    <cellStyle name="Normal 2 4 2 4 4 4" xfId="9321" xr:uid="{9DE60E17-3C91-47F7-99DE-D1123DF851CC}"/>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BE5AC651-E214-43F1-8E73-AEDE1A9CA28F}"/>
    <cellStyle name="Normal 2 4 2 4 5 2 3" xfId="11879" xr:uid="{1C4B6621-BEB9-49F2-846A-3DA32DE17335}"/>
    <cellStyle name="Normal 2 4 2 4 5 3" xfId="5510" xr:uid="{00000000-0005-0000-0000-00007A0F0000}"/>
    <cellStyle name="Normal 2 4 2 4 5 3 2" xfId="13952" xr:uid="{676AA3A8-C911-42D0-9D5F-499AD2B5D4F3}"/>
    <cellStyle name="Normal 2 4 2 4 5 4" xfId="9734" xr:uid="{12102BCC-93A7-4B56-AF96-3D50BA4490E8}"/>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7B5085E1-40D8-469D-AC73-925329B59DBD}"/>
    <cellStyle name="Normal 2 4 2 4 6 2 3" xfId="12292" xr:uid="{330C64D9-BFB5-49C2-B834-C98F8BE890DC}"/>
    <cellStyle name="Normal 2 4 2 4 6 3" xfId="5923" xr:uid="{00000000-0005-0000-0000-00007E0F0000}"/>
    <cellStyle name="Normal 2 4 2 4 6 3 2" xfId="14365" xr:uid="{CA97DCBF-06F1-4F34-B1DB-96D817BCA2BA}"/>
    <cellStyle name="Normal 2 4 2 4 6 4" xfId="10147" xr:uid="{BD2C68E2-51FB-4675-8FC0-E322715717F3}"/>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C61F3167-3B27-4C12-926D-55A5DBEA35BE}"/>
    <cellStyle name="Normal 2 4 2 4 7 2 3" xfId="12705" xr:uid="{201AA85C-9F4C-4A13-B7DB-528F499EBC1E}"/>
    <cellStyle name="Normal 2 4 2 4 7 3" xfId="6336" xr:uid="{00000000-0005-0000-0000-0000820F0000}"/>
    <cellStyle name="Normal 2 4 2 4 7 3 2" xfId="14778" xr:uid="{1EC456C0-123E-45EB-958E-9DB46C83CF7F}"/>
    <cellStyle name="Normal 2 4 2 4 7 4" xfId="10560" xr:uid="{45D1BDE4-AD0D-48DF-A80E-2679D14B1CDE}"/>
    <cellStyle name="Normal 2 4 2 4 8" xfId="2465" xr:uid="{00000000-0005-0000-0000-0000830F0000}"/>
    <cellStyle name="Normal 2 4 2 4 8 2" xfId="6749" xr:uid="{00000000-0005-0000-0000-0000840F0000}"/>
    <cellStyle name="Normal 2 4 2 4 8 2 2" xfId="15191" xr:uid="{7F67ADB1-A3AF-4E96-9847-6370C2818CF7}"/>
    <cellStyle name="Normal 2 4 2 4 8 3" xfId="10973" xr:uid="{5468A1B7-8F30-41AE-8AB0-5B3E61360029}"/>
    <cellStyle name="Normal 2 4 2 4 9" xfId="4683" xr:uid="{00000000-0005-0000-0000-0000850F0000}"/>
    <cellStyle name="Normal 2 4 2 4 9 2" xfId="13125" xr:uid="{8324663B-A8EA-4208-BD0A-91DB1E015DBD}"/>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D5D1483D-2727-47B0-BA8D-D2B616E4DC8F}"/>
    <cellStyle name="Normal 2 4 2 5 2 2 2 3" xfId="11471" xr:uid="{16FFE185-8C65-4A89-8984-F8F9A561E459}"/>
    <cellStyle name="Normal 2 4 2 5 2 2 3" xfId="5102" xr:uid="{00000000-0005-0000-0000-00008B0F0000}"/>
    <cellStyle name="Normal 2 4 2 5 2 2 3 2" xfId="13544" xr:uid="{E8BCBC84-0DC0-442C-95A4-D48DDE3F0A60}"/>
    <cellStyle name="Normal 2 4 2 5 2 2 4" xfId="9326" xr:uid="{A585A6A3-5F34-42D6-B048-8C8C7AE03B16}"/>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A2FFB5C7-337A-4516-BEA7-E801B7526847}"/>
    <cellStyle name="Normal 2 4 2 5 2 3 2 3" xfId="11884" xr:uid="{A7F07632-3A1C-4151-AED0-348AAA7F8729}"/>
    <cellStyle name="Normal 2 4 2 5 2 3 3" xfId="5515" xr:uid="{00000000-0005-0000-0000-00008F0F0000}"/>
    <cellStyle name="Normal 2 4 2 5 2 3 3 2" xfId="13957" xr:uid="{978149FC-13FF-4629-8C73-6DCDFD91BAD4}"/>
    <cellStyle name="Normal 2 4 2 5 2 3 4" xfId="9739" xr:uid="{B7A50B5C-D3D2-47D7-A88A-B164B893AA1B}"/>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0E142E22-0BAF-469B-B11D-340919223FF4}"/>
    <cellStyle name="Normal 2 4 2 5 2 4 2 3" xfId="12297" xr:uid="{762D0CF1-BD23-47B6-A599-4296959B6E57}"/>
    <cellStyle name="Normal 2 4 2 5 2 4 3" xfId="5928" xr:uid="{00000000-0005-0000-0000-0000930F0000}"/>
    <cellStyle name="Normal 2 4 2 5 2 4 3 2" xfId="14370" xr:uid="{334FB930-710D-46E2-88D8-BBB168F11917}"/>
    <cellStyle name="Normal 2 4 2 5 2 4 4" xfId="10152" xr:uid="{037CF6AF-C536-4912-BB55-895029F357D8}"/>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6FBEF386-FB12-48B2-95B5-4E468C25F788}"/>
    <cellStyle name="Normal 2 4 2 5 2 5 2 3" xfId="12710" xr:uid="{DB0831EA-24BC-4CC3-9EDB-D865B0F80294}"/>
    <cellStyle name="Normal 2 4 2 5 2 5 3" xfId="6341" xr:uid="{00000000-0005-0000-0000-0000970F0000}"/>
    <cellStyle name="Normal 2 4 2 5 2 5 3 2" xfId="14783" xr:uid="{8DE300F0-D68D-4FA7-9278-5E6C8BBC1520}"/>
    <cellStyle name="Normal 2 4 2 5 2 5 4" xfId="10565" xr:uid="{CAEA7301-AF7B-4C42-AEF5-AF19870EF215}"/>
    <cellStyle name="Normal 2 4 2 5 2 6" xfId="2470" xr:uid="{00000000-0005-0000-0000-0000980F0000}"/>
    <cellStyle name="Normal 2 4 2 5 2 6 2" xfId="6754" xr:uid="{00000000-0005-0000-0000-0000990F0000}"/>
    <cellStyle name="Normal 2 4 2 5 2 6 2 2" xfId="15196" xr:uid="{6EB28ABF-02E6-4BC3-9B6B-F85EB19DEBBF}"/>
    <cellStyle name="Normal 2 4 2 5 2 6 3" xfId="10978" xr:uid="{C026CAEC-D5C2-4EEB-A78F-ECFB0E19FE12}"/>
    <cellStyle name="Normal 2 4 2 5 2 7" xfId="4688" xr:uid="{00000000-0005-0000-0000-00009A0F0000}"/>
    <cellStyle name="Normal 2 4 2 5 2 7 2" xfId="13130" xr:uid="{9E5EA777-895C-43BB-A4CA-C2AAB595A7A1}"/>
    <cellStyle name="Normal 2 4 2 5 2 8" xfId="8912" xr:uid="{AC00E38E-5023-44A8-B9C8-7E8AFE829931}"/>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6738EA09-FE91-4B78-B0FB-ECC27A910BC1}"/>
    <cellStyle name="Normal 2 4 2 5 3 2 3" xfId="11470" xr:uid="{C11654AC-95A1-4837-BA08-D79B8C1FDCF0}"/>
    <cellStyle name="Normal 2 4 2 5 3 3" xfId="5101" xr:uid="{00000000-0005-0000-0000-00009E0F0000}"/>
    <cellStyle name="Normal 2 4 2 5 3 3 2" xfId="13543" xr:uid="{8A5462AD-7091-45D4-B2C7-0517DBB76017}"/>
    <cellStyle name="Normal 2 4 2 5 3 4" xfId="9325" xr:uid="{A0AAFFB0-A71B-45C6-A191-49F3EC4FD22D}"/>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A26B8294-0FCA-4259-A311-F110D7BD1D50}"/>
    <cellStyle name="Normal 2 4 2 5 4 2 3" xfId="11883" xr:uid="{C2CF8FAA-18F9-4F1A-B062-ABDD3196C34B}"/>
    <cellStyle name="Normal 2 4 2 5 4 3" xfId="5514" xr:uid="{00000000-0005-0000-0000-0000A20F0000}"/>
    <cellStyle name="Normal 2 4 2 5 4 3 2" xfId="13956" xr:uid="{FC2FC541-15C5-4E2E-BA97-46DFDC48D22E}"/>
    <cellStyle name="Normal 2 4 2 5 4 4" xfId="9738" xr:uid="{2AB1532C-217E-4116-99E0-324520D8308E}"/>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EB9D4976-7EF2-4C55-899B-30E9B6BE63EF}"/>
    <cellStyle name="Normal 2 4 2 5 5 2 3" xfId="12296" xr:uid="{FEDB9B5C-099D-4C22-8DE8-8CAED6F595D4}"/>
    <cellStyle name="Normal 2 4 2 5 5 3" xfId="5927" xr:uid="{00000000-0005-0000-0000-0000A60F0000}"/>
    <cellStyle name="Normal 2 4 2 5 5 3 2" xfId="14369" xr:uid="{1F8199D2-B9CC-4E0B-8E2E-EADB531C807E}"/>
    <cellStyle name="Normal 2 4 2 5 5 4" xfId="10151" xr:uid="{923817F5-4CA4-4CD1-B7B6-2F0C441E1254}"/>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EF3C82BE-E679-4548-8195-419921E783E0}"/>
    <cellStyle name="Normal 2 4 2 5 6 2 3" xfId="12709" xr:uid="{51117E5F-42E2-4CD1-8C86-766646C1F5DC}"/>
    <cellStyle name="Normal 2 4 2 5 6 3" xfId="6340" xr:uid="{00000000-0005-0000-0000-0000AA0F0000}"/>
    <cellStyle name="Normal 2 4 2 5 6 3 2" xfId="14782" xr:uid="{555B3225-0E7C-4813-8AC3-A21558A1114D}"/>
    <cellStyle name="Normal 2 4 2 5 6 4" xfId="10564" xr:uid="{4AE8342E-49AE-4F70-998F-E1B0B44ECFBF}"/>
    <cellStyle name="Normal 2 4 2 5 7" xfId="2469" xr:uid="{00000000-0005-0000-0000-0000AB0F0000}"/>
    <cellStyle name="Normal 2 4 2 5 7 2" xfId="6753" xr:uid="{00000000-0005-0000-0000-0000AC0F0000}"/>
    <cellStyle name="Normal 2 4 2 5 7 2 2" xfId="15195" xr:uid="{926F4614-0BB7-4A8D-B03B-98355970C968}"/>
    <cellStyle name="Normal 2 4 2 5 7 3" xfId="10977" xr:uid="{9ED9354A-B9E0-497C-A4B5-F3337C16BA2F}"/>
    <cellStyle name="Normal 2 4 2 5 8" xfId="4687" xr:uid="{00000000-0005-0000-0000-0000AD0F0000}"/>
    <cellStyle name="Normal 2 4 2 5 8 2" xfId="13129" xr:uid="{FB419FDE-B57A-45F3-91C8-ECD86544834B}"/>
    <cellStyle name="Normal 2 4 2 5 9" xfId="8911" xr:uid="{B9383705-6F15-497B-825D-D0CEC348C306}"/>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F433D494-8AB3-4AF8-BF43-F2AABD119502}"/>
    <cellStyle name="Normal 2 4 2 6 2 2 3" xfId="11472" xr:uid="{2E7B99ED-4254-4A5D-8D3F-29F7A3533938}"/>
    <cellStyle name="Normal 2 4 2 6 2 3" xfId="5103" xr:uid="{00000000-0005-0000-0000-0000B20F0000}"/>
    <cellStyle name="Normal 2 4 2 6 2 3 2" xfId="13545" xr:uid="{5DFCED96-BA34-4B74-AAFA-9E3AA4C70F39}"/>
    <cellStyle name="Normal 2 4 2 6 2 4" xfId="9327" xr:uid="{4871A1F8-DAA8-4CA8-90CE-B6C867CE73BF}"/>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D05B80D7-1E18-4A1D-9208-2F8972260F27}"/>
    <cellStyle name="Normal 2 4 2 6 3 2 3" xfId="11885" xr:uid="{4B9DA574-DFB8-413B-B5F4-39903FEA06EF}"/>
    <cellStyle name="Normal 2 4 2 6 3 3" xfId="5516" xr:uid="{00000000-0005-0000-0000-0000B60F0000}"/>
    <cellStyle name="Normal 2 4 2 6 3 3 2" xfId="13958" xr:uid="{F2B47661-3438-42FD-95E6-5D07277581B7}"/>
    <cellStyle name="Normal 2 4 2 6 3 4" xfId="9740" xr:uid="{1F57F01B-9A2B-49AB-8367-770B1F8A52AF}"/>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E64B3B8B-1B40-4EBB-9FB2-3950F95F26A4}"/>
    <cellStyle name="Normal 2 4 2 6 4 2 3" xfId="12298" xr:uid="{274939B7-FD1C-44B8-B051-55B47401AA5D}"/>
    <cellStyle name="Normal 2 4 2 6 4 3" xfId="5929" xr:uid="{00000000-0005-0000-0000-0000BA0F0000}"/>
    <cellStyle name="Normal 2 4 2 6 4 3 2" xfId="14371" xr:uid="{F2E9A70C-8234-412C-A2E5-EB00308A17A2}"/>
    <cellStyle name="Normal 2 4 2 6 4 4" xfId="10153" xr:uid="{6BF55849-FF52-4352-A096-DEF339656E5F}"/>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DC6972A1-789D-4CC8-82C0-B92A6A179E42}"/>
    <cellStyle name="Normal 2 4 2 6 5 2 3" xfId="12711" xr:uid="{EB7DE13A-8A81-4F0D-AD6F-96732F4DFCDA}"/>
    <cellStyle name="Normal 2 4 2 6 5 3" xfId="6342" xr:uid="{00000000-0005-0000-0000-0000BE0F0000}"/>
    <cellStyle name="Normal 2 4 2 6 5 3 2" xfId="14784" xr:uid="{12884035-D419-441D-85D8-679B5DD4365C}"/>
    <cellStyle name="Normal 2 4 2 6 5 4" xfId="10566" xr:uid="{68C7C551-125B-4929-A677-908596551E6E}"/>
    <cellStyle name="Normal 2 4 2 6 6" xfId="2471" xr:uid="{00000000-0005-0000-0000-0000BF0F0000}"/>
    <cellStyle name="Normal 2 4 2 6 6 2" xfId="6755" xr:uid="{00000000-0005-0000-0000-0000C00F0000}"/>
    <cellStyle name="Normal 2 4 2 6 6 2 2" xfId="15197" xr:uid="{CCFA2146-3B93-4811-B915-BF9337DA8ED6}"/>
    <cellStyle name="Normal 2 4 2 6 6 3" xfId="10979" xr:uid="{2A7885D0-E187-42D7-99CD-0647A1960F0C}"/>
    <cellStyle name="Normal 2 4 2 6 7" xfId="4689" xr:uid="{00000000-0005-0000-0000-0000C10F0000}"/>
    <cellStyle name="Normal 2 4 2 6 7 2" xfId="13131" xr:uid="{00E746F4-22FD-4617-AE60-BCFB18B514D4}"/>
    <cellStyle name="Normal 2 4 2 6 8" xfId="8913" xr:uid="{118C1EEE-63D3-49D5-9E99-887F8D82C4D0}"/>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9D4D1C3C-812E-41F1-9E7A-267F8031803A}"/>
    <cellStyle name="Normal 2 4 2 7 2 3" xfId="11457" xr:uid="{EBDC0963-AC42-4BB9-A53C-4A8D54D80262}"/>
    <cellStyle name="Normal 2 4 2 7 3" xfId="5088" xr:uid="{00000000-0005-0000-0000-0000C50F0000}"/>
    <cellStyle name="Normal 2 4 2 7 3 2" xfId="13530" xr:uid="{79043FB1-22FC-43B0-B7C0-D8A6717ED9CE}"/>
    <cellStyle name="Normal 2 4 2 7 4" xfId="9312" xr:uid="{DE4B0F65-1F23-4C45-BFEA-F1C4F7ECC741}"/>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D864AC68-8CAD-49A5-BD50-2CC8242B105A}"/>
    <cellStyle name="Normal 2 4 2 8 2 3" xfId="11870" xr:uid="{FAD04D49-08BC-481C-9654-88047C5500E5}"/>
    <cellStyle name="Normal 2 4 2 8 3" xfId="5501" xr:uid="{00000000-0005-0000-0000-0000C90F0000}"/>
    <cellStyle name="Normal 2 4 2 8 3 2" xfId="13943" xr:uid="{8F6384CC-6BE6-42FB-9BD5-D06F01E61AD4}"/>
    <cellStyle name="Normal 2 4 2 8 4" xfId="9725" xr:uid="{A686F67F-45EE-43A3-A863-9C61FD6E55E4}"/>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13EA54AC-C64E-43C5-9422-BF7C646D7AC1}"/>
    <cellStyle name="Normal 2 4 2 9 2 3" xfId="12283" xr:uid="{FADF0610-F406-4546-92F6-A6CE644988B2}"/>
    <cellStyle name="Normal 2 4 2 9 3" xfId="5914" xr:uid="{00000000-0005-0000-0000-0000CD0F0000}"/>
    <cellStyle name="Normal 2 4 2 9 3 2" xfId="14356" xr:uid="{E99EB375-1C6C-4FB7-A53F-AC6C2FA34162}"/>
    <cellStyle name="Normal 2 4 2 9 4" xfId="10138" xr:uid="{FF754795-6DE4-4F2A-ABA1-39F89C206F04}"/>
    <cellStyle name="Normal 2 4 3" xfId="296" xr:uid="{00000000-0005-0000-0000-0000CE0F0000}"/>
    <cellStyle name="Normal 2 4 3 10" xfId="8914" xr:uid="{87073C9B-0F8B-49F5-BC26-9BF049CF3203}"/>
    <cellStyle name="Normal 2 4 3 2" xfId="297" xr:uid="{00000000-0005-0000-0000-0000CF0F0000}"/>
    <cellStyle name="Normal 2 4 3 3" xfId="298" xr:uid="{00000000-0005-0000-0000-0000D00F0000}"/>
    <cellStyle name="Normal 2 4 3 3 10" xfId="8915" xr:uid="{763F79D9-C507-43DD-9CBC-21ACD71D64A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47AB09D1-5C16-47F2-B04E-35BC61E397C0}"/>
    <cellStyle name="Normal 2 4 3 3 2 2 2 2 3" xfId="11476" xr:uid="{B3971A87-AA30-4C37-AF60-DD6D5B2FD59A}"/>
    <cellStyle name="Normal 2 4 3 3 2 2 2 3" xfId="5107" xr:uid="{00000000-0005-0000-0000-0000D60F0000}"/>
    <cellStyle name="Normal 2 4 3 3 2 2 2 3 2" xfId="13549" xr:uid="{78BB0BD5-2B20-446D-AEA8-9DF8F98AAD26}"/>
    <cellStyle name="Normal 2 4 3 3 2 2 2 4" xfId="9331" xr:uid="{A25CA205-D337-4F65-A20C-D7E383D80D3B}"/>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536A2CEE-1081-4897-9070-4711B9A409A3}"/>
    <cellStyle name="Normal 2 4 3 3 2 2 3 2 3" xfId="11889" xr:uid="{69C194DD-340B-4323-A7BC-D258CABA2E71}"/>
    <cellStyle name="Normal 2 4 3 3 2 2 3 3" xfId="5520" xr:uid="{00000000-0005-0000-0000-0000DA0F0000}"/>
    <cellStyle name="Normal 2 4 3 3 2 2 3 3 2" xfId="13962" xr:uid="{18A97E05-60D4-47E4-AEA6-045F1184E08E}"/>
    <cellStyle name="Normal 2 4 3 3 2 2 3 4" xfId="9744" xr:uid="{816C5970-6E14-4069-B506-9658F715618E}"/>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D9622E98-AE82-4EFC-806C-031846197F3A}"/>
    <cellStyle name="Normal 2 4 3 3 2 2 4 2 3" xfId="12302" xr:uid="{912C3DB2-8B60-430F-A928-0019185808A1}"/>
    <cellStyle name="Normal 2 4 3 3 2 2 4 3" xfId="5933" xr:uid="{00000000-0005-0000-0000-0000DE0F0000}"/>
    <cellStyle name="Normal 2 4 3 3 2 2 4 3 2" xfId="14375" xr:uid="{72103642-5AF6-4DED-8126-2455828E2F5F}"/>
    <cellStyle name="Normal 2 4 3 3 2 2 4 4" xfId="10157" xr:uid="{C50743B5-E283-49DA-92A3-78A09474EEE8}"/>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8517B08C-6D03-4CF4-B8EB-3284C91D93B1}"/>
    <cellStyle name="Normal 2 4 3 3 2 2 5 2 3" xfId="12715" xr:uid="{A2C8569E-8D8A-41A1-A2A7-40289DF7DE80}"/>
    <cellStyle name="Normal 2 4 3 3 2 2 5 3" xfId="6346" xr:uid="{00000000-0005-0000-0000-0000E20F0000}"/>
    <cellStyle name="Normal 2 4 3 3 2 2 5 3 2" xfId="14788" xr:uid="{5FDED13F-62CF-4EDA-9773-607AE170C401}"/>
    <cellStyle name="Normal 2 4 3 3 2 2 5 4" xfId="10570" xr:uid="{D7D7D419-2340-4E44-BC38-96749E92C9F2}"/>
    <cellStyle name="Normal 2 4 3 3 2 2 6" xfId="2475" xr:uid="{00000000-0005-0000-0000-0000E30F0000}"/>
    <cellStyle name="Normal 2 4 3 3 2 2 6 2" xfId="6759" xr:uid="{00000000-0005-0000-0000-0000E40F0000}"/>
    <cellStyle name="Normal 2 4 3 3 2 2 6 2 2" xfId="15201" xr:uid="{C5B23DD8-B71A-4239-A57F-828C1DDBEC50}"/>
    <cellStyle name="Normal 2 4 3 3 2 2 6 3" xfId="10983" xr:uid="{6D770A40-91E8-40BB-813C-77AF52E70520}"/>
    <cellStyle name="Normal 2 4 3 3 2 2 7" xfId="4693" xr:uid="{00000000-0005-0000-0000-0000E50F0000}"/>
    <cellStyle name="Normal 2 4 3 3 2 2 7 2" xfId="13135" xr:uid="{3489BDF2-D1AA-4D50-AB98-93F19D2D605C}"/>
    <cellStyle name="Normal 2 4 3 3 2 2 8" xfId="8917" xr:uid="{23E39D45-494C-4522-98DE-DDCA47FF64A5}"/>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81C1B74D-A755-42D5-BCC3-C838948A3CAA}"/>
    <cellStyle name="Normal 2 4 3 3 2 3 2 3" xfId="11475" xr:uid="{9BACFB17-CEC9-47BB-962D-EAB1C9DFD116}"/>
    <cellStyle name="Normal 2 4 3 3 2 3 3" xfId="5106" xr:uid="{00000000-0005-0000-0000-0000E90F0000}"/>
    <cellStyle name="Normal 2 4 3 3 2 3 3 2" xfId="13548" xr:uid="{AE52DDAC-7A22-47BB-97E0-CAE748E37E9D}"/>
    <cellStyle name="Normal 2 4 3 3 2 3 4" xfId="9330" xr:uid="{8629CA96-9AF5-4EF7-B292-55038B35E2B6}"/>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51B52C29-3A27-4FC4-A9D3-8A24BD1C7289}"/>
    <cellStyle name="Normal 2 4 3 3 2 4 2 3" xfId="11888" xr:uid="{0CCE83D7-1B12-4D01-96C2-71DE7DA842BE}"/>
    <cellStyle name="Normal 2 4 3 3 2 4 3" xfId="5519" xr:uid="{00000000-0005-0000-0000-0000ED0F0000}"/>
    <cellStyle name="Normal 2 4 3 3 2 4 3 2" xfId="13961" xr:uid="{3E8EDF1A-6D2F-4D23-B798-A8EAAD3AA036}"/>
    <cellStyle name="Normal 2 4 3 3 2 4 4" xfId="9743" xr:uid="{66723780-363D-4A46-BA2B-3C799041D6D8}"/>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8EF37542-5007-43DC-A33F-D9D0615D80C1}"/>
    <cellStyle name="Normal 2 4 3 3 2 5 2 3" xfId="12301" xr:uid="{BF97A442-97E9-4D86-919A-01DB6A1684C7}"/>
    <cellStyle name="Normal 2 4 3 3 2 5 3" xfId="5932" xr:uid="{00000000-0005-0000-0000-0000F10F0000}"/>
    <cellStyle name="Normal 2 4 3 3 2 5 3 2" xfId="14374" xr:uid="{23989626-62EE-4EDA-B609-290B70C6E19F}"/>
    <cellStyle name="Normal 2 4 3 3 2 5 4" xfId="10156" xr:uid="{39643CBA-82B6-4F64-B9E8-A204BDBC28BC}"/>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A6D2DC1D-F2BE-4263-8BFE-042ACA7304B1}"/>
    <cellStyle name="Normal 2 4 3 3 2 6 2 3" xfId="12714" xr:uid="{2E9F1472-16A3-47B6-A020-27D43079770F}"/>
    <cellStyle name="Normal 2 4 3 3 2 6 3" xfId="6345" xr:uid="{00000000-0005-0000-0000-0000F50F0000}"/>
    <cellStyle name="Normal 2 4 3 3 2 6 3 2" xfId="14787" xr:uid="{E4A22BA8-E84E-4E0E-94BA-49D76030A56E}"/>
    <cellStyle name="Normal 2 4 3 3 2 6 4" xfId="10569" xr:uid="{D85D15E2-6F4F-4485-BE58-4DE3914CC39C}"/>
    <cellStyle name="Normal 2 4 3 3 2 7" xfId="2474" xr:uid="{00000000-0005-0000-0000-0000F60F0000}"/>
    <cellStyle name="Normal 2 4 3 3 2 7 2" xfId="6758" xr:uid="{00000000-0005-0000-0000-0000F70F0000}"/>
    <cellStyle name="Normal 2 4 3 3 2 7 2 2" xfId="15200" xr:uid="{4F13941E-CB0C-4233-82FE-12E7DC43E98B}"/>
    <cellStyle name="Normal 2 4 3 3 2 7 3" xfId="10982" xr:uid="{EDD78265-A9C7-425D-86AF-1566C1443C26}"/>
    <cellStyle name="Normal 2 4 3 3 2 8" xfId="4692" xr:uid="{00000000-0005-0000-0000-0000F80F0000}"/>
    <cellStyle name="Normal 2 4 3 3 2 8 2" xfId="13134" xr:uid="{CA90DAC7-2444-4B90-8911-F88E7165DC82}"/>
    <cellStyle name="Normal 2 4 3 3 2 9" xfId="8916" xr:uid="{3D9B545B-F51C-44B8-A235-9D14C2902A94}"/>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64B57151-1434-4124-97EB-6BA9BB8469DD}"/>
    <cellStyle name="Normal 2 4 3 3 3 2 2 3" xfId="11477" xr:uid="{025934CF-D552-41EF-9208-39F3A67F7199}"/>
    <cellStyle name="Normal 2 4 3 3 3 2 3" xfId="5108" xr:uid="{00000000-0005-0000-0000-0000FD0F0000}"/>
    <cellStyle name="Normal 2 4 3 3 3 2 3 2" xfId="13550" xr:uid="{41DA8268-2DA9-4409-AD0E-052188D087B1}"/>
    <cellStyle name="Normal 2 4 3 3 3 2 4" xfId="9332" xr:uid="{58E5D2DB-B044-47CF-88DF-E33767FDCA5E}"/>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D4907B94-9B8C-44B5-8F8E-56198A65428D}"/>
    <cellStyle name="Normal 2 4 3 3 3 3 2 3" xfId="11890" xr:uid="{0319FB95-8EBD-4BFF-89CE-D07FD85B2148}"/>
    <cellStyle name="Normal 2 4 3 3 3 3 3" xfId="5521" xr:uid="{00000000-0005-0000-0000-000001100000}"/>
    <cellStyle name="Normal 2 4 3 3 3 3 3 2" xfId="13963" xr:uid="{9D480D08-9E33-4F69-B228-FEBC0341EBD5}"/>
    <cellStyle name="Normal 2 4 3 3 3 3 4" xfId="9745" xr:uid="{C73CE363-3A28-4523-A72C-DF5692005B37}"/>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4E382031-FFB9-4CA8-A14C-1B21A0AA987F}"/>
    <cellStyle name="Normal 2 4 3 3 3 4 2 3" xfId="12303" xr:uid="{BCAA4333-2981-4D33-96E1-E2B05A45D065}"/>
    <cellStyle name="Normal 2 4 3 3 3 4 3" xfId="5934" xr:uid="{00000000-0005-0000-0000-000005100000}"/>
    <cellStyle name="Normal 2 4 3 3 3 4 3 2" xfId="14376" xr:uid="{DE86C065-60CD-4461-BF52-292FCE20C3BA}"/>
    <cellStyle name="Normal 2 4 3 3 3 4 4" xfId="10158" xr:uid="{5733C4FC-6EFB-475E-98D3-9EA9902B9695}"/>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E2686FDA-82B6-47BF-A581-051BD642A22F}"/>
    <cellStyle name="Normal 2 4 3 3 3 5 2 3" xfId="12716" xr:uid="{B1A69138-6766-4D67-A51C-BE08EF1FAC4C}"/>
    <cellStyle name="Normal 2 4 3 3 3 5 3" xfId="6347" xr:uid="{00000000-0005-0000-0000-000009100000}"/>
    <cellStyle name="Normal 2 4 3 3 3 5 3 2" xfId="14789" xr:uid="{D073A70F-B683-4148-8A39-DD22792681DD}"/>
    <cellStyle name="Normal 2 4 3 3 3 5 4" xfId="10571" xr:uid="{FDBAC9FF-D288-46A1-A72D-3AEC973C5B58}"/>
    <cellStyle name="Normal 2 4 3 3 3 6" xfId="2476" xr:uid="{00000000-0005-0000-0000-00000A100000}"/>
    <cellStyle name="Normal 2 4 3 3 3 6 2" xfId="6760" xr:uid="{00000000-0005-0000-0000-00000B100000}"/>
    <cellStyle name="Normal 2 4 3 3 3 6 2 2" xfId="15202" xr:uid="{D96CCBE2-12CB-4C6E-94D9-D5AB38EFAB8B}"/>
    <cellStyle name="Normal 2 4 3 3 3 6 3" xfId="10984" xr:uid="{13911118-5050-4E95-ADA1-4ED63B938CC5}"/>
    <cellStyle name="Normal 2 4 3 3 3 7" xfId="4694" xr:uid="{00000000-0005-0000-0000-00000C100000}"/>
    <cellStyle name="Normal 2 4 3 3 3 7 2" xfId="13136" xr:uid="{24C21C24-5780-444B-B7FD-485555D9A1A8}"/>
    <cellStyle name="Normal 2 4 3 3 3 8" xfId="8918" xr:uid="{3CD2CB7B-F9E3-43B0-A577-258AC5C64B6B}"/>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C2B21109-E6B5-47BA-81F9-022DD347B34B}"/>
    <cellStyle name="Normal 2 4 3 3 4 2 3" xfId="11474" xr:uid="{206C6467-3717-4172-B4F8-00FA3694CBBD}"/>
    <cellStyle name="Normal 2 4 3 3 4 3" xfId="5105" xr:uid="{00000000-0005-0000-0000-000010100000}"/>
    <cellStyle name="Normal 2 4 3 3 4 3 2" xfId="13547" xr:uid="{18396D08-A025-43A2-A7E2-3E1B0738FEC6}"/>
    <cellStyle name="Normal 2 4 3 3 4 4" xfId="9329" xr:uid="{61043822-A4C5-41C9-ADB6-F5DCAF25D309}"/>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32D7C4B6-C04E-44F0-B752-F0992D0E9BA8}"/>
    <cellStyle name="Normal 2 4 3 3 5 2 3" xfId="11887" xr:uid="{3D79B653-B7D0-4DD0-BA08-9FB5BE06A961}"/>
    <cellStyle name="Normal 2 4 3 3 5 3" xfId="5518" xr:uid="{00000000-0005-0000-0000-000014100000}"/>
    <cellStyle name="Normal 2 4 3 3 5 3 2" xfId="13960" xr:uid="{590E8862-B4B6-458F-82C2-7C681432C49B}"/>
    <cellStyle name="Normal 2 4 3 3 5 4" xfId="9742" xr:uid="{173B8E63-8B1F-4A50-A9F4-165E170847A5}"/>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04E9716F-26E8-4C20-8936-7A4AC731C1AD}"/>
    <cellStyle name="Normal 2 4 3 3 6 2 3" xfId="12300" xr:uid="{3FB0A6EF-1DBC-4810-A71E-7291738AC2E8}"/>
    <cellStyle name="Normal 2 4 3 3 6 3" xfId="5931" xr:uid="{00000000-0005-0000-0000-000018100000}"/>
    <cellStyle name="Normal 2 4 3 3 6 3 2" xfId="14373" xr:uid="{67EC31C6-4FB7-46A8-B651-309A3ADDD3CB}"/>
    <cellStyle name="Normal 2 4 3 3 6 4" xfId="10155" xr:uid="{099C38D8-D849-4314-8E6D-DEE32B17358C}"/>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CEC3CCE3-57DA-4345-9F01-88564F98336E}"/>
    <cellStyle name="Normal 2 4 3 3 7 2 3" xfId="12713" xr:uid="{7347BCD2-D452-4D40-83FF-D9E6D2F3D39F}"/>
    <cellStyle name="Normal 2 4 3 3 7 3" xfId="6344" xr:uid="{00000000-0005-0000-0000-00001C100000}"/>
    <cellStyle name="Normal 2 4 3 3 7 3 2" xfId="14786" xr:uid="{D24F67A2-0ABC-4B1C-81D4-0E2FEA83D3DD}"/>
    <cellStyle name="Normal 2 4 3 3 7 4" xfId="10568" xr:uid="{1EB3DFF3-565C-4AEE-A3CC-2CC2FD7ECC3D}"/>
    <cellStyle name="Normal 2 4 3 3 8" xfId="2473" xr:uid="{00000000-0005-0000-0000-00001D100000}"/>
    <cellStyle name="Normal 2 4 3 3 8 2" xfId="6757" xr:uid="{00000000-0005-0000-0000-00001E100000}"/>
    <cellStyle name="Normal 2 4 3 3 8 2 2" xfId="15199" xr:uid="{67E38703-1B1E-44DA-BCAE-08E96AD6C201}"/>
    <cellStyle name="Normal 2 4 3 3 8 3" xfId="10981" xr:uid="{0FB69036-972A-4E5F-8CBC-363A672F4272}"/>
    <cellStyle name="Normal 2 4 3 3 9" xfId="4691" xr:uid="{00000000-0005-0000-0000-00001F100000}"/>
    <cellStyle name="Normal 2 4 3 3 9 2" xfId="13133" xr:uid="{CA50C93D-D367-4904-B1D0-B05E3CB69907}"/>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E01009D3-BEA5-4CB4-980F-09206820E50A}"/>
    <cellStyle name="Normal 2 4 3 4 2 3" xfId="11473" xr:uid="{B863DA0E-B4CB-4F53-B965-C894DA137112}"/>
    <cellStyle name="Normal 2 4 3 4 3" xfId="5104" xr:uid="{00000000-0005-0000-0000-000023100000}"/>
    <cellStyle name="Normal 2 4 3 4 3 2" xfId="13546" xr:uid="{00054BEB-DB58-49E1-A48C-D01CCD11B1EE}"/>
    <cellStyle name="Normal 2 4 3 4 4" xfId="9328" xr:uid="{E92C6EE9-0CE5-4E09-810B-2E537E9D2DF6}"/>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26373A08-162C-4590-AB90-66A5F7D93120}"/>
    <cellStyle name="Normal 2 4 3 5 2 3" xfId="11886" xr:uid="{C2BB6E28-FDAD-4DBD-8194-B4C4162D1038}"/>
    <cellStyle name="Normal 2 4 3 5 3" xfId="5517" xr:uid="{00000000-0005-0000-0000-000027100000}"/>
    <cellStyle name="Normal 2 4 3 5 3 2" xfId="13959" xr:uid="{E4CBC61D-F2F7-4310-AA67-D5DB430FD9F8}"/>
    <cellStyle name="Normal 2 4 3 5 4" xfId="9741" xr:uid="{EC4A91FB-03E3-4C87-AC70-D1229F967586}"/>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2C905F2A-63CE-449E-BACB-1CC2EEC07967}"/>
    <cellStyle name="Normal 2 4 3 6 2 3" xfId="12299" xr:uid="{C3EEFDDD-8606-411A-BF3B-4DE61E8A06A0}"/>
    <cellStyle name="Normal 2 4 3 6 3" xfId="5930" xr:uid="{00000000-0005-0000-0000-00002B100000}"/>
    <cellStyle name="Normal 2 4 3 6 3 2" xfId="14372" xr:uid="{20C69E9D-E78E-4550-B635-021407869FD5}"/>
    <cellStyle name="Normal 2 4 3 6 4" xfId="10154" xr:uid="{5FCCA559-8B35-41BB-8A0E-80A5EF9F6C48}"/>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FF800D0C-4D81-413B-AE83-8A14745454B4}"/>
    <cellStyle name="Normal 2 4 3 7 2 3" xfId="12712" xr:uid="{1627D00C-9020-437D-A3E1-7C58DDFE49B1}"/>
    <cellStyle name="Normal 2 4 3 7 3" xfId="6343" xr:uid="{00000000-0005-0000-0000-00002F100000}"/>
    <cellStyle name="Normal 2 4 3 7 3 2" xfId="14785" xr:uid="{9678D15C-0A0B-49AB-AE22-653C95557757}"/>
    <cellStyle name="Normal 2 4 3 7 4" xfId="10567" xr:uid="{665F703E-6DBA-4F63-A6B3-AA7FD0A083E0}"/>
    <cellStyle name="Normal 2 4 3 8" xfId="2472" xr:uid="{00000000-0005-0000-0000-000030100000}"/>
    <cellStyle name="Normal 2 4 3 8 2" xfId="6756" xr:uid="{00000000-0005-0000-0000-000031100000}"/>
    <cellStyle name="Normal 2 4 3 8 2 2" xfId="15198" xr:uid="{7BBF7422-0EE5-47E5-9EA8-8DA70735504C}"/>
    <cellStyle name="Normal 2 4 3 8 3" xfId="10980" xr:uid="{A2961297-9026-4182-8F83-009935BB8D84}"/>
    <cellStyle name="Normal 2 4 3 9" xfId="4690" xr:uid="{00000000-0005-0000-0000-000032100000}"/>
    <cellStyle name="Normal 2 4 3 9 2" xfId="13132" xr:uid="{85F63077-1942-47B3-8F0E-5AC5079A3994}"/>
    <cellStyle name="Normal 2 4 4" xfId="302" xr:uid="{00000000-0005-0000-0000-000033100000}"/>
    <cellStyle name="Normal 2 4 5" xfId="303" xr:uid="{00000000-0005-0000-0000-000034100000}"/>
    <cellStyle name="Normal 2 4 5 10" xfId="4695" xr:uid="{00000000-0005-0000-0000-000035100000}"/>
    <cellStyle name="Normal 2 4 5 10 2" xfId="13137" xr:uid="{51AA820B-846D-4850-968C-4BA5A1C37637}"/>
    <cellStyle name="Normal 2 4 5 11" xfId="8919" xr:uid="{04E241A6-1C95-4E3D-911D-865F3632F06E}"/>
    <cellStyle name="Normal 2 4 5 2" xfId="304" xr:uid="{00000000-0005-0000-0000-000036100000}"/>
    <cellStyle name="Normal 2 4 5 2 10" xfId="8920" xr:uid="{CF6DFDBD-6A81-45F6-9DDB-DF9D2D61A0DD}"/>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38324F4E-FFF5-4DBB-A4BB-F07667AAC518}"/>
    <cellStyle name="Normal 2 4 5 2 2 2 2 2 3" xfId="11481" xr:uid="{761E10F8-EFE8-447A-96EA-721995774231}"/>
    <cellStyle name="Normal 2 4 5 2 2 2 2 3" xfId="5112" xr:uid="{00000000-0005-0000-0000-00003C100000}"/>
    <cellStyle name="Normal 2 4 5 2 2 2 2 3 2" xfId="13554" xr:uid="{4D27012A-816D-47D8-AA05-A87AA524DE2E}"/>
    <cellStyle name="Normal 2 4 5 2 2 2 2 4" xfId="9336" xr:uid="{176A5A82-5634-4283-9193-18D8B753BE16}"/>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D55C830-676A-46D6-9307-54E8BC1AA2C5}"/>
    <cellStyle name="Normal 2 4 5 2 2 2 3 2 3" xfId="11894" xr:uid="{912A1C4E-7E62-4220-85A1-C6E169573E91}"/>
    <cellStyle name="Normal 2 4 5 2 2 2 3 3" xfId="5525" xr:uid="{00000000-0005-0000-0000-000040100000}"/>
    <cellStyle name="Normal 2 4 5 2 2 2 3 3 2" xfId="13967" xr:uid="{C6A9332F-2226-4A19-8FCC-952F3185C05C}"/>
    <cellStyle name="Normal 2 4 5 2 2 2 3 4" xfId="9749" xr:uid="{75F0F3C2-B786-4BC9-9B0E-9C20867E5BF1}"/>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6C802850-A4EA-44B5-BEB6-C80B1530FED2}"/>
    <cellStyle name="Normal 2 4 5 2 2 2 4 2 3" xfId="12307" xr:uid="{1C726E9F-5D92-49B8-B135-1CC45BA23457}"/>
    <cellStyle name="Normal 2 4 5 2 2 2 4 3" xfId="5938" xr:uid="{00000000-0005-0000-0000-000044100000}"/>
    <cellStyle name="Normal 2 4 5 2 2 2 4 3 2" xfId="14380" xr:uid="{AC436C53-74E4-4CB2-BF1C-A287189AC17E}"/>
    <cellStyle name="Normal 2 4 5 2 2 2 4 4" xfId="10162" xr:uid="{9415302E-CDF1-4387-9AA1-D7B512B463C3}"/>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A6B91437-D5B8-45D0-9AD7-3F65ED60F0D9}"/>
    <cellStyle name="Normal 2 4 5 2 2 2 5 2 3" xfId="12720" xr:uid="{195F1ED5-3464-4FAE-80E7-32D5AA0E1206}"/>
    <cellStyle name="Normal 2 4 5 2 2 2 5 3" xfId="6351" xr:uid="{00000000-0005-0000-0000-000048100000}"/>
    <cellStyle name="Normal 2 4 5 2 2 2 5 3 2" xfId="14793" xr:uid="{99B4942D-7DCF-4501-A64B-7C0CE887339E}"/>
    <cellStyle name="Normal 2 4 5 2 2 2 5 4" xfId="10575" xr:uid="{1987E85E-04F8-44A8-9004-6BC97841E8D7}"/>
    <cellStyle name="Normal 2 4 5 2 2 2 6" xfId="2480" xr:uid="{00000000-0005-0000-0000-000049100000}"/>
    <cellStyle name="Normal 2 4 5 2 2 2 6 2" xfId="6764" xr:uid="{00000000-0005-0000-0000-00004A100000}"/>
    <cellStyle name="Normal 2 4 5 2 2 2 6 2 2" xfId="15206" xr:uid="{92A2F224-5703-46D7-A3B3-F4ED355855EE}"/>
    <cellStyle name="Normal 2 4 5 2 2 2 6 3" xfId="10988" xr:uid="{53FEF96F-176E-452E-B218-AFC8226C08B5}"/>
    <cellStyle name="Normal 2 4 5 2 2 2 7" xfId="4698" xr:uid="{00000000-0005-0000-0000-00004B100000}"/>
    <cellStyle name="Normal 2 4 5 2 2 2 7 2" xfId="13140" xr:uid="{951D6C97-F646-461B-818E-BEE022859098}"/>
    <cellStyle name="Normal 2 4 5 2 2 2 8" xfId="8922" xr:uid="{74280859-B575-467D-B16D-82B95BA44CA9}"/>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FDF96870-4D6F-43FE-B4B2-3BE21EB4BD0F}"/>
    <cellStyle name="Normal 2 4 5 2 2 3 2 3" xfId="11480" xr:uid="{01B439A9-C6D8-46CC-85AC-DB4D3DF5D4FE}"/>
    <cellStyle name="Normal 2 4 5 2 2 3 3" xfId="5111" xr:uid="{00000000-0005-0000-0000-00004F100000}"/>
    <cellStyle name="Normal 2 4 5 2 2 3 3 2" xfId="13553" xr:uid="{6F1A2714-31C7-4A55-B0E6-EBAF259C5A3A}"/>
    <cellStyle name="Normal 2 4 5 2 2 3 4" xfId="9335" xr:uid="{3C369BA6-1FBC-4E5C-AB77-54F99E651F8B}"/>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1EF5DB93-3408-47F1-B772-B1CB29377185}"/>
    <cellStyle name="Normal 2 4 5 2 2 4 2 3" xfId="11893" xr:uid="{7FCC506A-97B9-4FD9-AA2D-F02E706E96C6}"/>
    <cellStyle name="Normal 2 4 5 2 2 4 3" xfId="5524" xr:uid="{00000000-0005-0000-0000-000053100000}"/>
    <cellStyle name="Normal 2 4 5 2 2 4 3 2" xfId="13966" xr:uid="{68091B87-DB20-48BC-8247-639420772516}"/>
    <cellStyle name="Normal 2 4 5 2 2 4 4" xfId="9748" xr:uid="{24C534CD-6431-4584-B890-3D90B7B9001E}"/>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4E202EAF-D03A-47F8-9289-BBB151346C4D}"/>
    <cellStyle name="Normal 2 4 5 2 2 5 2 3" xfId="12306" xr:uid="{3F95923C-322C-4BED-956E-1D6FF6598238}"/>
    <cellStyle name="Normal 2 4 5 2 2 5 3" xfId="5937" xr:uid="{00000000-0005-0000-0000-000057100000}"/>
    <cellStyle name="Normal 2 4 5 2 2 5 3 2" xfId="14379" xr:uid="{CADAAA53-647C-4A8F-9B54-D318926E22D4}"/>
    <cellStyle name="Normal 2 4 5 2 2 5 4" xfId="10161" xr:uid="{CE5CEDFD-CB95-4F4E-8BCF-3EF1F4715242}"/>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05F2DD36-A63D-404E-9F85-D44B39393243}"/>
    <cellStyle name="Normal 2 4 5 2 2 6 2 3" xfId="12719" xr:uid="{900A63EF-2E43-44F7-8B37-8183306C7594}"/>
    <cellStyle name="Normal 2 4 5 2 2 6 3" xfId="6350" xr:uid="{00000000-0005-0000-0000-00005B100000}"/>
    <cellStyle name="Normal 2 4 5 2 2 6 3 2" xfId="14792" xr:uid="{FF4696D5-36B8-4746-B977-83F36DFA2713}"/>
    <cellStyle name="Normal 2 4 5 2 2 6 4" xfId="10574" xr:uid="{F0B1E052-7950-4FE7-B1C6-0D3D6469EF09}"/>
    <cellStyle name="Normal 2 4 5 2 2 7" xfId="2479" xr:uid="{00000000-0005-0000-0000-00005C100000}"/>
    <cellStyle name="Normal 2 4 5 2 2 7 2" xfId="6763" xr:uid="{00000000-0005-0000-0000-00005D100000}"/>
    <cellStyle name="Normal 2 4 5 2 2 7 2 2" xfId="15205" xr:uid="{A2CCB1BA-24A3-4588-B2CB-DBC8B73366E6}"/>
    <cellStyle name="Normal 2 4 5 2 2 7 3" xfId="10987" xr:uid="{B1B0742E-1942-48A2-BCCF-4D53125A8137}"/>
    <cellStyle name="Normal 2 4 5 2 2 8" xfId="4697" xr:uid="{00000000-0005-0000-0000-00005E100000}"/>
    <cellStyle name="Normal 2 4 5 2 2 8 2" xfId="13139" xr:uid="{F14E2431-8FDA-451B-A087-0F12911811EA}"/>
    <cellStyle name="Normal 2 4 5 2 2 9" xfId="8921" xr:uid="{9C9D0F83-BD4E-444F-A6A8-B3DA25C80ECA}"/>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65FE3295-EFFE-4E15-BFDC-D97B5E2D7D15}"/>
    <cellStyle name="Normal 2 4 5 2 3 2 2 3" xfId="11482" xr:uid="{40CCC67D-4F7E-4B4A-9EDE-A5FE7D8A5321}"/>
    <cellStyle name="Normal 2 4 5 2 3 2 3" xfId="5113" xr:uid="{00000000-0005-0000-0000-000063100000}"/>
    <cellStyle name="Normal 2 4 5 2 3 2 3 2" xfId="13555" xr:uid="{B503694C-6C5F-4611-B51F-87C45C2C65A3}"/>
    <cellStyle name="Normal 2 4 5 2 3 2 4" xfId="9337" xr:uid="{F14D30E6-D888-444E-B73D-6FD7C6D699E4}"/>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21BFF3C7-B373-4D3F-BEB2-005370516B6D}"/>
    <cellStyle name="Normal 2 4 5 2 3 3 2 3" xfId="11895" xr:uid="{1AC4C3FE-2CD1-498A-9BE5-8B0207B4930E}"/>
    <cellStyle name="Normal 2 4 5 2 3 3 3" xfId="5526" xr:uid="{00000000-0005-0000-0000-000067100000}"/>
    <cellStyle name="Normal 2 4 5 2 3 3 3 2" xfId="13968" xr:uid="{15C6A363-2387-4A51-98C2-72AB5CC7D10C}"/>
    <cellStyle name="Normal 2 4 5 2 3 3 4" xfId="9750" xr:uid="{ED0902F7-721B-4A40-9610-C2CBFFDF22A1}"/>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CA72B459-3D72-44D0-9476-D6057B96DDB4}"/>
    <cellStyle name="Normal 2 4 5 2 3 4 2 3" xfId="12308" xr:uid="{3DD809C5-E711-45BA-85C4-D57FC6465680}"/>
    <cellStyle name="Normal 2 4 5 2 3 4 3" xfId="5939" xr:uid="{00000000-0005-0000-0000-00006B100000}"/>
    <cellStyle name="Normal 2 4 5 2 3 4 3 2" xfId="14381" xr:uid="{0DDAD60D-D331-4376-B8C2-B3CBFD6D10AA}"/>
    <cellStyle name="Normal 2 4 5 2 3 4 4" xfId="10163" xr:uid="{16D1A5EE-4C92-47C1-9319-2CDFE7739F9F}"/>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7FC8E171-D058-429F-B026-D74C85D25FF8}"/>
    <cellStyle name="Normal 2 4 5 2 3 5 2 3" xfId="12721" xr:uid="{F81B78DD-3877-432F-BF80-636AF3B904A5}"/>
    <cellStyle name="Normal 2 4 5 2 3 5 3" xfId="6352" xr:uid="{00000000-0005-0000-0000-00006F100000}"/>
    <cellStyle name="Normal 2 4 5 2 3 5 3 2" xfId="14794" xr:uid="{2C34191D-18EC-40B4-B9C2-52F47D235BF2}"/>
    <cellStyle name="Normal 2 4 5 2 3 5 4" xfId="10576" xr:uid="{9AAF7FAF-1670-479F-A458-C2D7255B7B99}"/>
    <cellStyle name="Normal 2 4 5 2 3 6" xfId="2481" xr:uid="{00000000-0005-0000-0000-000070100000}"/>
    <cellStyle name="Normal 2 4 5 2 3 6 2" xfId="6765" xr:uid="{00000000-0005-0000-0000-000071100000}"/>
    <cellStyle name="Normal 2 4 5 2 3 6 2 2" xfId="15207" xr:uid="{F1ACA97D-2B68-49B3-B7CC-CA4692015F88}"/>
    <cellStyle name="Normal 2 4 5 2 3 6 3" xfId="10989" xr:uid="{507ED5B8-DC70-4077-9012-C0AC5592CE31}"/>
    <cellStyle name="Normal 2 4 5 2 3 7" xfId="4699" xr:uid="{00000000-0005-0000-0000-000072100000}"/>
    <cellStyle name="Normal 2 4 5 2 3 7 2" xfId="13141" xr:uid="{C171FF6D-4ADB-4763-A351-28F2AED73FB7}"/>
    <cellStyle name="Normal 2 4 5 2 3 8" xfId="8923" xr:uid="{BE293818-25F0-41D1-A370-9D31FDFEF7FD}"/>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78D36748-7C34-4884-ABCD-4B979B2AA00E}"/>
    <cellStyle name="Normal 2 4 5 2 4 2 3" xfId="11479" xr:uid="{7196EADF-6438-400E-8E4F-8F374BFC022B}"/>
    <cellStyle name="Normal 2 4 5 2 4 3" xfId="5110" xr:uid="{00000000-0005-0000-0000-000076100000}"/>
    <cellStyle name="Normal 2 4 5 2 4 3 2" xfId="13552" xr:uid="{D629FB43-D9CB-4373-A7A2-0FE48DEC81E6}"/>
    <cellStyle name="Normal 2 4 5 2 4 4" xfId="9334" xr:uid="{4554E981-91DE-436F-AD27-DCA8CC626887}"/>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AE5C6716-9C31-4C59-8AC8-81EA480F5DA6}"/>
    <cellStyle name="Normal 2 4 5 2 5 2 3" xfId="11892" xr:uid="{2C329963-9D82-4B23-946E-76307CF52FC5}"/>
    <cellStyle name="Normal 2 4 5 2 5 3" xfId="5523" xr:uid="{00000000-0005-0000-0000-00007A100000}"/>
    <cellStyle name="Normal 2 4 5 2 5 3 2" xfId="13965" xr:uid="{8AF58681-D530-4EAA-BBAC-70C7E6CB26E4}"/>
    <cellStyle name="Normal 2 4 5 2 5 4" xfId="9747" xr:uid="{4CDFB8CB-62A0-4C89-AADB-719DE48726D3}"/>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2AE537DA-8E61-40CB-9C4B-C5024DC797B6}"/>
    <cellStyle name="Normal 2 4 5 2 6 2 3" xfId="12305" xr:uid="{7A69A10D-0E3C-447A-85BB-1A80D8047F88}"/>
    <cellStyle name="Normal 2 4 5 2 6 3" xfId="5936" xr:uid="{00000000-0005-0000-0000-00007E100000}"/>
    <cellStyle name="Normal 2 4 5 2 6 3 2" xfId="14378" xr:uid="{83076420-96F1-40C7-9D7E-8DC2BBD09AA8}"/>
    <cellStyle name="Normal 2 4 5 2 6 4" xfId="10160" xr:uid="{D48C70A8-A6BB-4D25-919B-38CFF67B6EB0}"/>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FDA9F4DC-3A66-416F-AC85-3A5B26973A50}"/>
    <cellStyle name="Normal 2 4 5 2 7 2 3" xfId="12718" xr:uid="{3D9FAC64-B92B-4859-87E6-810F9E92D389}"/>
    <cellStyle name="Normal 2 4 5 2 7 3" xfId="6349" xr:uid="{00000000-0005-0000-0000-000082100000}"/>
    <cellStyle name="Normal 2 4 5 2 7 3 2" xfId="14791" xr:uid="{75638CDC-843B-4ABD-8425-6F2335DD7F35}"/>
    <cellStyle name="Normal 2 4 5 2 7 4" xfId="10573" xr:uid="{C02932DE-300D-4B69-B536-D39B64152197}"/>
    <cellStyle name="Normal 2 4 5 2 8" xfId="2478" xr:uid="{00000000-0005-0000-0000-000083100000}"/>
    <cellStyle name="Normal 2 4 5 2 8 2" xfId="6762" xr:uid="{00000000-0005-0000-0000-000084100000}"/>
    <cellStyle name="Normal 2 4 5 2 8 2 2" xfId="15204" xr:uid="{DBED1743-2F27-423D-B62D-17FD80272D46}"/>
    <cellStyle name="Normal 2 4 5 2 8 3" xfId="10986" xr:uid="{FDB4984D-8658-46E1-8E70-EFCA42DB17CE}"/>
    <cellStyle name="Normal 2 4 5 2 9" xfId="4696" xr:uid="{00000000-0005-0000-0000-000085100000}"/>
    <cellStyle name="Normal 2 4 5 2 9 2" xfId="13138" xr:uid="{056E604A-0599-479D-BA3A-BCB3FAF25B21}"/>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A578AC79-A1A0-48D8-B463-B6E43D4E3ACA}"/>
    <cellStyle name="Normal 2 4 5 3 2 2 2 3" xfId="11484" xr:uid="{0C3E0F1A-047C-4BDB-8735-B6BD5F78AC47}"/>
    <cellStyle name="Normal 2 4 5 3 2 2 3" xfId="5115" xr:uid="{00000000-0005-0000-0000-00008B100000}"/>
    <cellStyle name="Normal 2 4 5 3 2 2 3 2" xfId="13557" xr:uid="{A940E1C3-6FEB-4F40-BEFA-40E93AD81C0D}"/>
    <cellStyle name="Normal 2 4 5 3 2 2 4" xfId="9339" xr:uid="{4ACEB060-8B90-4FB7-9A69-58A6F526218A}"/>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2B273C48-E27F-4366-96A8-18557FCDCF72}"/>
    <cellStyle name="Normal 2 4 5 3 2 3 2 3" xfId="11897" xr:uid="{B341C677-1923-4C3B-83B5-9D6F329FA755}"/>
    <cellStyle name="Normal 2 4 5 3 2 3 3" xfId="5528" xr:uid="{00000000-0005-0000-0000-00008F100000}"/>
    <cellStyle name="Normal 2 4 5 3 2 3 3 2" xfId="13970" xr:uid="{44A957CE-5490-4C39-8FBB-7347D8F2F002}"/>
    <cellStyle name="Normal 2 4 5 3 2 3 4" xfId="9752" xr:uid="{CDEA168D-59D8-4BC6-8F3F-A713B64C0CB5}"/>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6700A02F-3F89-49AB-A5C9-3565E3E8D958}"/>
    <cellStyle name="Normal 2 4 5 3 2 4 2 3" xfId="12310" xr:uid="{85AEE234-5D46-4BEE-809A-12DD5007E665}"/>
    <cellStyle name="Normal 2 4 5 3 2 4 3" xfId="5941" xr:uid="{00000000-0005-0000-0000-000093100000}"/>
    <cellStyle name="Normal 2 4 5 3 2 4 3 2" xfId="14383" xr:uid="{9DB57F2B-98AB-42C8-993B-053212228CC1}"/>
    <cellStyle name="Normal 2 4 5 3 2 4 4" xfId="10165" xr:uid="{F3AB4E68-EF2E-4794-941C-7E7244C497FE}"/>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81A2ADEA-C522-4B48-9B6F-A49E6D629947}"/>
    <cellStyle name="Normal 2 4 5 3 2 5 2 3" xfId="12723" xr:uid="{2DE05D3C-35B2-4201-B867-D68D614881DA}"/>
    <cellStyle name="Normal 2 4 5 3 2 5 3" xfId="6354" xr:uid="{00000000-0005-0000-0000-000097100000}"/>
    <cellStyle name="Normal 2 4 5 3 2 5 3 2" xfId="14796" xr:uid="{88019A19-5A3A-4FC2-9FCC-C4258DD1D5B1}"/>
    <cellStyle name="Normal 2 4 5 3 2 5 4" xfId="10578" xr:uid="{D9C8E97D-C97A-4A6B-B5F8-358DDB0A35FD}"/>
    <cellStyle name="Normal 2 4 5 3 2 6" xfId="2483" xr:uid="{00000000-0005-0000-0000-000098100000}"/>
    <cellStyle name="Normal 2 4 5 3 2 6 2" xfId="6767" xr:uid="{00000000-0005-0000-0000-000099100000}"/>
    <cellStyle name="Normal 2 4 5 3 2 6 2 2" xfId="15209" xr:uid="{EFC5086B-D2EA-4D22-AD56-D8C9B4245245}"/>
    <cellStyle name="Normal 2 4 5 3 2 6 3" xfId="10991" xr:uid="{0DC8C92E-69D1-4243-BD97-E92AD7EF7FB1}"/>
    <cellStyle name="Normal 2 4 5 3 2 7" xfId="4701" xr:uid="{00000000-0005-0000-0000-00009A100000}"/>
    <cellStyle name="Normal 2 4 5 3 2 7 2" xfId="13143" xr:uid="{088D1278-5DBE-4475-A4BC-E798B763D111}"/>
    <cellStyle name="Normal 2 4 5 3 2 8" xfId="8925" xr:uid="{BBA949D6-3FF8-4A8F-A5D0-FCF322C16E6C}"/>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62DE7837-6962-4C73-AAF8-DC264B28E173}"/>
    <cellStyle name="Normal 2 4 5 3 3 2 3" xfId="11483" xr:uid="{A43E6A90-C3BE-4139-96AA-87CAD913E27E}"/>
    <cellStyle name="Normal 2 4 5 3 3 3" xfId="5114" xr:uid="{00000000-0005-0000-0000-00009E100000}"/>
    <cellStyle name="Normal 2 4 5 3 3 3 2" xfId="13556" xr:uid="{0F7E2F53-69EC-48A9-8685-A5832A727C25}"/>
    <cellStyle name="Normal 2 4 5 3 3 4" xfId="9338" xr:uid="{739F2AD3-8322-41D2-A7D6-8B55F0161E73}"/>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07F23EC4-F8AA-42EF-8AA3-D8823E23DE44}"/>
    <cellStyle name="Normal 2 4 5 3 4 2 3" xfId="11896" xr:uid="{4226C84C-8DB1-428E-8FE6-57D9AC75018F}"/>
    <cellStyle name="Normal 2 4 5 3 4 3" xfId="5527" xr:uid="{00000000-0005-0000-0000-0000A2100000}"/>
    <cellStyle name="Normal 2 4 5 3 4 3 2" xfId="13969" xr:uid="{9823734A-8D3F-4A8E-9671-347FA3F1081D}"/>
    <cellStyle name="Normal 2 4 5 3 4 4" xfId="9751" xr:uid="{33CA3F2F-1C0E-437C-A2DE-DF7D2370CDB2}"/>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3B965941-A300-4495-BDB9-C39CB01C69D1}"/>
    <cellStyle name="Normal 2 4 5 3 5 2 3" xfId="12309" xr:uid="{8E7534A9-D38F-4588-8623-496CEDD32842}"/>
    <cellStyle name="Normal 2 4 5 3 5 3" xfId="5940" xr:uid="{00000000-0005-0000-0000-0000A6100000}"/>
    <cellStyle name="Normal 2 4 5 3 5 3 2" xfId="14382" xr:uid="{EA7DB80A-1FED-4DC1-8DDF-EF70CF53CB3C}"/>
    <cellStyle name="Normal 2 4 5 3 5 4" xfId="10164" xr:uid="{E036E0C1-B47F-4FA2-9E7D-DBE16AB3C28A}"/>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E576F9B3-10DB-4B28-B85D-84A17AC39EF4}"/>
    <cellStyle name="Normal 2 4 5 3 6 2 3" xfId="12722" xr:uid="{34D6EC20-0797-41B2-AA76-6F4411215484}"/>
    <cellStyle name="Normal 2 4 5 3 6 3" xfId="6353" xr:uid="{00000000-0005-0000-0000-0000AA100000}"/>
    <cellStyle name="Normal 2 4 5 3 6 3 2" xfId="14795" xr:uid="{C53C2757-444D-40AC-A1D8-DA6D0738F7B0}"/>
    <cellStyle name="Normal 2 4 5 3 6 4" xfId="10577" xr:uid="{14500278-E1D6-4C33-96CA-183172B460F1}"/>
    <cellStyle name="Normal 2 4 5 3 7" xfId="2482" xr:uid="{00000000-0005-0000-0000-0000AB100000}"/>
    <cellStyle name="Normal 2 4 5 3 7 2" xfId="6766" xr:uid="{00000000-0005-0000-0000-0000AC100000}"/>
    <cellStyle name="Normal 2 4 5 3 7 2 2" xfId="15208" xr:uid="{C5E6FF3F-CB66-4AA5-95F3-4C914B5E7653}"/>
    <cellStyle name="Normal 2 4 5 3 7 3" xfId="10990" xr:uid="{B341DD09-F959-4ACC-80CA-1D6F2DF21798}"/>
    <cellStyle name="Normal 2 4 5 3 8" xfId="4700" xr:uid="{00000000-0005-0000-0000-0000AD100000}"/>
    <cellStyle name="Normal 2 4 5 3 8 2" xfId="13142" xr:uid="{FBA52640-800A-4DED-9645-949A5AC5F2D2}"/>
    <cellStyle name="Normal 2 4 5 3 9" xfId="8924" xr:uid="{39134AD4-93CA-4130-A7CE-BE81EB6472D5}"/>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49C0E561-512A-4AA1-8ECA-6672C1AB8501}"/>
    <cellStyle name="Normal 2 4 5 4 2 2 3" xfId="11485" xr:uid="{C2203BB9-13A4-4099-8258-B4A80B842117}"/>
    <cellStyle name="Normal 2 4 5 4 2 3" xfId="5116" xr:uid="{00000000-0005-0000-0000-0000B2100000}"/>
    <cellStyle name="Normal 2 4 5 4 2 3 2" xfId="13558" xr:uid="{2900E6EC-93B2-475E-B245-FA7DE1A5CBF3}"/>
    <cellStyle name="Normal 2 4 5 4 2 4" xfId="9340" xr:uid="{061A6BBE-C59B-491D-9FDE-03E9065426C2}"/>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1D7616C1-0658-482D-8116-595E81B8AD76}"/>
    <cellStyle name="Normal 2 4 5 4 3 2 3" xfId="11898" xr:uid="{B8A55882-13BB-49A4-A8CD-28C6CE76CA12}"/>
    <cellStyle name="Normal 2 4 5 4 3 3" xfId="5529" xr:uid="{00000000-0005-0000-0000-0000B6100000}"/>
    <cellStyle name="Normal 2 4 5 4 3 3 2" xfId="13971" xr:uid="{0CADF74F-052C-46BA-B167-D16A8D7336F4}"/>
    <cellStyle name="Normal 2 4 5 4 3 4" xfId="9753" xr:uid="{9F54A900-B396-40B8-9DFF-C967CAD209D2}"/>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46B57B6C-A959-460C-A378-5AFB634B6823}"/>
    <cellStyle name="Normal 2 4 5 4 4 2 3" xfId="12311" xr:uid="{4B6A4BAE-8DE6-4348-8692-250FEE2C0EE6}"/>
    <cellStyle name="Normal 2 4 5 4 4 3" xfId="5942" xr:uid="{00000000-0005-0000-0000-0000BA100000}"/>
    <cellStyle name="Normal 2 4 5 4 4 3 2" xfId="14384" xr:uid="{31DD88E8-213D-476D-9332-A5B1446AAA97}"/>
    <cellStyle name="Normal 2 4 5 4 4 4" xfId="10166" xr:uid="{3DDB2E53-67CE-4D1B-A5A5-2DE44B145AE1}"/>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33C2961A-E4A3-49C5-98EB-51C797131E18}"/>
    <cellStyle name="Normal 2 4 5 4 5 2 3" xfId="12724" xr:uid="{ABE62857-8BE0-4709-B543-325C830BE3D8}"/>
    <cellStyle name="Normal 2 4 5 4 5 3" xfId="6355" xr:uid="{00000000-0005-0000-0000-0000BE100000}"/>
    <cellStyle name="Normal 2 4 5 4 5 3 2" xfId="14797" xr:uid="{0D8293EE-C7A4-4D5D-8C71-D69AFB48E1CA}"/>
    <cellStyle name="Normal 2 4 5 4 5 4" xfId="10579" xr:uid="{E5282C93-F2D8-4172-A8B7-42FD402C42FE}"/>
    <cellStyle name="Normal 2 4 5 4 6" xfId="2484" xr:uid="{00000000-0005-0000-0000-0000BF100000}"/>
    <cellStyle name="Normal 2 4 5 4 6 2" xfId="6768" xr:uid="{00000000-0005-0000-0000-0000C0100000}"/>
    <cellStyle name="Normal 2 4 5 4 6 2 2" xfId="15210" xr:uid="{C41D5BAF-C510-4DAF-8F90-33814CA9E705}"/>
    <cellStyle name="Normal 2 4 5 4 6 3" xfId="10992" xr:uid="{CFAB6593-1C84-4090-8724-3298D6BA212B}"/>
    <cellStyle name="Normal 2 4 5 4 7" xfId="4702" xr:uid="{00000000-0005-0000-0000-0000C1100000}"/>
    <cellStyle name="Normal 2 4 5 4 7 2" xfId="13144" xr:uid="{D8CE7BDD-36DA-4B40-91FC-CF6DEF2B4585}"/>
    <cellStyle name="Normal 2 4 5 4 8" xfId="8926" xr:uid="{5A539C9D-E50E-4691-8C5D-4EBB6324C462}"/>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A7C99EE1-928A-429A-A6D9-033FD36B0DA8}"/>
    <cellStyle name="Normal 2 4 5 5 2 3" xfId="11478" xr:uid="{3C5795BA-33BB-45D9-8F32-05BA50455D26}"/>
    <cellStyle name="Normal 2 4 5 5 3" xfId="5109" xr:uid="{00000000-0005-0000-0000-0000C5100000}"/>
    <cellStyle name="Normal 2 4 5 5 3 2" xfId="13551" xr:uid="{18F9E465-8649-4D08-BA1F-A77B1416A5DA}"/>
    <cellStyle name="Normal 2 4 5 5 4" xfId="9333" xr:uid="{4E854E95-2273-4D80-8568-C0FAFE1B6026}"/>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8BD5E118-4AA1-400C-9626-38D7C057D0A7}"/>
    <cellStyle name="Normal 2 4 5 6 2 3" xfId="11891" xr:uid="{D0A3C97F-07C9-4262-8825-8DD74F5D13AF}"/>
    <cellStyle name="Normal 2 4 5 6 3" xfId="5522" xr:uid="{00000000-0005-0000-0000-0000C9100000}"/>
    <cellStyle name="Normal 2 4 5 6 3 2" xfId="13964" xr:uid="{84F18EA0-659C-4FA8-8309-9AA6759890D1}"/>
    <cellStyle name="Normal 2 4 5 6 4" xfId="9746" xr:uid="{8B516B32-3677-48BC-852A-63FD0F05D846}"/>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08B514F3-E7B3-4EB7-9E8B-45C226B7F502}"/>
    <cellStyle name="Normal 2 4 5 7 2 3" xfId="12304" xr:uid="{7DF6079D-612D-4809-936B-EB567313894C}"/>
    <cellStyle name="Normal 2 4 5 7 3" xfId="5935" xr:uid="{00000000-0005-0000-0000-0000CD100000}"/>
    <cellStyle name="Normal 2 4 5 7 3 2" xfId="14377" xr:uid="{030416ED-9A0E-4DE3-B769-3532D2DDAC01}"/>
    <cellStyle name="Normal 2 4 5 7 4" xfId="10159" xr:uid="{EDBF22C1-C025-4E12-BA09-00EABDEF5650}"/>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C678B760-3A49-4F51-8D17-99673B8CC61C}"/>
    <cellStyle name="Normal 2 4 5 8 2 3" xfId="12717" xr:uid="{921F69C9-5A48-4263-8572-0D6D34B45E27}"/>
    <cellStyle name="Normal 2 4 5 8 3" xfId="6348" xr:uid="{00000000-0005-0000-0000-0000D1100000}"/>
    <cellStyle name="Normal 2 4 5 8 3 2" xfId="14790" xr:uid="{58F326D5-4C2E-4E53-B2BF-728AFDDA4988}"/>
    <cellStyle name="Normal 2 4 5 8 4" xfId="10572" xr:uid="{8E7E2185-9312-4437-A5BA-FF9C388084DB}"/>
    <cellStyle name="Normal 2 4 5 9" xfId="2477" xr:uid="{00000000-0005-0000-0000-0000D2100000}"/>
    <cellStyle name="Normal 2 4 5 9 2" xfId="6761" xr:uid="{00000000-0005-0000-0000-0000D3100000}"/>
    <cellStyle name="Normal 2 4 5 9 2 2" xfId="15203" xr:uid="{2BE6375F-8BC9-46CB-BA7E-0214F18E8F69}"/>
    <cellStyle name="Normal 2 4 5 9 3" xfId="10985" xr:uid="{68CD47E4-0994-4D1A-8BFA-4C48D9CC8434}"/>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43DD242D-7DE0-4BC6-BFE6-81ADE97E644B}"/>
    <cellStyle name="Normal 2 4 7 2 2 2 3" xfId="11487" xr:uid="{1A73C02D-0767-4A3B-8B97-7E714AA40F3F}"/>
    <cellStyle name="Normal 2 4 7 2 2 3" xfId="5118" xr:uid="{00000000-0005-0000-0000-0000DA100000}"/>
    <cellStyle name="Normal 2 4 7 2 2 3 2" xfId="13560" xr:uid="{2D387FCF-63BB-4F9B-A687-458B39B5CC2A}"/>
    <cellStyle name="Normal 2 4 7 2 2 4" xfId="9342" xr:uid="{ECF0A913-136D-45EF-83E5-5BCCD890879D}"/>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823D9F3E-6657-481E-8E9F-FA9DA0B42A2E}"/>
    <cellStyle name="Normal 2 4 7 2 3 2 3" xfId="11900" xr:uid="{656C5FEE-515A-4607-B462-34012A25FBF5}"/>
    <cellStyle name="Normal 2 4 7 2 3 3" xfId="5531" xr:uid="{00000000-0005-0000-0000-0000DE100000}"/>
    <cellStyle name="Normal 2 4 7 2 3 3 2" xfId="13973" xr:uid="{82DBCCE3-B5A9-4B8E-B3A3-EE83FB3711AE}"/>
    <cellStyle name="Normal 2 4 7 2 3 4" xfId="9755" xr:uid="{21538D79-D3DC-4109-860D-7071FFFF452D}"/>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F197AE99-9EB0-440A-8080-BBD16D0DD399}"/>
    <cellStyle name="Normal 2 4 7 2 4 2 3" xfId="12313" xr:uid="{7F163623-F78E-473D-BA22-3F65B071E6B2}"/>
    <cellStyle name="Normal 2 4 7 2 4 3" xfId="5944" xr:uid="{00000000-0005-0000-0000-0000E2100000}"/>
    <cellStyle name="Normal 2 4 7 2 4 3 2" xfId="14386" xr:uid="{98341527-19A8-4E3A-9C51-BDEBE191CA0C}"/>
    <cellStyle name="Normal 2 4 7 2 4 4" xfId="10168" xr:uid="{F98F0E68-5BF8-4F8A-BEDE-49FE241BDFEE}"/>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E9FBF43D-DAD1-49F2-882E-3F3F3BD093C7}"/>
    <cellStyle name="Normal 2 4 7 2 5 2 3" xfId="12726" xr:uid="{7141C36F-60B0-461A-A69C-AF46C3E207B3}"/>
    <cellStyle name="Normal 2 4 7 2 5 3" xfId="6357" xr:uid="{00000000-0005-0000-0000-0000E6100000}"/>
    <cellStyle name="Normal 2 4 7 2 5 3 2" xfId="14799" xr:uid="{E560125D-081E-4D5C-A450-919EE4D754E7}"/>
    <cellStyle name="Normal 2 4 7 2 5 4" xfId="10581" xr:uid="{10096052-B54B-4B01-83E1-95A5D67C3D9B}"/>
    <cellStyle name="Normal 2 4 7 2 6" xfId="2486" xr:uid="{00000000-0005-0000-0000-0000E7100000}"/>
    <cellStyle name="Normal 2 4 7 2 6 2" xfId="6770" xr:uid="{00000000-0005-0000-0000-0000E8100000}"/>
    <cellStyle name="Normal 2 4 7 2 6 2 2" xfId="15212" xr:uid="{A7F295E8-3D3C-4141-B820-D7FB3F808255}"/>
    <cellStyle name="Normal 2 4 7 2 6 3" xfId="10994" xr:uid="{263BDA69-24D3-407C-A4DB-AEA0F4276BD1}"/>
    <cellStyle name="Normal 2 4 7 2 7" xfId="4704" xr:uid="{00000000-0005-0000-0000-0000E9100000}"/>
    <cellStyle name="Normal 2 4 7 2 7 2" xfId="13146" xr:uid="{A489BE7A-F55E-4532-8F68-694380BF2D58}"/>
    <cellStyle name="Normal 2 4 7 2 8" xfId="8928" xr:uid="{673C0AE5-4CEA-4565-9190-BC7738104221}"/>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D52A6295-DFF3-4135-A3FB-01D16838DECE}"/>
    <cellStyle name="Normal 2 4 7 3 2 3" xfId="11486" xr:uid="{D439FE70-63B9-46F0-892C-28DC53F220C6}"/>
    <cellStyle name="Normal 2 4 7 3 3" xfId="5117" xr:uid="{00000000-0005-0000-0000-0000ED100000}"/>
    <cellStyle name="Normal 2 4 7 3 3 2" xfId="13559" xr:uid="{470037AE-D1A7-4C2E-BD73-0764191D4F75}"/>
    <cellStyle name="Normal 2 4 7 3 4" xfId="9341" xr:uid="{B41B4756-2569-4A11-9ACC-5E6095120DA5}"/>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3521FA25-A019-40C5-A4B8-5384A09449CC}"/>
    <cellStyle name="Normal 2 4 7 4 2 3" xfId="11899" xr:uid="{267A8729-1779-470E-B866-80DACB6ABC1C}"/>
    <cellStyle name="Normal 2 4 7 4 3" xfId="5530" xr:uid="{00000000-0005-0000-0000-0000F1100000}"/>
    <cellStyle name="Normal 2 4 7 4 3 2" xfId="13972" xr:uid="{8211EC0B-CE13-4DA1-8A38-52A39E18F2DB}"/>
    <cellStyle name="Normal 2 4 7 4 4" xfId="9754" xr:uid="{531A4D58-7901-471D-ABCD-67253C4D7C9D}"/>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68037A64-A7A6-4504-9249-2AF420C5EC2D}"/>
    <cellStyle name="Normal 2 4 7 5 2 3" xfId="12312" xr:uid="{F460092C-E06D-499A-9164-4AF36CBED378}"/>
    <cellStyle name="Normal 2 4 7 5 3" xfId="5943" xr:uid="{00000000-0005-0000-0000-0000F5100000}"/>
    <cellStyle name="Normal 2 4 7 5 3 2" xfId="14385" xr:uid="{B275448E-01F5-4E50-B18F-E09BB1240366}"/>
    <cellStyle name="Normal 2 4 7 5 4" xfId="10167" xr:uid="{40CDB2D1-5993-4C3C-AD1A-F6424652EBD7}"/>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230AEE80-8777-47E3-A70A-5564EF827E0C}"/>
    <cellStyle name="Normal 2 4 7 6 2 3" xfId="12725" xr:uid="{9A32ECDA-D2A0-4802-9599-D8F5CF457BC5}"/>
    <cellStyle name="Normal 2 4 7 6 3" xfId="6356" xr:uid="{00000000-0005-0000-0000-0000F9100000}"/>
    <cellStyle name="Normal 2 4 7 6 3 2" xfId="14798" xr:uid="{3DC7D772-C301-4648-A5C8-717D500E7A2E}"/>
    <cellStyle name="Normal 2 4 7 6 4" xfId="10580" xr:uid="{4C61F806-91B2-4806-B486-AC02F6C20F36}"/>
    <cellStyle name="Normal 2 4 7 7" xfId="2485" xr:uid="{00000000-0005-0000-0000-0000FA100000}"/>
    <cellStyle name="Normal 2 4 7 7 2" xfId="6769" xr:uid="{00000000-0005-0000-0000-0000FB100000}"/>
    <cellStyle name="Normal 2 4 7 7 2 2" xfId="15211" xr:uid="{71DA9033-71E4-4BDC-9C15-8FFAB40652A5}"/>
    <cellStyle name="Normal 2 4 7 7 3" xfId="10993" xr:uid="{D7BA7E80-7209-4B3C-B8BA-414F62A3A74B}"/>
    <cellStyle name="Normal 2 4 7 8" xfId="4703" xr:uid="{00000000-0005-0000-0000-0000FC100000}"/>
    <cellStyle name="Normal 2 4 7 8 2" xfId="13145" xr:uid="{1810E71A-CAF7-4E44-9ABE-4F459FCB4757}"/>
    <cellStyle name="Normal 2 4 7 9" xfId="8927" xr:uid="{18CEA2D8-6645-4C72-BEC2-6581B32BB6F1}"/>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7DB8C631-EAB0-46D8-B9ED-40C22B96ACE1}"/>
    <cellStyle name="Normal 2 4 8 2 2 3" xfId="11488" xr:uid="{6EB3BF1B-813C-41AC-9EA4-1E55D7C80DF3}"/>
    <cellStyle name="Normal 2 4 8 2 3" xfId="5119" xr:uid="{00000000-0005-0000-0000-000001110000}"/>
    <cellStyle name="Normal 2 4 8 2 3 2" xfId="13561" xr:uid="{9008DD6A-C082-447F-B8BE-DA7EE56DE921}"/>
    <cellStyle name="Normal 2 4 8 2 4" xfId="9343" xr:uid="{30C45D8D-43B6-43F8-AAAD-C46501059A04}"/>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580C340F-309A-4034-9C4D-CAA3DE2EEE6B}"/>
    <cellStyle name="Normal 2 4 8 3 2 3" xfId="11901" xr:uid="{F29EDDF9-6726-4491-82EE-F857C3A4D776}"/>
    <cellStyle name="Normal 2 4 8 3 3" xfId="5532" xr:uid="{00000000-0005-0000-0000-000005110000}"/>
    <cellStyle name="Normal 2 4 8 3 3 2" xfId="13974" xr:uid="{014186DA-D4CC-4DE7-92AD-450077F28783}"/>
    <cellStyle name="Normal 2 4 8 3 4" xfId="9756" xr:uid="{67EFDB52-0CC5-4A62-BD7B-105B714C6E90}"/>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EAC52563-5EE9-4483-BED4-4DD1F47D10F4}"/>
    <cellStyle name="Normal 2 4 8 4 2 3" xfId="12314" xr:uid="{59E1F7A1-9D1C-4F78-AF0F-B8DB77461917}"/>
    <cellStyle name="Normal 2 4 8 4 3" xfId="5945" xr:uid="{00000000-0005-0000-0000-000009110000}"/>
    <cellStyle name="Normal 2 4 8 4 3 2" xfId="14387" xr:uid="{B063BD91-7D3E-4460-B03C-8B5DF3B44AAC}"/>
    <cellStyle name="Normal 2 4 8 4 4" xfId="10169" xr:uid="{B8A678FC-6FEB-43BE-A3F4-0316395C1FCB}"/>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7F44A330-7228-40E5-A021-5BC039AEF994}"/>
    <cellStyle name="Normal 2 4 8 5 2 3" xfId="12727" xr:uid="{1271DD4B-826C-4D0F-B039-0ED9E464FD63}"/>
    <cellStyle name="Normal 2 4 8 5 3" xfId="6358" xr:uid="{00000000-0005-0000-0000-00000D110000}"/>
    <cellStyle name="Normal 2 4 8 5 3 2" xfId="14800" xr:uid="{BBC80739-E9A7-4FF5-9841-932C9CD09356}"/>
    <cellStyle name="Normal 2 4 8 5 4" xfId="10582" xr:uid="{1F849D00-2FA7-40FD-8964-5ED01446E96A}"/>
    <cellStyle name="Normal 2 4 8 6" xfId="2487" xr:uid="{00000000-0005-0000-0000-00000E110000}"/>
    <cellStyle name="Normal 2 4 8 6 2" xfId="6771" xr:uid="{00000000-0005-0000-0000-00000F110000}"/>
    <cellStyle name="Normal 2 4 8 6 2 2" xfId="15213" xr:uid="{6B4AC5C0-42A7-47F6-851E-6C782A373ABE}"/>
    <cellStyle name="Normal 2 4 8 6 3" xfId="10995" xr:uid="{55DCBCA8-8E8F-4264-87AA-23F49B4C347D}"/>
    <cellStyle name="Normal 2 4 8 7" xfId="4705" xr:uid="{00000000-0005-0000-0000-000010110000}"/>
    <cellStyle name="Normal 2 4 8 7 2" xfId="13147" xr:uid="{35EC0341-EE6C-4A16-A6BA-97C9B6304FFF}"/>
    <cellStyle name="Normal 2 4 8 8" xfId="8929" xr:uid="{2E592C07-E020-443D-943E-C0E77A143690}"/>
    <cellStyle name="Normal 2 5" xfId="315" xr:uid="{00000000-0005-0000-0000-000011110000}"/>
    <cellStyle name="Normal 2 5 10" xfId="4706" xr:uid="{00000000-0005-0000-0000-000012110000}"/>
    <cellStyle name="Normal 2 5 10 2" xfId="13148" xr:uid="{88CCB815-BBE3-4D07-9583-43C58D8E3D28}"/>
    <cellStyle name="Normal 2 5 11" xfId="8930" xr:uid="{6079C236-2463-4BFF-AA06-76D259B8234E}"/>
    <cellStyle name="Normal 2 5 2" xfId="316" xr:uid="{00000000-0005-0000-0000-000013110000}"/>
    <cellStyle name="Normal 2 5 3" xfId="317" xr:uid="{00000000-0005-0000-0000-000014110000}"/>
    <cellStyle name="Normal 2 5 4" xfId="318" xr:uid="{00000000-0005-0000-0000-000015110000}"/>
    <cellStyle name="Normal 2 5 4 10" xfId="8931" xr:uid="{CC73F7D3-7821-4956-83BF-31018DE85027}"/>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709F068E-7FAF-4A80-9EC8-592FE1485C61}"/>
    <cellStyle name="Normal 2 5 4 2 2 2 2 3" xfId="11492" xr:uid="{048D49D7-A66D-4622-BED2-DD0432D25999}"/>
    <cellStyle name="Normal 2 5 4 2 2 2 3" xfId="5123" xr:uid="{00000000-0005-0000-0000-00001B110000}"/>
    <cellStyle name="Normal 2 5 4 2 2 2 3 2" xfId="13565" xr:uid="{6727E6CE-B98C-424F-BF57-2D9987D9C905}"/>
    <cellStyle name="Normal 2 5 4 2 2 2 4" xfId="9347" xr:uid="{439E3FAE-4C8A-4AF1-837C-5059A55D4DE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47C72F00-C467-414C-A838-F75B116BD714}"/>
    <cellStyle name="Normal 2 5 4 2 2 3 2 3" xfId="11905" xr:uid="{0D1638F3-911B-4E46-B219-F38B2A1AA18A}"/>
    <cellStyle name="Normal 2 5 4 2 2 3 3" xfId="5536" xr:uid="{00000000-0005-0000-0000-00001F110000}"/>
    <cellStyle name="Normal 2 5 4 2 2 3 3 2" xfId="13978" xr:uid="{77F192E2-B3D6-4966-8FDF-28F52404F047}"/>
    <cellStyle name="Normal 2 5 4 2 2 3 4" xfId="9760" xr:uid="{7DF26E75-E058-4BF3-A9ED-A855641C7805}"/>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3B51DF8B-29B4-4539-B5E5-64C6F1CDC258}"/>
    <cellStyle name="Normal 2 5 4 2 2 4 2 3" xfId="12318" xr:uid="{43E542FA-71AC-4ADC-BF7D-05D9B41E614A}"/>
    <cellStyle name="Normal 2 5 4 2 2 4 3" xfId="5949" xr:uid="{00000000-0005-0000-0000-000023110000}"/>
    <cellStyle name="Normal 2 5 4 2 2 4 3 2" xfId="14391" xr:uid="{87DDDF69-710C-41FC-B481-E8DB9DF87C93}"/>
    <cellStyle name="Normal 2 5 4 2 2 4 4" xfId="10173" xr:uid="{241CB63B-E6D4-4F71-A1FA-4487CB2F2472}"/>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197698FB-10B2-4733-B2B2-4A7250D11C03}"/>
    <cellStyle name="Normal 2 5 4 2 2 5 2 3" xfId="12731" xr:uid="{298031C7-735E-4CFE-9D62-B0C8F12A3ABE}"/>
    <cellStyle name="Normal 2 5 4 2 2 5 3" xfId="6362" xr:uid="{00000000-0005-0000-0000-000027110000}"/>
    <cellStyle name="Normal 2 5 4 2 2 5 3 2" xfId="14804" xr:uid="{6AC0316B-DF1D-41F3-B90F-DB89985770DF}"/>
    <cellStyle name="Normal 2 5 4 2 2 5 4" xfId="10586" xr:uid="{EC3F4543-C567-439A-A822-E88374889964}"/>
    <cellStyle name="Normal 2 5 4 2 2 6" xfId="2491" xr:uid="{00000000-0005-0000-0000-000028110000}"/>
    <cellStyle name="Normal 2 5 4 2 2 6 2" xfId="6775" xr:uid="{00000000-0005-0000-0000-000029110000}"/>
    <cellStyle name="Normal 2 5 4 2 2 6 2 2" xfId="15217" xr:uid="{3F69E580-F37D-45C0-9B68-C7DCF13BDACC}"/>
    <cellStyle name="Normal 2 5 4 2 2 6 3" xfId="10999" xr:uid="{F45BC2AC-24E6-4824-AE8E-A4F9965DFA4D}"/>
    <cellStyle name="Normal 2 5 4 2 2 7" xfId="4709" xr:uid="{00000000-0005-0000-0000-00002A110000}"/>
    <cellStyle name="Normal 2 5 4 2 2 7 2" xfId="13151" xr:uid="{EFB6B860-A15F-4708-B811-B213B2C4AB6B}"/>
    <cellStyle name="Normal 2 5 4 2 2 8" xfId="8933" xr:uid="{2D039D46-AD21-4A6D-9B85-0899D1C12908}"/>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53C8ACED-7AEE-4736-8934-8C55EE9B6CAF}"/>
    <cellStyle name="Normal 2 5 4 2 3 2 3" xfId="11491" xr:uid="{221F3B91-B4EC-4F24-AFB9-3773A3E325E8}"/>
    <cellStyle name="Normal 2 5 4 2 3 3" xfId="5122" xr:uid="{00000000-0005-0000-0000-00002E110000}"/>
    <cellStyle name="Normal 2 5 4 2 3 3 2" xfId="13564" xr:uid="{CD807910-E525-4FA4-8766-D4F3F3F6EA27}"/>
    <cellStyle name="Normal 2 5 4 2 3 4" xfId="9346" xr:uid="{F57A8907-2F91-4A9A-8437-47A3E62711E8}"/>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DE927075-0062-4587-B523-6D530C834220}"/>
    <cellStyle name="Normal 2 5 4 2 4 2 3" xfId="11904" xr:uid="{67E32D27-1B83-4C8B-B227-76B137622B91}"/>
    <cellStyle name="Normal 2 5 4 2 4 3" xfId="5535" xr:uid="{00000000-0005-0000-0000-000032110000}"/>
    <cellStyle name="Normal 2 5 4 2 4 3 2" xfId="13977" xr:uid="{4E831438-9D48-4703-B1D0-FC1BDC0ECC25}"/>
    <cellStyle name="Normal 2 5 4 2 4 4" xfId="9759" xr:uid="{6E0075AE-524E-4015-B3EA-C9C2200A2133}"/>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670E7426-5F4B-44BA-A1E5-2CB6C4C40FF4}"/>
    <cellStyle name="Normal 2 5 4 2 5 2 3" xfId="12317" xr:uid="{6B3A59A7-C0F3-44B4-A441-A5876222552B}"/>
    <cellStyle name="Normal 2 5 4 2 5 3" xfId="5948" xr:uid="{00000000-0005-0000-0000-000036110000}"/>
    <cellStyle name="Normal 2 5 4 2 5 3 2" xfId="14390" xr:uid="{D5D82BCD-67FA-4108-9C05-281A25B07402}"/>
    <cellStyle name="Normal 2 5 4 2 5 4" xfId="10172" xr:uid="{A6438845-9FB8-4A3D-BBF5-BF7CDDF05D0F}"/>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062B5842-B54B-4ABF-A36F-F47B5457DEAE}"/>
    <cellStyle name="Normal 2 5 4 2 6 2 3" xfId="12730" xr:uid="{37D1C6ED-AAC6-427B-B3AB-79FCB793DA59}"/>
    <cellStyle name="Normal 2 5 4 2 6 3" xfId="6361" xr:uid="{00000000-0005-0000-0000-00003A110000}"/>
    <cellStyle name="Normal 2 5 4 2 6 3 2" xfId="14803" xr:uid="{A1A478DB-57E5-47D2-9F2E-DBB2CB4DE271}"/>
    <cellStyle name="Normal 2 5 4 2 6 4" xfId="10585" xr:uid="{8C0CDE11-89DC-4C17-BF07-9E8E7626BC34}"/>
    <cellStyle name="Normal 2 5 4 2 7" xfId="2490" xr:uid="{00000000-0005-0000-0000-00003B110000}"/>
    <cellStyle name="Normal 2 5 4 2 7 2" xfId="6774" xr:uid="{00000000-0005-0000-0000-00003C110000}"/>
    <cellStyle name="Normal 2 5 4 2 7 2 2" xfId="15216" xr:uid="{EDE83972-5782-408B-A734-0CC7212BBD74}"/>
    <cellStyle name="Normal 2 5 4 2 7 3" xfId="10998" xr:uid="{3E58AEEA-7A3C-4981-A387-79EFFDDA8574}"/>
    <cellStyle name="Normal 2 5 4 2 8" xfId="4708" xr:uid="{00000000-0005-0000-0000-00003D110000}"/>
    <cellStyle name="Normal 2 5 4 2 8 2" xfId="13150" xr:uid="{60B09A18-1DBC-45DF-B7AB-2F11C0892B8F}"/>
    <cellStyle name="Normal 2 5 4 2 9" xfId="8932" xr:uid="{F81E3A23-48B1-408E-92A8-F3A47ACFE87F}"/>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22F25842-4F96-4461-96FF-42587E639D3F}"/>
    <cellStyle name="Normal 2 5 4 3 2 2 3" xfId="11493" xr:uid="{D67A17AB-6BB5-4DD0-9B63-E6097BBCAEA6}"/>
    <cellStyle name="Normal 2 5 4 3 2 3" xfId="5124" xr:uid="{00000000-0005-0000-0000-000042110000}"/>
    <cellStyle name="Normal 2 5 4 3 2 3 2" xfId="13566" xr:uid="{8600D010-BDBB-4D8E-B303-5C0E2EB868C8}"/>
    <cellStyle name="Normal 2 5 4 3 2 4" xfId="9348" xr:uid="{6DDF403D-CB4E-44F0-BB9F-819F34DEF270}"/>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14123635-24DB-4153-81F6-EC5DA64F05E9}"/>
    <cellStyle name="Normal 2 5 4 3 3 2 3" xfId="11906" xr:uid="{4DF952C1-7950-4A9D-9D2F-03F0FC61769F}"/>
    <cellStyle name="Normal 2 5 4 3 3 3" xfId="5537" xr:uid="{00000000-0005-0000-0000-000046110000}"/>
    <cellStyle name="Normal 2 5 4 3 3 3 2" xfId="13979" xr:uid="{47BD79FC-2935-4A1D-99AB-8529A0337218}"/>
    <cellStyle name="Normal 2 5 4 3 3 4" xfId="9761" xr:uid="{EBC789CE-F0AF-426A-BC05-A35D7EC4D75E}"/>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62BE31F2-2EF8-4454-BC6B-E9FDFD3CC47D}"/>
    <cellStyle name="Normal 2 5 4 3 4 2 3" xfId="12319" xr:uid="{09379AFD-8AD5-4ADA-947F-7D773071A070}"/>
    <cellStyle name="Normal 2 5 4 3 4 3" xfId="5950" xr:uid="{00000000-0005-0000-0000-00004A110000}"/>
    <cellStyle name="Normal 2 5 4 3 4 3 2" xfId="14392" xr:uid="{3D582599-503C-48D3-AEBA-0A2306AA4262}"/>
    <cellStyle name="Normal 2 5 4 3 4 4" xfId="10174" xr:uid="{C79814A3-DBB5-4495-A129-127925C50974}"/>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E904B78A-9EB3-4FB9-BADB-3790A727626B}"/>
    <cellStyle name="Normal 2 5 4 3 5 2 3" xfId="12732" xr:uid="{0A66818B-C167-4A92-BD39-8401AC04BF22}"/>
    <cellStyle name="Normal 2 5 4 3 5 3" xfId="6363" xr:uid="{00000000-0005-0000-0000-00004E110000}"/>
    <cellStyle name="Normal 2 5 4 3 5 3 2" xfId="14805" xr:uid="{04208BB5-0D19-401B-9974-CCE0C2F5DE44}"/>
    <cellStyle name="Normal 2 5 4 3 5 4" xfId="10587" xr:uid="{97BB03FF-6D74-4F7D-BD81-297317D5813B}"/>
    <cellStyle name="Normal 2 5 4 3 6" xfId="2492" xr:uid="{00000000-0005-0000-0000-00004F110000}"/>
    <cellStyle name="Normal 2 5 4 3 6 2" xfId="6776" xr:uid="{00000000-0005-0000-0000-000050110000}"/>
    <cellStyle name="Normal 2 5 4 3 6 2 2" xfId="15218" xr:uid="{1B099082-938F-49F5-9FE4-70A0E43AEDB3}"/>
    <cellStyle name="Normal 2 5 4 3 6 3" xfId="11000" xr:uid="{63AFB634-3744-4D15-BCBE-77F352F20FA5}"/>
    <cellStyle name="Normal 2 5 4 3 7" xfId="4710" xr:uid="{00000000-0005-0000-0000-000051110000}"/>
    <cellStyle name="Normal 2 5 4 3 7 2" xfId="13152" xr:uid="{25D1C547-D7FD-48AA-8706-BC38EBAFAABC}"/>
    <cellStyle name="Normal 2 5 4 3 8" xfId="8934" xr:uid="{DA6F0F51-5086-4BB6-9111-8EE961977E02}"/>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D1DF23FC-ABFE-4E04-874B-C595789DA817}"/>
    <cellStyle name="Normal 2 5 4 4 2 3" xfId="11490" xr:uid="{94D32B23-0373-442D-855C-9A00A6E1D4A2}"/>
    <cellStyle name="Normal 2 5 4 4 3" xfId="5121" xr:uid="{00000000-0005-0000-0000-000055110000}"/>
    <cellStyle name="Normal 2 5 4 4 3 2" xfId="13563" xr:uid="{59845D26-4A54-4A0D-B38C-94AD1FDFB8B4}"/>
    <cellStyle name="Normal 2 5 4 4 4" xfId="9345" xr:uid="{8EA89F3C-C55E-4866-A2BA-9D17B9E2239A}"/>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1E70D781-00DF-465E-B35F-FD0751AB6888}"/>
    <cellStyle name="Normal 2 5 4 5 2 3" xfId="11903" xr:uid="{85F499C6-62D3-4476-9787-7B435335488A}"/>
    <cellStyle name="Normal 2 5 4 5 3" xfId="5534" xr:uid="{00000000-0005-0000-0000-000059110000}"/>
    <cellStyle name="Normal 2 5 4 5 3 2" xfId="13976" xr:uid="{130B58C4-E0D6-4AFA-B371-12926DF717D2}"/>
    <cellStyle name="Normal 2 5 4 5 4" xfId="9758" xr:uid="{FBA2B395-E1C1-434A-8B89-C4088865DFD1}"/>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7F0BD77D-93C7-4677-BB1D-E99428FE2FFD}"/>
    <cellStyle name="Normal 2 5 4 6 2 3" xfId="12316" xr:uid="{0A1E29AC-BAE2-4432-9445-C9725E8203C8}"/>
    <cellStyle name="Normal 2 5 4 6 3" xfId="5947" xr:uid="{00000000-0005-0000-0000-00005D110000}"/>
    <cellStyle name="Normal 2 5 4 6 3 2" xfId="14389" xr:uid="{8A7A9343-9BFD-4E82-8C74-E0E64400FA28}"/>
    <cellStyle name="Normal 2 5 4 6 4" xfId="10171" xr:uid="{31078E6D-B87A-4F9F-BE8A-2D9F6C5D2F2B}"/>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DCD654CB-1591-4F79-84E8-54DCED560108}"/>
    <cellStyle name="Normal 2 5 4 7 2 3" xfId="12729" xr:uid="{8C73DB9D-E25F-4CBC-8AA2-F82844987B9C}"/>
    <cellStyle name="Normal 2 5 4 7 3" xfId="6360" xr:uid="{00000000-0005-0000-0000-000061110000}"/>
    <cellStyle name="Normal 2 5 4 7 3 2" xfId="14802" xr:uid="{4399FC41-1604-44EF-BAED-CB3E3057AA97}"/>
    <cellStyle name="Normal 2 5 4 7 4" xfId="10584" xr:uid="{0BE70796-8003-4038-870B-7451DAA64BC7}"/>
    <cellStyle name="Normal 2 5 4 8" xfId="2489" xr:uid="{00000000-0005-0000-0000-000062110000}"/>
    <cellStyle name="Normal 2 5 4 8 2" xfId="6773" xr:uid="{00000000-0005-0000-0000-000063110000}"/>
    <cellStyle name="Normal 2 5 4 8 2 2" xfId="15215" xr:uid="{18B16DDF-71B1-4BC6-9B3B-69AC6709A07D}"/>
    <cellStyle name="Normal 2 5 4 8 3" xfId="10997" xr:uid="{FCF6410F-DEB0-47D5-8FDA-37BDAD68B0F1}"/>
    <cellStyle name="Normal 2 5 4 9" xfId="4707" xr:uid="{00000000-0005-0000-0000-000064110000}"/>
    <cellStyle name="Normal 2 5 4 9 2" xfId="13149" xr:uid="{B04C3AD9-CC91-4C78-AB8F-45A0255B8CA5}"/>
    <cellStyle name="Normal 2 5 5" xfId="803" xr:uid="{00000000-0005-0000-0000-000065110000}"/>
    <cellStyle name="Normal 2 5 5 2" xfId="3042" xr:uid="{00000000-0005-0000-0000-000066110000}"/>
    <cellStyle name="Normal 2 5 5 2 2" xfId="7265" xr:uid="{00000000-0005-0000-0000-000067110000}"/>
    <cellStyle name="Normal 2 5 5 2 2 2" xfId="15707" xr:uid="{8FE2D0C6-253D-47E3-9B42-E17EFE9A7780}"/>
    <cellStyle name="Normal 2 5 5 2 3" xfId="11489" xr:uid="{70C30F30-F308-4DD6-96B0-CD9C815980AF}"/>
    <cellStyle name="Normal 2 5 5 3" xfId="5120" xr:uid="{00000000-0005-0000-0000-000068110000}"/>
    <cellStyle name="Normal 2 5 5 3 2" xfId="13562" xr:uid="{2E0CC41D-2856-4183-906D-F03ABE2592E8}"/>
    <cellStyle name="Normal 2 5 5 4" xfId="9344" xr:uid="{55AFE1D2-2460-485C-B38B-1B817B5E27DB}"/>
    <cellStyle name="Normal 2 5 6" xfId="1225" xr:uid="{00000000-0005-0000-0000-000069110000}"/>
    <cellStyle name="Normal 2 5 6 2" xfId="3455" xr:uid="{00000000-0005-0000-0000-00006A110000}"/>
    <cellStyle name="Normal 2 5 6 2 2" xfId="7678" xr:uid="{00000000-0005-0000-0000-00006B110000}"/>
    <cellStyle name="Normal 2 5 6 2 2 2" xfId="16120" xr:uid="{AC120E85-B543-44C1-AE73-A41CB69747F8}"/>
    <cellStyle name="Normal 2 5 6 2 3" xfId="11902" xr:uid="{8D9C3600-94BA-44AA-A9BF-09BE023686B3}"/>
    <cellStyle name="Normal 2 5 6 3" xfId="5533" xr:uid="{00000000-0005-0000-0000-00006C110000}"/>
    <cellStyle name="Normal 2 5 6 3 2" xfId="13975" xr:uid="{645666BB-82D9-4F7D-BA0B-F9C476C03FDC}"/>
    <cellStyle name="Normal 2 5 6 4" xfId="9757" xr:uid="{5A84CBA9-11E9-43D6-9B55-1B3248648486}"/>
    <cellStyle name="Normal 2 5 7" xfId="1638" xr:uid="{00000000-0005-0000-0000-00006D110000}"/>
    <cellStyle name="Normal 2 5 7 2" xfId="3868" xr:uid="{00000000-0005-0000-0000-00006E110000}"/>
    <cellStyle name="Normal 2 5 7 2 2" xfId="8091" xr:uid="{00000000-0005-0000-0000-00006F110000}"/>
    <cellStyle name="Normal 2 5 7 2 2 2" xfId="16533" xr:uid="{5E6361E9-6225-4C3F-B846-397F5AB83001}"/>
    <cellStyle name="Normal 2 5 7 2 3" xfId="12315" xr:uid="{95A81F02-98C4-4DED-AEDB-C14469F1D73B}"/>
    <cellStyle name="Normal 2 5 7 3" xfId="5946" xr:uid="{00000000-0005-0000-0000-000070110000}"/>
    <cellStyle name="Normal 2 5 7 3 2" xfId="14388" xr:uid="{7E126DDA-2723-4AA7-873C-2A8CBBC68F7A}"/>
    <cellStyle name="Normal 2 5 7 4" xfId="10170" xr:uid="{EBCE0531-7F51-4285-A018-F317232B4B18}"/>
    <cellStyle name="Normal 2 5 8" xfId="2052" xr:uid="{00000000-0005-0000-0000-000071110000}"/>
    <cellStyle name="Normal 2 5 8 2" xfId="4281" xr:uid="{00000000-0005-0000-0000-000072110000}"/>
    <cellStyle name="Normal 2 5 8 2 2" xfId="8504" xr:uid="{00000000-0005-0000-0000-000073110000}"/>
    <cellStyle name="Normal 2 5 8 2 2 2" xfId="16946" xr:uid="{29250FD4-B7E2-45A5-A3F7-1D1D25434CF9}"/>
    <cellStyle name="Normal 2 5 8 2 3" xfId="12728" xr:uid="{ECC85337-2D57-48A2-AA3B-7472791775A7}"/>
    <cellStyle name="Normal 2 5 8 3" xfId="6359" xr:uid="{00000000-0005-0000-0000-000074110000}"/>
    <cellStyle name="Normal 2 5 8 3 2" xfId="14801" xr:uid="{ECE796F3-0686-4275-AEAE-02B525285683}"/>
    <cellStyle name="Normal 2 5 8 4" xfId="10583" xr:uid="{5C1D0065-56D6-436E-BA61-324F3545D871}"/>
    <cellStyle name="Normal 2 5 9" xfId="2488" xr:uid="{00000000-0005-0000-0000-000075110000}"/>
    <cellStyle name="Normal 2 5 9 2" xfId="6772" xr:uid="{00000000-0005-0000-0000-000076110000}"/>
    <cellStyle name="Normal 2 5 9 2 2" xfId="15214" xr:uid="{0F58D0F6-0283-4BC6-88FD-1F927298B106}"/>
    <cellStyle name="Normal 2 5 9 3" xfId="10996" xr:uid="{652F18C9-8686-45A9-9DB3-5D0535565E77}"/>
    <cellStyle name="Normal 2 6" xfId="322" xr:uid="{00000000-0005-0000-0000-000077110000}"/>
    <cellStyle name="Normal 2 7" xfId="769" xr:uid="{00000000-0005-0000-0000-000078110000}"/>
    <cellStyle name="Normal 2 8" xfId="4495" xr:uid="{00000000-0005-0000-0000-000079110000}"/>
    <cellStyle name="Normal 2 8 2" xfId="12940" xr:uid="{197BCD5A-B672-49BB-9DDF-03823EA4EE2F}"/>
    <cellStyle name="Normal 3" xfId="323" xr:uid="{00000000-0005-0000-0000-00007A110000}"/>
    <cellStyle name="Normal 3 2" xfId="324" xr:uid="{00000000-0005-0000-0000-00007B110000}"/>
    <cellStyle name="Normal 3 2 10" xfId="8935" xr:uid="{44AF8105-31BC-4E5E-9395-C3C3E5F6A8C4}"/>
    <cellStyle name="Normal 3 2 2" xfId="325" xr:uid="{00000000-0005-0000-0000-00007C110000}"/>
    <cellStyle name="Normal 3 2 2 2" xfId="810" xr:uid="{00000000-0005-0000-0000-00007D110000}"/>
    <cellStyle name="Normal 3 2 3" xfId="326" xr:uid="{00000000-0005-0000-0000-00007E110000}"/>
    <cellStyle name="Normal 3 2 3 10" xfId="8936" xr:uid="{090A1EB9-E9DC-4CCD-BF94-30978CEEC758}"/>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CC670F48-3A3F-411D-A60E-B52F0BC17FE6}"/>
    <cellStyle name="Normal 3 2 3 2 2 2 2 3" xfId="11497" xr:uid="{1D96096A-C16F-49E8-BDEE-CCF52629D8E0}"/>
    <cellStyle name="Normal 3 2 3 2 2 2 3" xfId="5128" xr:uid="{00000000-0005-0000-0000-000084110000}"/>
    <cellStyle name="Normal 3 2 3 2 2 2 3 2" xfId="13570" xr:uid="{7C546C4A-8286-45E7-9987-45B049FF299C}"/>
    <cellStyle name="Normal 3 2 3 2 2 2 4" xfId="9352" xr:uid="{DF45EAD3-B96B-462C-80C2-E02C6C6B216F}"/>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E1BE0DE8-323D-475E-92EE-11F77125FF09}"/>
    <cellStyle name="Normal 3 2 3 2 2 3 2 3" xfId="11910" xr:uid="{D77DFE41-682D-48CF-AB92-E56E6FCD9212}"/>
    <cellStyle name="Normal 3 2 3 2 2 3 3" xfId="5541" xr:uid="{00000000-0005-0000-0000-000088110000}"/>
    <cellStyle name="Normal 3 2 3 2 2 3 3 2" xfId="13983" xr:uid="{2B9CF120-3E7B-498A-A18F-7B624425191F}"/>
    <cellStyle name="Normal 3 2 3 2 2 3 4" xfId="9765" xr:uid="{5E19C9F1-747A-4D0C-9C64-1D6AE9FD6909}"/>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2C4AD980-3FC2-4979-8D50-234FF22B18BD}"/>
    <cellStyle name="Normal 3 2 3 2 2 4 2 3" xfId="12323" xr:uid="{C48A9920-3FD2-422B-B6CE-81515089DF67}"/>
    <cellStyle name="Normal 3 2 3 2 2 4 3" xfId="5954" xr:uid="{00000000-0005-0000-0000-00008C110000}"/>
    <cellStyle name="Normal 3 2 3 2 2 4 3 2" xfId="14396" xr:uid="{5E608E30-8220-4D33-8CF4-30F46E0CBA72}"/>
    <cellStyle name="Normal 3 2 3 2 2 4 4" xfId="10178" xr:uid="{C2486A5E-2DA5-4DCF-B84C-2F355435A738}"/>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2EE59B54-842C-42A3-91C1-529A4F67DB99}"/>
    <cellStyle name="Normal 3 2 3 2 2 5 2 3" xfId="12736" xr:uid="{4D36B6DC-324A-4C49-ACCF-8EBB79976EA7}"/>
    <cellStyle name="Normal 3 2 3 2 2 5 3" xfId="6367" xr:uid="{00000000-0005-0000-0000-000090110000}"/>
    <cellStyle name="Normal 3 2 3 2 2 5 3 2" xfId="14809" xr:uid="{7E0E2BA6-3A66-4544-8B42-FC600BD51B81}"/>
    <cellStyle name="Normal 3 2 3 2 2 5 4" xfId="10591" xr:uid="{4A727FD4-3305-4107-8BBC-8B59CC1B1A96}"/>
    <cellStyle name="Normal 3 2 3 2 2 6" xfId="2496" xr:uid="{00000000-0005-0000-0000-000091110000}"/>
    <cellStyle name="Normal 3 2 3 2 2 6 2" xfId="6780" xr:uid="{00000000-0005-0000-0000-000092110000}"/>
    <cellStyle name="Normal 3 2 3 2 2 6 2 2" xfId="15222" xr:uid="{E4916766-B8BB-4DBB-846C-9498769CA4C7}"/>
    <cellStyle name="Normal 3 2 3 2 2 6 3" xfId="11004" xr:uid="{778E4B48-3772-48EC-AE28-8E53C2825ABD}"/>
    <cellStyle name="Normal 3 2 3 2 2 7" xfId="4714" xr:uid="{00000000-0005-0000-0000-000093110000}"/>
    <cellStyle name="Normal 3 2 3 2 2 7 2" xfId="13156" xr:uid="{A5DB87B8-BC23-44F5-9C21-8826724E247E}"/>
    <cellStyle name="Normal 3 2 3 2 2 8" xfId="8938" xr:uid="{D4698632-5F7A-437A-A83C-7B23039E9A8A}"/>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5223F9FB-B7F3-4D5B-8D4D-D58DA028B71A}"/>
    <cellStyle name="Normal 3 2 3 2 3 2 3" xfId="11496" xr:uid="{8D48EA67-EA09-40B4-B56D-4218DEF4D11C}"/>
    <cellStyle name="Normal 3 2 3 2 3 3" xfId="5127" xr:uid="{00000000-0005-0000-0000-000097110000}"/>
    <cellStyle name="Normal 3 2 3 2 3 3 2" xfId="13569" xr:uid="{EC2688F5-CBAE-4EE3-A8BD-668930AD8918}"/>
    <cellStyle name="Normal 3 2 3 2 3 4" xfId="9351" xr:uid="{EC4F2675-16F8-4A2C-9A9C-639C19BE3FAD}"/>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FF360D08-F58A-4A39-831E-446E0BA84486}"/>
    <cellStyle name="Normal 3 2 3 2 4 2 3" xfId="11909" xr:uid="{0DB41E84-064D-4A77-99AF-239ACECB3B25}"/>
    <cellStyle name="Normal 3 2 3 2 4 3" xfId="5540" xr:uid="{00000000-0005-0000-0000-00009B110000}"/>
    <cellStyle name="Normal 3 2 3 2 4 3 2" xfId="13982" xr:uid="{BE257053-7A71-416D-B5A6-38B1666399AE}"/>
    <cellStyle name="Normal 3 2 3 2 4 4" xfId="9764" xr:uid="{1CB623B0-71BF-4358-8566-2C465ECCDF84}"/>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6930D80E-CA8E-4A5D-B9BB-BB862FB2490D}"/>
    <cellStyle name="Normal 3 2 3 2 5 2 3" xfId="12322" xr:uid="{EEF43806-4D04-4FDA-A2C6-912424E7C398}"/>
    <cellStyle name="Normal 3 2 3 2 5 3" xfId="5953" xr:uid="{00000000-0005-0000-0000-00009F110000}"/>
    <cellStyle name="Normal 3 2 3 2 5 3 2" xfId="14395" xr:uid="{14DE77A2-D789-4039-BB24-C2C0F9190E11}"/>
    <cellStyle name="Normal 3 2 3 2 5 4" xfId="10177" xr:uid="{B9F8A084-5033-46F5-ACBB-924EA7868CC2}"/>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89F04713-920F-4DB8-B2BE-FCC9307DF8E0}"/>
    <cellStyle name="Normal 3 2 3 2 6 2 3" xfId="12735" xr:uid="{6C221090-1AE1-439D-8EE1-5CD1D341ECDD}"/>
    <cellStyle name="Normal 3 2 3 2 6 3" xfId="6366" xr:uid="{00000000-0005-0000-0000-0000A3110000}"/>
    <cellStyle name="Normal 3 2 3 2 6 3 2" xfId="14808" xr:uid="{76EB4EF7-A0D4-4455-89E3-C66B46411082}"/>
    <cellStyle name="Normal 3 2 3 2 6 4" xfId="10590" xr:uid="{F2593C64-34E1-4BF1-8955-B279125CA57A}"/>
    <cellStyle name="Normal 3 2 3 2 7" xfId="2495" xr:uid="{00000000-0005-0000-0000-0000A4110000}"/>
    <cellStyle name="Normal 3 2 3 2 7 2" xfId="6779" xr:uid="{00000000-0005-0000-0000-0000A5110000}"/>
    <cellStyle name="Normal 3 2 3 2 7 2 2" xfId="15221" xr:uid="{654AC505-A9E7-42C4-8159-026D7D3C34F9}"/>
    <cellStyle name="Normal 3 2 3 2 7 3" xfId="11003" xr:uid="{C140F6FF-AC6A-455C-A337-CA99DF7BC908}"/>
    <cellStyle name="Normal 3 2 3 2 8" xfId="4713" xr:uid="{00000000-0005-0000-0000-0000A6110000}"/>
    <cellStyle name="Normal 3 2 3 2 8 2" xfId="13155" xr:uid="{3D451165-74CD-4056-9A40-BF040CECABB1}"/>
    <cellStyle name="Normal 3 2 3 2 9" xfId="8937" xr:uid="{E3A2229C-08BC-43FA-8039-382250881411}"/>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992E8C38-29EC-46D8-A8CF-B322A4D27CCC}"/>
    <cellStyle name="Normal 3 2 3 3 2 2 3" xfId="11498" xr:uid="{4FD18408-18FB-414C-9E4E-79DC0EE0C01B}"/>
    <cellStyle name="Normal 3 2 3 3 2 3" xfId="5129" xr:uid="{00000000-0005-0000-0000-0000AB110000}"/>
    <cellStyle name="Normal 3 2 3 3 2 3 2" xfId="13571" xr:uid="{22FFB0DC-E9CA-45D4-B7AF-C44300A425D0}"/>
    <cellStyle name="Normal 3 2 3 3 2 4" xfId="9353" xr:uid="{A8DC5C9E-9C8B-4FCC-82FB-CF1FD9CEC405}"/>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01EA9B8-2BC7-462F-9FEE-1CEE0238651F}"/>
    <cellStyle name="Normal 3 2 3 3 3 2 3" xfId="11911" xr:uid="{D28DF60A-B361-49C3-B655-9C29742899D3}"/>
    <cellStyle name="Normal 3 2 3 3 3 3" xfId="5542" xr:uid="{00000000-0005-0000-0000-0000AF110000}"/>
    <cellStyle name="Normal 3 2 3 3 3 3 2" xfId="13984" xr:uid="{E69C689E-BF5A-41B4-BE4A-107FE368BF74}"/>
    <cellStyle name="Normal 3 2 3 3 3 4" xfId="9766" xr:uid="{D005E76D-1866-4D84-BCB6-3FFD29B6CE9D}"/>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EB4F737A-36F3-4B3C-827C-520F9B34ECB1}"/>
    <cellStyle name="Normal 3 2 3 3 4 2 3" xfId="12324" xr:uid="{3390ED60-4C88-423F-A8D1-C0D11338E41D}"/>
    <cellStyle name="Normal 3 2 3 3 4 3" xfId="5955" xr:uid="{00000000-0005-0000-0000-0000B3110000}"/>
    <cellStyle name="Normal 3 2 3 3 4 3 2" xfId="14397" xr:uid="{38D15422-E291-462B-8115-9DCCBD4D0A0A}"/>
    <cellStyle name="Normal 3 2 3 3 4 4" xfId="10179" xr:uid="{6EA36882-FC1A-4015-AA05-7946E3190997}"/>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E28F8C5F-73B3-44EF-8670-E9A18CAC28FC}"/>
    <cellStyle name="Normal 3 2 3 3 5 2 3" xfId="12737" xr:uid="{EA532806-72EB-4316-9526-D0F1E7E4CD71}"/>
    <cellStyle name="Normal 3 2 3 3 5 3" xfId="6368" xr:uid="{00000000-0005-0000-0000-0000B7110000}"/>
    <cellStyle name="Normal 3 2 3 3 5 3 2" xfId="14810" xr:uid="{DDE2BF73-53A8-44DF-AD23-AE656200D330}"/>
    <cellStyle name="Normal 3 2 3 3 5 4" xfId="10592" xr:uid="{F18F98EC-E2BD-413C-B825-A207CE479071}"/>
    <cellStyle name="Normal 3 2 3 3 6" xfId="2497" xr:uid="{00000000-0005-0000-0000-0000B8110000}"/>
    <cellStyle name="Normal 3 2 3 3 6 2" xfId="6781" xr:uid="{00000000-0005-0000-0000-0000B9110000}"/>
    <cellStyle name="Normal 3 2 3 3 6 2 2" xfId="15223" xr:uid="{435A2EB8-4B98-4FFB-91DC-4EAF31507097}"/>
    <cellStyle name="Normal 3 2 3 3 6 3" xfId="11005" xr:uid="{1E82C066-0B4C-482E-B2FB-A3D7EEC7423C}"/>
    <cellStyle name="Normal 3 2 3 3 7" xfId="4715" xr:uid="{00000000-0005-0000-0000-0000BA110000}"/>
    <cellStyle name="Normal 3 2 3 3 7 2" xfId="13157" xr:uid="{951B58A1-D032-4DDC-A002-257B8799A3F8}"/>
    <cellStyle name="Normal 3 2 3 3 8" xfId="8939" xr:uid="{29A62BA8-0F1F-49FE-9C93-54BFC966ABD4}"/>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986BBB47-9B40-4406-92D2-0085765F02B2}"/>
    <cellStyle name="Normal 3 2 3 4 2 3" xfId="11495" xr:uid="{3ACF55A1-EB73-4605-B259-F1E0FE30447C}"/>
    <cellStyle name="Normal 3 2 3 4 3" xfId="5126" xr:uid="{00000000-0005-0000-0000-0000BE110000}"/>
    <cellStyle name="Normal 3 2 3 4 3 2" xfId="13568" xr:uid="{0FF63993-42C9-4E2E-906F-7023DCE5AF74}"/>
    <cellStyle name="Normal 3 2 3 4 4" xfId="9350" xr:uid="{14CC1E5C-C8A9-4F1B-A4B2-FE6F23062BF6}"/>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4A29D631-CE38-4B43-B82B-923CF4BB0E92}"/>
    <cellStyle name="Normal 3 2 3 5 2 3" xfId="11908" xr:uid="{124CDED9-0332-4FE1-8494-8B441401D7E2}"/>
    <cellStyle name="Normal 3 2 3 5 3" xfId="5539" xr:uid="{00000000-0005-0000-0000-0000C2110000}"/>
    <cellStyle name="Normal 3 2 3 5 3 2" xfId="13981" xr:uid="{8F678E22-1B80-4021-A1BF-25DE9700BA19}"/>
    <cellStyle name="Normal 3 2 3 5 4" xfId="9763" xr:uid="{B799B4B5-7228-471C-8F76-98570EF242E2}"/>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7FF55F1D-4F28-466D-A9B1-2D225EC5B6C1}"/>
    <cellStyle name="Normal 3 2 3 6 2 3" xfId="12321" xr:uid="{F58B8961-4CF7-4137-9232-A6A66CF4CBEA}"/>
    <cellStyle name="Normal 3 2 3 6 3" xfId="5952" xr:uid="{00000000-0005-0000-0000-0000C6110000}"/>
    <cellStyle name="Normal 3 2 3 6 3 2" xfId="14394" xr:uid="{7F003F37-CB5C-4E04-AB5E-88FF24B66094}"/>
    <cellStyle name="Normal 3 2 3 6 4" xfId="10176" xr:uid="{C6D8EBFE-2442-4DBE-B62B-1B7DFE125922}"/>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52CA1BDE-3747-41C9-A8F1-FFAD57D34CF4}"/>
    <cellStyle name="Normal 3 2 3 7 2 3" xfId="12734" xr:uid="{80467F12-ED15-4FDF-A238-2345DF8F3184}"/>
    <cellStyle name="Normal 3 2 3 7 3" xfId="6365" xr:uid="{00000000-0005-0000-0000-0000CA110000}"/>
    <cellStyle name="Normal 3 2 3 7 3 2" xfId="14807" xr:uid="{C638197D-6F32-4E89-90E5-AD6227053A03}"/>
    <cellStyle name="Normal 3 2 3 7 4" xfId="10589" xr:uid="{82663EBF-B4A1-4BF4-9028-5B501FE84225}"/>
    <cellStyle name="Normal 3 2 3 8" xfId="2494" xr:uid="{00000000-0005-0000-0000-0000CB110000}"/>
    <cellStyle name="Normal 3 2 3 8 2" xfId="6778" xr:uid="{00000000-0005-0000-0000-0000CC110000}"/>
    <cellStyle name="Normal 3 2 3 8 2 2" xfId="15220" xr:uid="{B1358C5F-0FE8-4933-A5A5-3B2697DADD14}"/>
    <cellStyle name="Normal 3 2 3 8 3" xfId="11002" xr:uid="{3B2F1E6A-BF91-4187-BF77-E4BAEFFEAB9D}"/>
    <cellStyle name="Normal 3 2 3 9" xfId="4712" xr:uid="{00000000-0005-0000-0000-0000CD110000}"/>
    <cellStyle name="Normal 3 2 3 9 2" xfId="13154" xr:uid="{AC60BDBE-A24F-4075-90E7-2C007593AEBB}"/>
    <cellStyle name="Normal 3 2 4" xfId="809" xr:uid="{00000000-0005-0000-0000-0000CE110000}"/>
    <cellStyle name="Normal 3 2 4 2" xfId="3047" xr:uid="{00000000-0005-0000-0000-0000CF110000}"/>
    <cellStyle name="Normal 3 2 4 2 2" xfId="7270" xr:uid="{00000000-0005-0000-0000-0000D0110000}"/>
    <cellStyle name="Normal 3 2 4 2 2 2" xfId="15712" xr:uid="{96EE1F3D-7E92-404F-842A-09CD3FEC86B1}"/>
    <cellStyle name="Normal 3 2 4 2 3" xfId="11494" xr:uid="{2606CA83-90CC-476C-83B6-C59ECB7C6099}"/>
    <cellStyle name="Normal 3 2 4 3" xfId="5125" xr:uid="{00000000-0005-0000-0000-0000D1110000}"/>
    <cellStyle name="Normal 3 2 4 3 2" xfId="13567" xr:uid="{6DC9A9E1-C13B-4EF5-9948-603ABE210D27}"/>
    <cellStyle name="Normal 3 2 4 4" xfId="9349" xr:uid="{9DCDC641-C263-4091-A4AD-70EFB77ED177}"/>
    <cellStyle name="Normal 3 2 5" xfId="1230" xr:uid="{00000000-0005-0000-0000-0000D2110000}"/>
    <cellStyle name="Normal 3 2 5 2" xfId="3460" xr:uid="{00000000-0005-0000-0000-0000D3110000}"/>
    <cellStyle name="Normal 3 2 5 2 2" xfId="7683" xr:uid="{00000000-0005-0000-0000-0000D4110000}"/>
    <cellStyle name="Normal 3 2 5 2 2 2" xfId="16125" xr:uid="{B868B8D7-295A-4321-AF61-BE662BB5B300}"/>
    <cellStyle name="Normal 3 2 5 2 3" xfId="11907" xr:uid="{1D6D2F34-9DB8-4E6B-9B78-8303BBC308E6}"/>
    <cellStyle name="Normal 3 2 5 3" xfId="5538" xr:uid="{00000000-0005-0000-0000-0000D5110000}"/>
    <cellStyle name="Normal 3 2 5 3 2" xfId="13980" xr:uid="{A88BB699-C184-47BF-ACF9-C64134305A78}"/>
    <cellStyle name="Normal 3 2 5 4" xfId="9762" xr:uid="{D30EB4B4-9B4D-4F6A-9CE9-E4F03D37FA11}"/>
    <cellStyle name="Normal 3 2 6" xfId="1643" xr:uid="{00000000-0005-0000-0000-0000D6110000}"/>
    <cellStyle name="Normal 3 2 6 2" xfId="3873" xr:uid="{00000000-0005-0000-0000-0000D7110000}"/>
    <cellStyle name="Normal 3 2 6 2 2" xfId="8096" xr:uid="{00000000-0005-0000-0000-0000D8110000}"/>
    <cellStyle name="Normal 3 2 6 2 2 2" xfId="16538" xr:uid="{51B9F1E3-AB30-46E3-A829-4810C207E6B4}"/>
    <cellStyle name="Normal 3 2 6 2 3" xfId="12320" xr:uid="{2B2D72FF-9122-4481-83C0-0E97AA4406CF}"/>
    <cellStyle name="Normal 3 2 6 3" xfId="5951" xr:uid="{00000000-0005-0000-0000-0000D9110000}"/>
    <cellStyle name="Normal 3 2 6 3 2" xfId="14393" xr:uid="{F7E02CCE-D761-4A1F-9B46-01403615B61A}"/>
    <cellStyle name="Normal 3 2 6 4" xfId="10175" xr:uid="{82731F67-BB25-4992-8CED-F5871DA2A078}"/>
    <cellStyle name="Normal 3 2 7" xfId="2057" xr:uid="{00000000-0005-0000-0000-0000DA110000}"/>
    <cellStyle name="Normal 3 2 7 2" xfId="4286" xr:uid="{00000000-0005-0000-0000-0000DB110000}"/>
    <cellStyle name="Normal 3 2 7 2 2" xfId="8509" xr:uid="{00000000-0005-0000-0000-0000DC110000}"/>
    <cellStyle name="Normal 3 2 7 2 2 2" xfId="16951" xr:uid="{18885B73-888C-4BE8-8F92-CF989EDBBE4B}"/>
    <cellStyle name="Normal 3 2 7 2 3" xfId="12733" xr:uid="{BFEC7BA0-5BB1-498C-AA90-B58D13DB1869}"/>
    <cellStyle name="Normal 3 2 7 3" xfId="6364" xr:uid="{00000000-0005-0000-0000-0000DD110000}"/>
    <cellStyle name="Normal 3 2 7 3 2" xfId="14806" xr:uid="{7EA9444E-C1A0-42A6-AB76-800114BEDC1B}"/>
    <cellStyle name="Normal 3 2 7 4" xfId="10588" xr:uid="{94885A49-8C00-493D-B6BD-3C4321F4A8F6}"/>
    <cellStyle name="Normal 3 2 8" xfId="2493" xr:uid="{00000000-0005-0000-0000-0000DE110000}"/>
    <cellStyle name="Normal 3 2 8 2" xfId="6777" xr:uid="{00000000-0005-0000-0000-0000DF110000}"/>
    <cellStyle name="Normal 3 2 8 2 2" xfId="15219" xr:uid="{D4940676-EBA5-45B5-84CE-C6D44922DA65}"/>
    <cellStyle name="Normal 3 2 8 3" xfId="11001" xr:uid="{118A092D-C1B6-46C8-A9C7-D49FAF0540AB}"/>
    <cellStyle name="Normal 3 2 9" xfId="4711" xr:uid="{00000000-0005-0000-0000-0000E0110000}"/>
    <cellStyle name="Normal 3 2 9 2" xfId="13153" xr:uid="{0E726162-83FF-403B-897C-E9FB1BF9BBC1}"/>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6D1BA9B0-AD91-4A5A-A964-BF4DD48767F1}"/>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B28D6B69-7854-4380-B43C-5F13BDDA568B}"/>
    <cellStyle name="Normal 4 2 2 10 2 3" xfId="12738" xr:uid="{C2A31005-332E-4AA7-B0EF-4F38A50421A3}"/>
    <cellStyle name="Normal 4 2 2 10 3" xfId="6369" xr:uid="{00000000-0005-0000-0000-0000ED110000}"/>
    <cellStyle name="Normal 4 2 2 10 3 2" xfId="14811" xr:uid="{B8AC3DBD-78C8-4755-AB9A-B4B565E2F1F4}"/>
    <cellStyle name="Normal 4 2 2 10 4" xfId="10593" xr:uid="{D57ED9BD-6C0E-4CA0-802E-07E044E6E565}"/>
    <cellStyle name="Normal 4 2 2 11" xfId="2498" xr:uid="{00000000-0005-0000-0000-0000EE110000}"/>
    <cellStyle name="Normal 4 2 2 11 2" xfId="6782" xr:uid="{00000000-0005-0000-0000-0000EF110000}"/>
    <cellStyle name="Normal 4 2 2 11 2 2" xfId="15224" xr:uid="{AE68438C-20F3-4CD1-A435-E56B27678FF2}"/>
    <cellStyle name="Normal 4 2 2 11 3" xfId="11006" xr:uid="{73294ACE-832E-4EC4-B18F-26727B421DCD}"/>
    <cellStyle name="Normal 4 2 2 12" xfId="4717" xr:uid="{00000000-0005-0000-0000-0000F0110000}"/>
    <cellStyle name="Normal 4 2 2 12 2" xfId="13159" xr:uid="{54D10066-DF05-43BD-A6A1-82DB7A048B2D}"/>
    <cellStyle name="Normal 4 2 2 13" xfId="8941" xr:uid="{15934463-22E7-4E95-BCFB-4A368B950596}"/>
    <cellStyle name="Normal 4 2 2 2" xfId="338" xr:uid="{00000000-0005-0000-0000-0000F1110000}"/>
    <cellStyle name="Normal 4 2 2 3" xfId="339" xr:uid="{00000000-0005-0000-0000-0000F2110000}"/>
    <cellStyle name="Normal 4 2 2 3 10" xfId="4718" xr:uid="{00000000-0005-0000-0000-0000F3110000}"/>
    <cellStyle name="Normal 4 2 2 3 10 2" xfId="13160" xr:uid="{7057733E-89CC-453E-9A2F-3C62E0024988}"/>
    <cellStyle name="Normal 4 2 2 3 11" xfId="8942" xr:uid="{BA95236A-AA82-4D86-901F-DA1AC0852035}"/>
    <cellStyle name="Normal 4 2 2 3 2" xfId="340" xr:uid="{00000000-0005-0000-0000-0000F4110000}"/>
    <cellStyle name="Normal 4 2 2 3 2 10" xfId="8943" xr:uid="{C5914EC8-9D8E-43A1-9AD1-E0484F7A7A36}"/>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35548CD3-A404-45FA-B70A-9A049DA69B7C}"/>
    <cellStyle name="Normal 4 2 2 3 2 2 2 2 2 3" xfId="11503" xr:uid="{5DEF68F2-B5D9-491C-B13A-042E913EDB2D}"/>
    <cellStyle name="Normal 4 2 2 3 2 2 2 2 3" xfId="5134" xr:uid="{00000000-0005-0000-0000-0000FA110000}"/>
    <cellStyle name="Normal 4 2 2 3 2 2 2 2 3 2" xfId="13576" xr:uid="{16918FD3-6359-4AD5-9917-9794FCBCC56B}"/>
    <cellStyle name="Normal 4 2 2 3 2 2 2 2 4" xfId="9358" xr:uid="{DE4F5C21-5A94-4575-89D0-E6ED576FF0FE}"/>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4E77013A-810B-47BD-999E-85C693D7FB96}"/>
    <cellStyle name="Normal 4 2 2 3 2 2 2 3 2 3" xfId="11916" xr:uid="{5A004E27-1655-42A8-B0FD-45D97F45CC0B}"/>
    <cellStyle name="Normal 4 2 2 3 2 2 2 3 3" xfId="5547" xr:uid="{00000000-0005-0000-0000-0000FE110000}"/>
    <cellStyle name="Normal 4 2 2 3 2 2 2 3 3 2" xfId="13989" xr:uid="{CBE7A118-E864-47B3-956D-197ABA7B6112}"/>
    <cellStyle name="Normal 4 2 2 3 2 2 2 3 4" xfId="9771" xr:uid="{FC21D868-2A71-4DE1-9C8A-770FB44271E8}"/>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8F893AF0-560B-417B-BA0B-1BF1D6A30284}"/>
    <cellStyle name="Normal 4 2 2 3 2 2 2 4 2 3" xfId="12329" xr:uid="{D9F97AFE-B355-46C4-AD41-3FADB26EF789}"/>
    <cellStyle name="Normal 4 2 2 3 2 2 2 4 3" xfId="5960" xr:uid="{00000000-0005-0000-0000-000002120000}"/>
    <cellStyle name="Normal 4 2 2 3 2 2 2 4 3 2" xfId="14402" xr:uid="{B7524D87-0FB5-4EDD-9AE4-496A3AF1E8E8}"/>
    <cellStyle name="Normal 4 2 2 3 2 2 2 4 4" xfId="10184" xr:uid="{FD55E06D-2F41-4A65-B9F0-DC2D394BEE3C}"/>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110140DA-0F99-49C5-81D7-B6CE31708B31}"/>
    <cellStyle name="Normal 4 2 2 3 2 2 2 5 2 3" xfId="12742" xr:uid="{E94D9E74-9044-467F-B152-E44FCA069851}"/>
    <cellStyle name="Normal 4 2 2 3 2 2 2 5 3" xfId="6373" xr:uid="{00000000-0005-0000-0000-000006120000}"/>
    <cellStyle name="Normal 4 2 2 3 2 2 2 5 3 2" xfId="14815" xr:uid="{84D5B394-1731-47A5-A19F-85811B794A5C}"/>
    <cellStyle name="Normal 4 2 2 3 2 2 2 5 4" xfId="10597" xr:uid="{76BC19BE-0513-4A01-A28E-8B62A2127F00}"/>
    <cellStyle name="Normal 4 2 2 3 2 2 2 6" xfId="2502" xr:uid="{00000000-0005-0000-0000-000007120000}"/>
    <cellStyle name="Normal 4 2 2 3 2 2 2 6 2" xfId="6786" xr:uid="{00000000-0005-0000-0000-000008120000}"/>
    <cellStyle name="Normal 4 2 2 3 2 2 2 6 2 2" xfId="15228" xr:uid="{B5D0429F-3BED-4B72-B908-EC7BE6A7C229}"/>
    <cellStyle name="Normal 4 2 2 3 2 2 2 6 3" xfId="11010" xr:uid="{A624A386-3F8A-416A-8FD2-1BE35A4533A0}"/>
    <cellStyle name="Normal 4 2 2 3 2 2 2 7" xfId="4721" xr:uid="{00000000-0005-0000-0000-000009120000}"/>
    <cellStyle name="Normal 4 2 2 3 2 2 2 7 2" xfId="13163" xr:uid="{7F3EB399-5CB2-4020-A8DD-3ED16B2C8CC6}"/>
    <cellStyle name="Normal 4 2 2 3 2 2 2 8" xfId="8945" xr:uid="{A9BF1384-82BD-4BFE-A1AB-40775E85DA59}"/>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011159E7-FB51-4A7F-91C1-43186B14C805}"/>
    <cellStyle name="Normal 4 2 2 3 2 2 3 2 3" xfId="11502" xr:uid="{39A7818E-8DB1-4996-9693-5E86FD90542B}"/>
    <cellStyle name="Normal 4 2 2 3 2 2 3 3" xfId="5133" xr:uid="{00000000-0005-0000-0000-00000D120000}"/>
    <cellStyle name="Normal 4 2 2 3 2 2 3 3 2" xfId="13575" xr:uid="{2D809AE9-B580-4FC6-B023-4663D10F9B5D}"/>
    <cellStyle name="Normal 4 2 2 3 2 2 3 4" xfId="9357" xr:uid="{736B64BC-B5BA-446D-A16C-CFC8A58571AF}"/>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33D0A9DF-DFE4-4AB6-984C-483807785977}"/>
    <cellStyle name="Normal 4 2 2 3 2 2 4 2 3" xfId="11915" xr:uid="{99AB6BF2-165C-4A81-997A-6E3B3C8130F2}"/>
    <cellStyle name="Normal 4 2 2 3 2 2 4 3" xfId="5546" xr:uid="{00000000-0005-0000-0000-000011120000}"/>
    <cellStyle name="Normal 4 2 2 3 2 2 4 3 2" xfId="13988" xr:uid="{0279BD7B-7C9C-4FA3-A457-B75B318C045E}"/>
    <cellStyle name="Normal 4 2 2 3 2 2 4 4" xfId="9770" xr:uid="{D38F90C3-9EF4-4ABA-9906-E158123AB407}"/>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A6407A9C-8336-43DE-8A55-4632EDEA93F2}"/>
    <cellStyle name="Normal 4 2 2 3 2 2 5 2 3" xfId="12328" xr:uid="{8097AB88-1820-4D5F-A63E-DAEA5D4B25F0}"/>
    <cellStyle name="Normal 4 2 2 3 2 2 5 3" xfId="5959" xr:uid="{00000000-0005-0000-0000-000015120000}"/>
    <cellStyle name="Normal 4 2 2 3 2 2 5 3 2" xfId="14401" xr:uid="{852BB41A-5C20-4B2A-807F-955CB28EF734}"/>
    <cellStyle name="Normal 4 2 2 3 2 2 5 4" xfId="10183" xr:uid="{6847CB65-29E3-45A0-A04E-4F15B6B87C48}"/>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8D040BEB-4A03-4763-9865-B339CD34BA1D}"/>
    <cellStyle name="Normal 4 2 2 3 2 2 6 2 3" xfId="12741" xr:uid="{E732E396-F3AB-4E7A-B717-5FA5D495F37C}"/>
    <cellStyle name="Normal 4 2 2 3 2 2 6 3" xfId="6372" xr:uid="{00000000-0005-0000-0000-000019120000}"/>
    <cellStyle name="Normal 4 2 2 3 2 2 6 3 2" xfId="14814" xr:uid="{3181ECBF-2D1D-4963-B522-F00306BF7F8E}"/>
    <cellStyle name="Normal 4 2 2 3 2 2 6 4" xfId="10596" xr:uid="{89D8B9DF-399B-499F-BA08-768E355FE781}"/>
    <cellStyle name="Normal 4 2 2 3 2 2 7" xfId="2501" xr:uid="{00000000-0005-0000-0000-00001A120000}"/>
    <cellStyle name="Normal 4 2 2 3 2 2 7 2" xfId="6785" xr:uid="{00000000-0005-0000-0000-00001B120000}"/>
    <cellStyle name="Normal 4 2 2 3 2 2 7 2 2" xfId="15227" xr:uid="{50E8DD12-7C68-40CA-9CFF-8E25A3BD44B1}"/>
    <cellStyle name="Normal 4 2 2 3 2 2 7 3" xfId="11009" xr:uid="{6AA1CFED-B556-497C-B359-4FF98F5B9D38}"/>
    <cellStyle name="Normal 4 2 2 3 2 2 8" xfId="4720" xr:uid="{00000000-0005-0000-0000-00001C120000}"/>
    <cellStyle name="Normal 4 2 2 3 2 2 8 2" xfId="13162" xr:uid="{6D9CD2CF-6AB6-49D4-9187-E43AD38D7440}"/>
    <cellStyle name="Normal 4 2 2 3 2 2 9" xfId="8944" xr:uid="{022DF74E-3AAE-4FAD-B729-0735B53BA63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DCC73F85-BC17-4865-97AE-40268A8873C3}"/>
    <cellStyle name="Normal 4 2 2 3 2 3 2 2 3" xfId="11504" xr:uid="{9455D504-DD5C-4C4E-BF1A-1FF1FCFB4362}"/>
    <cellStyle name="Normal 4 2 2 3 2 3 2 3" xfId="5135" xr:uid="{00000000-0005-0000-0000-000021120000}"/>
    <cellStyle name="Normal 4 2 2 3 2 3 2 3 2" xfId="13577" xr:uid="{924B1515-4D57-438C-B913-14AA9C54A34A}"/>
    <cellStyle name="Normal 4 2 2 3 2 3 2 4" xfId="9359" xr:uid="{200F4CBE-A486-431C-8FAF-7CF11B6EEE25}"/>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88EC2114-2F06-4EF8-B124-47DAFE0FCE4A}"/>
    <cellStyle name="Normal 4 2 2 3 2 3 3 2 3" xfId="11917" xr:uid="{3D1456D5-0761-4AAD-BEEA-E28EC0786AD5}"/>
    <cellStyle name="Normal 4 2 2 3 2 3 3 3" xfId="5548" xr:uid="{00000000-0005-0000-0000-000025120000}"/>
    <cellStyle name="Normal 4 2 2 3 2 3 3 3 2" xfId="13990" xr:uid="{A4F45F95-8893-4D18-AD74-32B893162C6B}"/>
    <cellStyle name="Normal 4 2 2 3 2 3 3 4" xfId="9772" xr:uid="{5CFA3656-FDFC-486E-853C-B2394AE66B21}"/>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757E4CDC-5029-41C3-9212-89FC316879A9}"/>
    <cellStyle name="Normal 4 2 2 3 2 3 4 2 3" xfId="12330" xr:uid="{48ED552C-56CA-4D9D-8D08-87B3090EF2A3}"/>
    <cellStyle name="Normal 4 2 2 3 2 3 4 3" xfId="5961" xr:uid="{00000000-0005-0000-0000-000029120000}"/>
    <cellStyle name="Normal 4 2 2 3 2 3 4 3 2" xfId="14403" xr:uid="{7FCAB9A8-AEC8-4745-8224-0756BC8A7D55}"/>
    <cellStyle name="Normal 4 2 2 3 2 3 4 4" xfId="10185" xr:uid="{2BA8F6D2-00C0-48E3-A331-945CDE7FDB82}"/>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9923C3F7-F065-4012-A822-2F5872A56293}"/>
    <cellStyle name="Normal 4 2 2 3 2 3 5 2 3" xfId="12743" xr:uid="{B7338997-DE63-4664-A508-5609086374DC}"/>
    <cellStyle name="Normal 4 2 2 3 2 3 5 3" xfId="6374" xr:uid="{00000000-0005-0000-0000-00002D120000}"/>
    <cellStyle name="Normal 4 2 2 3 2 3 5 3 2" xfId="14816" xr:uid="{DB7DF4C0-84D7-4AA9-833E-FB9C9325535A}"/>
    <cellStyle name="Normal 4 2 2 3 2 3 5 4" xfId="10598" xr:uid="{9AA48C1F-6882-4D54-BA26-BA16301284E7}"/>
    <cellStyle name="Normal 4 2 2 3 2 3 6" xfId="2503" xr:uid="{00000000-0005-0000-0000-00002E120000}"/>
    <cellStyle name="Normal 4 2 2 3 2 3 6 2" xfId="6787" xr:uid="{00000000-0005-0000-0000-00002F120000}"/>
    <cellStyle name="Normal 4 2 2 3 2 3 6 2 2" xfId="15229" xr:uid="{D9FDC433-C17B-4670-B9F0-B3E065E044A6}"/>
    <cellStyle name="Normal 4 2 2 3 2 3 6 3" xfId="11011" xr:uid="{3CDF9DE4-1B31-41EE-AE94-AF085B1C2BA8}"/>
    <cellStyle name="Normal 4 2 2 3 2 3 7" xfId="4722" xr:uid="{00000000-0005-0000-0000-000030120000}"/>
    <cellStyle name="Normal 4 2 2 3 2 3 7 2" xfId="13164" xr:uid="{D7500F95-E665-48A3-9ECC-0978A2C32F9D}"/>
    <cellStyle name="Normal 4 2 2 3 2 3 8" xfId="8946" xr:uid="{29924D26-1565-4307-94A0-5CA4327BF4C8}"/>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0DB4EAAD-89E1-42FB-AFC4-AA45456BF2A5}"/>
    <cellStyle name="Normal 4 2 2 3 2 4 2 3" xfId="11501" xr:uid="{61DB3396-3376-44C2-97B2-842D5F9C0B0A}"/>
    <cellStyle name="Normal 4 2 2 3 2 4 3" xfId="5132" xr:uid="{00000000-0005-0000-0000-000034120000}"/>
    <cellStyle name="Normal 4 2 2 3 2 4 3 2" xfId="13574" xr:uid="{31989A46-88E7-4C4C-ACE7-231FCE03C0BA}"/>
    <cellStyle name="Normal 4 2 2 3 2 4 4" xfId="9356" xr:uid="{D538BF29-7711-4F5F-A00A-83FC7CF56DC7}"/>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F0E854C5-E3E3-4013-8C30-D9EB42264B28}"/>
    <cellStyle name="Normal 4 2 2 3 2 5 2 3" xfId="11914" xr:uid="{4B2CD866-9B31-4461-8767-B29446058F7A}"/>
    <cellStyle name="Normal 4 2 2 3 2 5 3" xfId="5545" xr:uid="{00000000-0005-0000-0000-000038120000}"/>
    <cellStyle name="Normal 4 2 2 3 2 5 3 2" xfId="13987" xr:uid="{D9C3350F-7FE9-4C02-94FE-B6648774E597}"/>
    <cellStyle name="Normal 4 2 2 3 2 5 4" xfId="9769" xr:uid="{9C3A313A-0CD0-40C5-9B3F-94BAAAF04878}"/>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CAAB0FAF-838B-4E1E-877D-C4EEFE009F2B}"/>
    <cellStyle name="Normal 4 2 2 3 2 6 2 3" xfId="12327" xr:uid="{49179E10-6BEF-477D-A334-ADA7B8D985BD}"/>
    <cellStyle name="Normal 4 2 2 3 2 6 3" xfId="5958" xr:uid="{00000000-0005-0000-0000-00003C120000}"/>
    <cellStyle name="Normal 4 2 2 3 2 6 3 2" xfId="14400" xr:uid="{EDF7FEB7-2BCD-491D-893E-1309D9CC6F81}"/>
    <cellStyle name="Normal 4 2 2 3 2 6 4" xfId="10182" xr:uid="{2316C3D2-F224-477B-9D2C-7C56F275DFDA}"/>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4AB29AD4-1593-4786-82B7-EB7784F4C2A7}"/>
    <cellStyle name="Normal 4 2 2 3 2 7 2 3" xfId="12740" xr:uid="{AC866193-7A4D-4A68-8C61-DC3B1542B998}"/>
    <cellStyle name="Normal 4 2 2 3 2 7 3" xfId="6371" xr:uid="{00000000-0005-0000-0000-000040120000}"/>
    <cellStyle name="Normal 4 2 2 3 2 7 3 2" xfId="14813" xr:uid="{5FE69111-E8F6-458D-9FC2-A2419D0B9FE4}"/>
    <cellStyle name="Normal 4 2 2 3 2 7 4" xfId="10595" xr:uid="{97C1C282-BE6C-4CC9-BC26-1450B424A5D7}"/>
    <cellStyle name="Normal 4 2 2 3 2 8" xfId="2500" xr:uid="{00000000-0005-0000-0000-000041120000}"/>
    <cellStyle name="Normal 4 2 2 3 2 8 2" xfId="6784" xr:uid="{00000000-0005-0000-0000-000042120000}"/>
    <cellStyle name="Normal 4 2 2 3 2 8 2 2" xfId="15226" xr:uid="{6790F9E7-0412-4BBA-85EB-B75A1ED499B6}"/>
    <cellStyle name="Normal 4 2 2 3 2 8 3" xfId="11008" xr:uid="{6E241329-BE93-4FAE-BC57-9DDD6E9A4AFB}"/>
    <cellStyle name="Normal 4 2 2 3 2 9" xfId="4719" xr:uid="{00000000-0005-0000-0000-000043120000}"/>
    <cellStyle name="Normal 4 2 2 3 2 9 2" xfId="13161" xr:uid="{15D3ADA7-602F-4161-A4BC-CF0EBE023D91}"/>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E74F3279-E34D-4F83-B1D6-4861829B0A6F}"/>
    <cellStyle name="Normal 4 2 2 3 3 2 2 2 3" xfId="11506" xr:uid="{5DA6D2F0-85BF-4642-94A2-B5CC60AA9CEE}"/>
    <cellStyle name="Normal 4 2 2 3 3 2 2 3" xfId="5137" xr:uid="{00000000-0005-0000-0000-000049120000}"/>
    <cellStyle name="Normal 4 2 2 3 3 2 2 3 2" xfId="13579" xr:uid="{43627D8B-1979-4FF3-8419-40FEF68A7654}"/>
    <cellStyle name="Normal 4 2 2 3 3 2 2 4" xfId="9361" xr:uid="{1AB30586-E7C8-4EAB-B648-5284E0154024}"/>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E24C97CD-7D43-435C-882C-8F99FF6FC520}"/>
    <cellStyle name="Normal 4 2 2 3 3 2 3 2 3" xfId="11919" xr:uid="{CBD783C7-962A-4F08-9556-BA15E0D9FD93}"/>
    <cellStyle name="Normal 4 2 2 3 3 2 3 3" xfId="5550" xr:uid="{00000000-0005-0000-0000-00004D120000}"/>
    <cellStyle name="Normal 4 2 2 3 3 2 3 3 2" xfId="13992" xr:uid="{FEE538F6-93A8-4910-95D9-82FF82641FF0}"/>
    <cellStyle name="Normal 4 2 2 3 3 2 3 4" xfId="9774" xr:uid="{D13C93C8-2FA1-47D4-8F2E-F669DF215814}"/>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997D12F8-792E-487C-BA93-FB995DDBF6E2}"/>
    <cellStyle name="Normal 4 2 2 3 3 2 4 2 3" xfId="12332" xr:uid="{293BA547-4A70-4460-BD2A-5E9792A0C2B8}"/>
    <cellStyle name="Normal 4 2 2 3 3 2 4 3" xfId="5963" xr:uid="{00000000-0005-0000-0000-000051120000}"/>
    <cellStyle name="Normal 4 2 2 3 3 2 4 3 2" xfId="14405" xr:uid="{E1AF4CEB-290E-431D-A327-48F0A49950F8}"/>
    <cellStyle name="Normal 4 2 2 3 3 2 4 4" xfId="10187" xr:uid="{B25C899E-FC5A-42CF-93BD-AA4AE65E08EE}"/>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E5013A6A-E821-4147-A989-1E0651CE2CC3}"/>
    <cellStyle name="Normal 4 2 2 3 3 2 5 2 3" xfId="12745" xr:uid="{A95EA40E-29AB-49F2-A9D6-BFFF95CA1730}"/>
    <cellStyle name="Normal 4 2 2 3 3 2 5 3" xfId="6376" xr:uid="{00000000-0005-0000-0000-000055120000}"/>
    <cellStyle name="Normal 4 2 2 3 3 2 5 3 2" xfId="14818" xr:uid="{489F17C6-6601-4E3A-8B8B-E00F1CC2FF3D}"/>
    <cellStyle name="Normal 4 2 2 3 3 2 5 4" xfId="10600" xr:uid="{688BBA06-B501-42AB-9F3B-F6ACC7FA6C43}"/>
    <cellStyle name="Normal 4 2 2 3 3 2 6" xfId="2505" xr:uid="{00000000-0005-0000-0000-000056120000}"/>
    <cellStyle name="Normal 4 2 2 3 3 2 6 2" xfId="6789" xr:uid="{00000000-0005-0000-0000-000057120000}"/>
    <cellStyle name="Normal 4 2 2 3 3 2 6 2 2" xfId="15231" xr:uid="{60E428EF-5882-402C-95FD-150861FBC7B8}"/>
    <cellStyle name="Normal 4 2 2 3 3 2 6 3" xfId="11013" xr:uid="{E9508BD5-033B-4758-8EF3-FF3BE930F470}"/>
    <cellStyle name="Normal 4 2 2 3 3 2 7" xfId="4724" xr:uid="{00000000-0005-0000-0000-000058120000}"/>
    <cellStyle name="Normal 4 2 2 3 3 2 7 2" xfId="13166" xr:uid="{F4046DDB-25F3-43C1-AC7A-B9C3358B06F4}"/>
    <cellStyle name="Normal 4 2 2 3 3 2 8" xfId="8948" xr:uid="{D4E05E75-D5C2-47FD-88B8-224B56FB52BB}"/>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34133CB6-5BEF-480E-A89E-8C18A18CE895}"/>
    <cellStyle name="Normal 4 2 2 3 3 3 2 3" xfId="11505" xr:uid="{01A812ED-BEC0-455A-9845-4AA194DAB138}"/>
    <cellStyle name="Normal 4 2 2 3 3 3 3" xfId="5136" xr:uid="{00000000-0005-0000-0000-00005C120000}"/>
    <cellStyle name="Normal 4 2 2 3 3 3 3 2" xfId="13578" xr:uid="{A89550E9-AA5C-4784-B297-91C77F42BDD8}"/>
    <cellStyle name="Normal 4 2 2 3 3 3 4" xfId="9360" xr:uid="{EA5D2164-B8AD-44B6-8993-876256FDDDE4}"/>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EA0A6A0B-3E6E-462B-B455-00BF71E2C9F2}"/>
    <cellStyle name="Normal 4 2 2 3 3 4 2 3" xfId="11918" xr:uid="{7649CCEE-AC4E-476E-ACDE-759F47AF2806}"/>
    <cellStyle name="Normal 4 2 2 3 3 4 3" xfId="5549" xr:uid="{00000000-0005-0000-0000-000060120000}"/>
    <cellStyle name="Normal 4 2 2 3 3 4 3 2" xfId="13991" xr:uid="{C7B413BE-9BE6-4E3C-AB00-928AF847A653}"/>
    <cellStyle name="Normal 4 2 2 3 3 4 4" xfId="9773" xr:uid="{E18B32B3-7C77-4670-89BF-90088BCE431A}"/>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F8C97799-D721-4B46-964F-D9AA9D9F4627}"/>
    <cellStyle name="Normal 4 2 2 3 3 5 2 3" xfId="12331" xr:uid="{2B1FBEE4-E147-4FF9-8E7B-F795F8EF134A}"/>
    <cellStyle name="Normal 4 2 2 3 3 5 3" xfId="5962" xr:uid="{00000000-0005-0000-0000-000064120000}"/>
    <cellStyle name="Normal 4 2 2 3 3 5 3 2" xfId="14404" xr:uid="{C2111CF0-089C-4EF1-9E0F-E1CAA833FADF}"/>
    <cellStyle name="Normal 4 2 2 3 3 5 4" xfId="10186" xr:uid="{E4A0DE38-C334-4381-A078-2B11002456F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5E1FA445-32B3-4DE4-9DEC-E1AFD9F8F444}"/>
    <cellStyle name="Normal 4 2 2 3 3 6 2 3" xfId="12744" xr:uid="{FAF668C0-1C74-4C83-BDB0-E3AA8B1D70E7}"/>
    <cellStyle name="Normal 4 2 2 3 3 6 3" xfId="6375" xr:uid="{00000000-0005-0000-0000-000068120000}"/>
    <cellStyle name="Normal 4 2 2 3 3 6 3 2" xfId="14817" xr:uid="{553D6B30-7F76-4E8E-A6FB-6E9AFBB052D0}"/>
    <cellStyle name="Normal 4 2 2 3 3 6 4" xfId="10599" xr:uid="{8D502074-BE39-4A55-874F-959DD3919389}"/>
    <cellStyle name="Normal 4 2 2 3 3 7" xfId="2504" xr:uid="{00000000-0005-0000-0000-000069120000}"/>
    <cellStyle name="Normal 4 2 2 3 3 7 2" xfId="6788" xr:uid="{00000000-0005-0000-0000-00006A120000}"/>
    <cellStyle name="Normal 4 2 2 3 3 7 2 2" xfId="15230" xr:uid="{1B50E9DC-21E6-40F5-82BA-F70625083BE0}"/>
    <cellStyle name="Normal 4 2 2 3 3 7 3" xfId="11012" xr:uid="{E5372BE6-7BCD-4AFA-BB50-FBF87ABEF739}"/>
    <cellStyle name="Normal 4 2 2 3 3 8" xfId="4723" xr:uid="{00000000-0005-0000-0000-00006B120000}"/>
    <cellStyle name="Normal 4 2 2 3 3 8 2" xfId="13165" xr:uid="{C9B8541E-A297-4B45-9EC1-2426442873E6}"/>
    <cellStyle name="Normal 4 2 2 3 3 9" xfId="8947" xr:uid="{D514ACAD-0D12-4BEB-9F5A-6458F91948B5}"/>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3B395199-7622-4F5B-B677-CFAB434EA1BB}"/>
    <cellStyle name="Normal 4 2 2 3 4 2 2 3" xfId="11507" xr:uid="{9B077FE9-1715-4F2C-83CA-541CA5B610E5}"/>
    <cellStyle name="Normal 4 2 2 3 4 2 3" xfId="5138" xr:uid="{00000000-0005-0000-0000-000070120000}"/>
    <cellStyle name="Normal 4 2 2 3 4 2 3 2" xfId="13580" xr:uid="{D5469AF8-E5C3-4260-951D-B0C6FF381A51}"/>
    <cellStyle name="Normal 4 2 2 3 4 2 4" xfId="9362" xr:uid="{F2C1F697-164F-4543-8ABB-7A8D7704ACFF}"/>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DC1955BC-8DE6-4EB0-BBEB-1A3715DF6518}"/>
    <cellStyle name="Normal 4 2 2 3 4 3 2 3" xfId="11920" xr:uid="{6CDBDFC1-4199-4415-B283-64D03F60FC97}"/>
    <cellStyle name="Normal 4 2 2 3 4 3 3" xfId="5551" xr:uid="{00000000-0005-0000-0000-000074120000}"/>
    <cellStyle name="Normal 4 2 2 3 4 3 3 2" xfId="13993" xr:uid="{E9841FA4-6BBF-4152-85FF-A0A1868379D7}"/>
    <cellStyle name="Normal 4 2 2 3 4 3 4" xfId="9775" xr:uid="{70E2AAE4-56DF-447A-9396-B328612A6347}"/>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BDB4112C-CB5F-4783-B2C2-70458415E973}"/>
    <cellStyle name="Normal 4 2 2 3 4 4 2 3" xfId="12333" xr:uid="{1621527A-0869-42F1-B36C-611D16F3BD31}"/>
    <cellStyle name="Normal 4 2 2 3 4 4 3" xfId="5964" xr:uid="{00000000-0005-0000-0000-000078120000}"/>
    <cellStyle name="Normal 4 2 2 3 4 4 3 2" xfId="14406" xr:uid="{F58ECBB8-A8B8-4440-BDE9-059A75F846CA}"/>
    <cellStyle name="Normal 4 2 2 3 4 4 4" xfId="10188" xr:uid="{D228EF6C-FF27-4C92-9F8C-597A9F710CCF}"/>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65ED8A9A-0B22-4E5E-9F32-25B770CE73AB}"/>
    <cellStyle name="Normal 4 2 2 3 4 5 2 3" xfId="12746" xr:uid="{144E4DEB-3376-42D2-9A17-C81C50AFDF0D}"/>
    <cellStyle name="Normal 4 2 2 3 4 5 3" xfId="6377" xr:uid="{00000000-0005-0000-0000-00007C120000}"/>
    <cellStyle name="Normal 4 2 2 3 4 5 3 2" xfId="14819" xr:uid="{67C612BC-B5B2-4637-B5ED-744EF41AFE66}"/>
    <cellStyle name="Normal 4 2 2 3 4 5 4" xfId="10601" xr:uid="{E944A40E-185A-432A-9D2F-56157F931A2B}"/>
    <cellStyle name="Normal 4 2 2 3 4 6" xfId="2506" xr:uid="{00000000-0005-0000-0000-00007D120000}"/>
    <cellStyle name="Normal 4 2 2 3 4 6 2" xfId="6790" xr:uid="{00000000-0005-0000-0000-00007E120000}"/>
    <cellStyle name="Normal 4 2 2 3 4 6 2 2" xfId="15232" xr:uid="{BEFF5FA3-90FB-4E84-9732-C305597F8623}"/>
    <cellStyle name="Normal 4 2 2 3 4 6 3" xfId="11014" xr:uid="{606097F7-7DC3-4993-A8E5-4494280165EC}"/>
    <cellStyle name="Normal 4 2 2 3 4 7" xfId="4725" xr:uid="{00000000-0005-0000-0000-00007F120000}"/>
    <cellStyle name="Normal 4 2 2 3 4 7 2" xfId="13167" xr:uid="{8F1163F5-C5B2-4C07-9E70-1D085ADBBC0B}"/>
    <cellStyle name="Normal 4 2 2 3 4 8" xfId="8949" xr:uid="{11DA5B7B-E5E5-4BF9-8CF2-556046C77DD4}"/>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21672A9E-11EC-407B-94D0-B57B83DC7B33}"/>
    <cellStyle name="Normal 4 2 2 3 5 2 3" xfId="11500" xr:uid="{55531F3D-D38F-4AF2-A8AC-F3389F34F448}"/>
    <cellStyle name="Normal 4 2 2 3 5 3" xfId="5131" xr:uid="{00000000-0005-0000-0000-000083120000}"/>
    <cellStyle name="Normal 4 2 2 3 5 3 2" xfId="13573" xr:uid="{87EB38BE-6658-48A8-80B1-6A3E92C90E9D}"/>
    <cellStyle name="Normal 4 2 2 3 5 4" xfId="9355" xr:uid="{097DAFD8-464C-4533-935F-01439C9CFB3B}"/>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1E84FB20-60DC-4C74-B552-D168D22EE9A7}"/>
    <cellStyle name="Normal 4 2 2 3 6 2 3" xfId="11913" xr:uid="{9A206C49-2DE0-45DE-9177-387F8613B513}"/>
    <cellStyle name="Normal 4 2 2 3 6 3" xfId="5544" xr:uid="{00000000-0005-0000-0000-000087120000}"/>
    <cellStyle name="Normal 4 2 2 3 6 3 2" xfId="13986" xr:uid="{D08772AC-F3CF-4FD1-9A7C-6A0435F8CC69}"/>
    <cellStyle name="Normal 4 2 2 3 6 4" xfId="9768" xr:uid="{79F201C7-408C-4A77-A5CE-0300148A9515}"/>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52BE324D-E7EE-4A41-B39D-3B18A85B69A9}"/>
    <cellStyle name="Normal 4 2 2 3 7 2 3" xfId="12326" xr:uid="{21ED1853-E69C-43BA-92E0-06A671F2DFF3}"/>
    <cellStyle name="Normal 4 2 2 3 7 3" xfId="5957" xr:uid="{00000000-0005-0000-0000-00008B120000}"/>
    <cellStyle name="Normal 4 2 2 3 7 3 2" xfId="14399" xr:uid="{CC042E46-3ACF-4865-AE58-4997CC800994}"/>
    <cellStyle name="Normal 4 2 2 3 7 4" xfId="10181" xr:uid="{954672CC-7949-47DD-8A62-1CAEBB5E7C66}"/>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CD933A53-A21A-410B-97EC-9120915F01AF}"/>
    <cellStyle name="Normal 4 2 2 3 8 2 3" xfId="12739" xr:uid="{A0806493-DF3E-41C2-BE8D-9BE227043D13}"/>
    <cellStyle name="Normal 4 2 2 3 8 3" xfId="6370" xr:uid="{00000000-0005-0000-0000-00008F120000}"/>
    <cellStyle name="Normal 4 2 2 3 8 3 2" xfId="14812" xr:uid="{6F514DCF-662F-4B33-A732-1DD289784199}"/>
    <cellStyle name="Normal 4 2 2 3 8 4" xfId="10594" xr:uid="{0FBE47EA-05FA-46E6-B343-6C2A295FFDA5}"/>
    <cellStyle name="Normal 4 2 2 3 9" xfId="2499" xr:uid="{00000000-0005-0000-0000-000090120000}"/>
    <cellStyle name="Normal 4 2 2 3 9 2" xfId="6783" xr:uid="{00000000-0005-0000-0000-000091120000}"/>
    <cellStyle name="Normal 4 2 2 3 9 2 2" xfId="15225" xr:uid="{B982A86E-6954-4FB3-92C3-DA6BA9167B3C}"/>
    <cellStyle name="Normal 4 2 2 3 9 3" xfId="11007" xr:uid="{21455B3E-78F9-477C-9818-1338501AAC16}"/>
    <cellStyle name="Normal 4 2 2 4" xfId="347" xr:uid="{00000000-0005-0000-0000-000092120000}"/>
    <cellStyle name="Normal 4 2 2 4 10" xfId="8950" xr:uid="{CA4034E7-AD71-4343-BEB2-D135239F5273}"/>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74DDB6F3-2F15-4369-AD08-B20DFA71246F}"/>
    <cellStyle name="Normal 4 2 2 4 2 2 2 2 3" xfId="11510" xr:uid="{C4B40937-5E28-4830-96F3-14BC2F9F267B}"/>
    <cellStyle name="Normal 4 2 2 4 2 2 2 3" xfId="5141" xr:uid="{00000000-0005-0000-0000-000098120000}"/>
    <cellStyle name="Normal 4 2 2 4 2 2 2 3 2" xfId="13583" xr:uid="{411949EE-DE2F-4A25-891E-977CADD7AFEE}"/>
    <cellStyle name="Normal 4 2 2 4 2 2 2 4" xfId="9365" xr:uid="{64661C30-AA3B-403D-9B17-0226057E297E}"/>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DF22A324-01C3-4523-8342-A6BA6FD4C049}"/>
    <cellStyle name="Normal 4 2 2 4 2 2 3 2 3" xfId="11923" xr:uid="{EEB449AB-D35C-4888-9600-481A6A4FD81B}"/>
    <cellStyle name="Normal 4 2 2 4 2 2 3 3" xfId="5554" xr:uid="{00000000-0005-0000-0000-00009C120000}"/>
    <cellStyle name="Normal 4 2 2 4 2 2 3 3 2" xfId="13996" xr:uid="{D0400832-A3EE-407B-9591-3483E603FD77}"/>
    <cellStyle name="Normal 4 2 2 4 2 2 3 4" xfId="9778" xr:uid="{497E7430-27E3-4962-9C98-B0A7688F79B7}"/>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FC5E14BD-5498-4EA6-A718-9FBD00AB8AA0}"/>
    <cellStyle name="Normal 4 2 2 4 2 2 4 2 3" xfId="12336" xr:uid="{66665209-143C-4EAC-A754-B11FB26FAF05}"/>
    <cellStyle name="Normal 4 2 2 4 2 2 4 3" xfId="5967" xr:uid="{00000000-0005-0000-0000-0000A0120000}"/>
    <cellStyle name="Normal 4 2 2 4 2 2 4 3 2" xfId="14409" xr:uid="{0A8926E0-E839-4AD8-83F4-18615C8A0075}"/>
    <cellStyle name="Normal 4 2 2 4 2 2 4 4" xfId="10191" xr:uid="{15EBD188-673D-4021-9CF6-94D1ED7ED714}"/>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BA9E5EEE-FE58-44CF-99BA-71B16302971A}"/>
    <cellStyle name="Normal 4 2 2 4 2 2 5 2 3" xfId="12749" xr:uid="{2AE3E785-4880-444E-86C4-68DD7A962918}"/>
    <cellStyle name="Normal 4 2 2 4 2 2 5 3" xfId="6380" xr:uid="{00000000-0005-0000-0000-0000A4120000}"/>
    <cellStyle name="Normal 4 2 2 4 2 2 5 3 2" xfId="14822" xr:uid="{30AD9F41-622F-4B6D-9243-127F60B54E6B}"/>
    <cellStyle name="Normal 4 2 2 4 2 2 5 4" xfId="10604" xr:uid="{64C70826-2020-4FBF-8D30-910615D0BB5D}"/>
    <cellStyle name="Normal 4 2 2 4 2 2 6" xfId="2509" xr:uid="{00000000-0005-0000-0000-0000A5120000}"/>
    <cellStyle name="Normal 4 2 2 4 2 2 6 2" xfId="6793" xr:uid="{00000000-0005-0000-0000-0000A6120000}"/>
    <cellStyle name="Normal 4 2 2 4 2 2 6 2 2" xfId="15235" xr:uid="{9F466E4A-F4BA-4AF8-94BE-84440AC21C40}"/>
    <cellStyle name="Normal 4 2 2 4 2 2 6 3" xfId="11017" xr:uid="{0443C389-461A-455E-BB84-4D5CE50F1CC6}"/>
    <cellStyle name="Normal 4 2 2 4 2 2 7" xfId="4728" xr:uid="{00000000-0005-0000-0000-0000A7120000}"/>
    <cellStyle name="Normal 4 2 2 4 2 2 7 2" xfId="13170" xr:uid="{A222E561-E882-48AA-BD23-A2470EA9537D}"/>
    <cellStyle name="Normal 4 2 2 4 2 2 8" xfId="8952" xr:uid="{F16F35C0-8076-4EBA-BB96-073379E41A79}"/>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F3CFDECC-6202-488D-A1DC-59128E2AD349}"/>
    <cellStyle name="Normal 4 2 2 4 2 3 2 3" xfId="11509" xr:uid="{84CD66A0-E4B0-42EF-B9DE-D55F3B3311E6}"/>
    <cellStyle name="Normal 4 2 2 4 2 3 3" xfId="5140" xr:uid="{00000000-0005-0000-0000-0000AB120000}"/>
    <cellStyle name="Normal 4 2 2 4 2 3 3 2" xfId="13582" xr:uid="{405FB821-397E-48E2-9851-1020F84A38EC}"/>
    <cellStyle name="Normal 4 2 2 4 2 3 4" xfId="9364" xr:uid="{5E2C0512-36B3-4CB4-AB59-23597DBBFED3}"/>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1CF74AD4-CADF-4E03-93E5-4E7E82A0DDED}"/>
    <cellStyle name="Normal 4 2 2 4 2 4 2 3" xfId="11922" xr:uid="{7FD1034A-60AF-49E9-A022-97A9BE1075F6}"/>
    <cellStyle name="Normal 4 2 2 4 2 4 3" xfId="5553" xr:uid="{00000000-0005-0000-0000-0000AF120000}"/>
    <cellStyle name="Normal 4 2 2 4 2 4 3 2" xfId="13995" xr:uid="{AB0E93BC-EE16-4327-9975-02B0261612B4}"/>
    <cellStyle name="Normal 4 2 2 4 2 4 4" xfId="9777" xr:uid="{AEE76341-027B-4546-985C-7B543EFBAE66}"/>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FBC56BFD-CFE1-40BE-A982-1B20D4B202A0}"/>
    <cellStyle name="Normal 4 2 2 4 2 5 2 3" xfId="12335" xr:uid="{C26AC62A-75E9-4A0B-8D97-29C7FC083CB3}"/>
    <cellStyle name="Normal 4 2 2 4 2 5 3" xfId="5966" xr:uid="{00000000-0005-0000-0000-0000B3120000}"/>
    <cellStyle name="Normal 4 2 2 4 2 5 3 2" xfId="14408" xr:uid="{239386F5-1572-4167-AB0C-DB800AE556CF}"/>
    <cellStyle name="Normal 4 2 2 4 2 5 4" xfId="10190" xr:uid="{E61F44D5-E901-43C8-822C-0F608F97D509}"/>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E1E014DE-25D6-45B6-8C31-B86CF65147C7}"/>
    <cellStyle name="Normal 4 2 2 4 2 6 2 3" xfId="12748" xr:uid="{889D961A-4A2E-4C89-ABD4-938E94D8CDD1}"/>
    <cellStyle name="Normal 4 2 2 4 2 6 3" xfId="6379" xr:uid="{00000000-0005-0000-0000-0000B7120000}"/>
    <cellStyle name="Normal 4 2 2 4 2 6 3 2" xfId="14821" xr:uid="{EC7ED804-3F19-4BA6-A760-6206C4FDCDB2}"/>
    <cellStyle name="Normal 4 2 2 4 2 6 4" xfId="10603" xr:uid="{262DF8E8-7A05-4736-9430-D2EAA2B57251}"/>
    <cellStyle name="Normal 4 2 2 4 2 7" xfId="2508" xr:uid="{00000000-0005-0000-0000-0000B8120000}"/>
    <cellStyle name="Normal 4 2 2 4 2 7 2" xfId="6792" xr:uid="{00000000-0005-0000-0000-0000B9120000}"/>
    <cellStyle name="Normal 4 2 2 4 2 7 2 2" xfId="15234" xr:uid="{44979DF0-64A1-4A7F-9B08-8BB4A1BA82AC}"/>
    <cellStyle name="Normal 4 2 2 4 2 7 3" xfId="11016" xr:uid="{C260B68A-D294-4638-8E0A-14A32040F457}"/>
    <cellStyle name="Normal 4 2 2 4 2 8" xfId="4727" xr:uid="{00000000-0005-0000-0000-0000BA120000}"/>
    <cellStyle name="Normal 4 2 2 4 2 8 2" xfId="13169" xr:uid="{370FC95B-DC3F-4CAC-96B0-27DECAE0AF1C}"/>
    <cellStyle name="Normal 4 2 2 4 2 9" xfId="8951" xr:uid="{FACB05FE-A5CC-450D-8369-B64323954348}"/>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8A9E8F3E-674F-4624-AD64-2473EAF66BCC}"/>
    <cellStyle name="Normal 4 2 2 4 3 2 2 3" xfId="11511" xr:uid="{6FA81B0B-18D8-42D4-9D5F-B059BBFCD701}"/>
    <cellStyle name="Normal 4 2 2 4 3 2 3" xfId="5142" xr:uid="{00000000-0005-0000-0000-0000BF120000}"/>
    <cellStyle name="Normal 4 2 2 4 3 2 3 2" xfId="13584" xr:uid="{3208D4E6-6708-4DA2-9C63-496FF87871B0}"/>
    <cellStyle name="Normal 4 2 2 4 3 2 4" xfId="9366" xr:uid="{8B9759D0-00E4-44E0-B084-27B92991205F}"/>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A73D9F06-F1B5-4B61-8787-9313B95EDD9C}"/>
    <cellStyle name="Normal 4 2 2 4 3 3 2 3" xfId="11924" xr:uid="{F545B295-3CE9-46C6-AD0E-53F3EFDB5C13}"/>
    <cellStyle name="Normal 4 2 2 4 3 3 3" xfId="5555" xr:uid="{00000000-0005-0000-0000-0000C3120000}"/>
    <cellStyle name="Normal 4 2 2 4 3 3 3 2" xfId="13997" xr:uid="{418BDE31-F4B9-47BC-937B-E389FC81AC6A}"/>
    <cellStyle name="Normal 4 2 2 4 3 3 4" xfId="9779" xr:uid="{33CF336E-9CE6-4538-9F94-17D4CC0BA497}"/>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E790B8AE-2665-4C62-A644-8BDAEDEB6365}"/>
    <cellStyle name="Normal 4 2 2 4 3 4 2 3" xfId="12337" xr:uid="{2064395B-64C1-42E1-BC10-DDC662FBE179}"/>
    <cellStyle name="Normal 4 2 2 4 3 4 3" xfId="5968" xr:uid="{00000000-0005-0000-0000-0000C7120000}"/>
    <cellStyle name="Normal 4 2 2 4 3 4 3 2" xfId="14410" xr:uid="{16F73341-E2F2-4B09-8C0D-AAD36FD6519A}"/>
    <cellStyle name="Normal 4 2 2 4 3 4 4" xfId="10192" xr:uid="{95B614BA-17CB-40CE-9273-9009999F7341}"/>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7AD129FB-B628-4464-98D4-6978F9794991}"/>
    <cellStyle name="Normal 4 2 2 4 3 5 2 3" xfId="12750" xr:uid="{BD34D484-4C16-4A56-AA59-A4CE2F933BBE}"/>
    <cellStyle name="Normal 4 2 2 4 3 5 3" xfId="6381" xr:uid="{00000000-0005-0000-0000-0000CB120000}"/>
    <cellStyle name="Normal 4 2 2 4 3 5 3 2" xfId="14823" xr:uid="{1A19D14F-E849-4167-9497-0587B4FD4057}"/>
    <cellStyle name="Normal 4 2 2 4 3 5 4" xfId="10605" xr:uid="{6E258F1B-2D05-4E85-B18E-E987BEF346EA}"/>
    <cellStyle name="Normal 4 2 2 4 3 6" xfId="2510" xr:uid="{00000000-0005-0000-0000-0000CC120000}"/>
    <cellStyle name="Normal 4 2 2 4 3 6 2" xfId="6794" xr:uid="{00000000-0005-0000-0000-0000CD120000}"/>
    <cellStyle name="Normal 4 2 2 4 3 6 2 2" xfId="15236" xr:uid="{932D188E-E1A3-43A8-BC08-05A7F6965D12}"/>
    <cellStyle name="Normal 4 2 2 4 3 6 3" xfId="11018" xr:uid="{48E784E2-0EDD-486E-A69A-0C88E02C4EC5}"/>
    <cellStyle name="Normal 4 2 2 4 3 7" xfId="4729" xr:uid="{00000000-0005-0000-0000-0000CE120000}"/>
    <cellStyle name="Normal 4 2 2 4 3 7 2" xfId="13171" xr:uid="{CE4D836D-D7EB-4B06-9ACB-6ACEBBAA9A79}"/>
    <cellStyle name="Normal 4 2 2 4 3 8" xfId="8953" xr:uid="{7D20B225-E15D-4707-97C3-50B209426B7E}"/>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2E22B432-EF45-493F-A80C-72BF8006EE55}"/>
    <cellStyle name="Normal 4 2 2 4 4 2 3" xfId="11508" xr:uid="{3B0E562D-2CA7-4961-BCC5-E07D3108241F}"/>
    <cellStyle name="Normal 4 2 2 4 4 3" xfId="5139" xr:uid="{00000000-0005-0000-0000-0000D2120000}"/>
    <cellStyle name="Normal 4 2 2 4 4 3 2" xfId="13581" xr:uid="{A648462A-628D-4C1C-8F28-52F094660821}"/>
    <cellStyle name="Normal 4 2 2 4 4 4" xfId="9363" xr:uid="{DB0A8CB3-CD4C-4036-807A-B75F287B9FF6}"/>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BC1D2DF9-02C1-4651-BDBE-BE83EC0C59AA}"/>
    <cellStyle name="Normal 4 2 2 4 5 2 3" xfId="11921" xr:uid="{AFEB3ACD-6E16-4EFC-87E2-9329D9D34C4E}"/>
    <cellStyle name="Normal 4 2 2 4 5 3" xfId="5552" xr:uid="{00000000-0005-0000-0000-0000D6120000}"/>
    <cellStyle name="Normal 4 2 2 4 5 3 2" xfId="13994" xr:uid="{ECB11DAE-C7B7-4857-A459-4DE9BF7A8644}"/>
    <cellStyle name="Normal 4 2 2 4 5 4" xfId="9776" xr:uid="{027A9B20-E686-4B8D-83DC-4DB3E8E34DFD}"/>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85FDD01F-C42A-4680-A0E5-1E86A9010692}"/>
    <cellStyle name="Normal 4 2 2 4 6 2 3" xfId="12334" xr:uid="{709C0F13-0158-4A54-A62C-16E56045491E}"/>
    <cellStyle name="Normal 4 2 2 4 6 3" xfId="5965" xr:uid="{00000000-0005-0000-0000-0000DA120000}"/>
    <cellStyle name="Normal 4 2 2 4 6 3 2" xfId="14407" xr:uid="{BE57E0A6-D235-4EA7-B802-C192259A9999}"/>
    <cellStyle name="Normal 4 2 2 4 6 4" xfId="10189" xr:uid="{B64EDE06-DCAC-4AC5-98A7-722CC266CFCB}"/>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9A2BC10D-35D7-486A-B316-E3F4C965F972}"/>
    <cellStyle name="Normal 4 2 2 4 7 2 3" xfId="12747" xr:uid="{9F35CC1A-0DBD-4CD2-9F21-EA32BA6351D6}"/>
    <cellStyle name="Normal 4 2 2 4 7 3" xfId="6378" xr:uid="{00000000-0005-0000-0000-0000DE120000}"/>
    <cellStyle name="Normal 4 2 2 4 7 3 2" xfId="14820" xr:uid="{6196CA2C-468D-4CB6-BAE2-93C77AF2967E}"/>
    <cellStyle name="Normal 4 2 2 4 7 4" xfId="10602" xr:uid="{699A7AAC-B4AE-4449-A208-79431B71732C}"/>
    <cellStyle name="Normal 4 2 2 4 8" xfId="2507" xr:uid="{00000000-0005-0000-0000-0000DF120000}"/>
    <cellStyle name="Normal 4 2 2 4 8 2" xfId="6791" xr:uid="{00000000-0005-0000-0000-0000E0120000}"/>
    <cellStyle name="Normal 4 2 2 4 8 2 2" xfId="15233" xr:uid="{14080DE1-C567-477A-83C7-F1A6E1B5FD85}"/>
    <cellStyle name="Normal 4 2 2 4 8 3" xfId="11015" xr:uid="{E2340ED7-D574-4798-B490-19B4856B58B2}"/>
    <cellStyle name="Normal 4 2 2 4 9" xfId="4726" xr:uid="{00000000-0005-0000-0000-0000E1120000}"/>
    <cellStyle name="Normal 4 2 2 4 9 2" xfId="13168" xr:uid="{C0370359-8710-4E4C-85A2-21DDB7B11BA9}"/>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293EF896-EFCA-451B-B0DB-F38841B50C36}"/>
    <cellStyle name="Normal 4 2 2 5 2 2 2 3" xfId="11513" xr:uid="{EA2E537D-E30C-471A-AE03-0B0C6B50BCB7}"/>
    <cellStyle name="Normal 4 2 2 5 2 2 3" xfId="5144" xr:uid="{00000000-0005-0000-0000-0000E7120000}"/>
    <cellStyle name="Normal 4 2 2 5 2 2 3 2" xfId="13586" xr:uid="{EB616E43-92F5-42BF-A8E0-7521AB8FE006}"/>
    <cellStyle name="Normal 4 2 2 5 2 2 4" xfId="9368" xr:uid="{3F24B49C-EFE3-4018-A748-45764A4AF479}"/>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585D56D9-FB08-41AF-886B-4B2DD978385E}"/>
    <cellStyle name="Normal 4 2 2 5 2 3 2 3" xfId="11926" xr:uid="{DA21B3F1-E1E4-4AB4-8190-DFF8192E27B4}"/>
    <cellStyle name="Normal 4 2 2 5 2 3 3" xfId="5557" xr:uid="{00000000-0005-0000-0000-0000EB120000}"/>
    <cellStyle name="Normal 4 2 2 5 2 3 3 2" xfId="13999" xr:uid="{643DB24E-EEF4-47B3-89BC-C5E71D18A041}"/>
    <cellStyle name="Normal 4 2 2 5 2 3 4" xfId="9781" xr:uid="{DD87D94F-B0FA-4C7F-8375-EF8FB68057D1}"/>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C156AA7C-BC55-44BD-A01B-0E2D7A892306}"/>
    <cellStyle name="Normal 4 2 2 5 2 4 2 3" xfId="12339" xr:uid="{576633A4-E0E6-4684-84BA-546F5262B9D7}"/>
    <cellStyle name="Normal 4 2 2 5 2 4 3" xfId="5970" xr:uid="{00000000-0005-0000-0000-0000EF120000}"/>
    <cellStyle name="Normal 4 2 2 5 2 4 3 2" xfId="14412" xr:uid="{22E7A439-D029-43CD-87BD-79C5066326B4}"/>
    <cellStyle name="Normal 4 2 2 5 2 4 4" xfId="10194" xr:uid="{1EBAFB04-21B0-45A5-A16F-B6E27AF03CE8}"/>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CAD6B10C-0FF8-4AF9-A087-2B79401C422E}"/>
    <cellStyle name="Normal 4 2 2 5 2 5 2 3" xfId="12752" xr:uid="{B390951D-F97C-4BC6-B4F7-C2F3EF08139B}"/>
    <cellStyle name="Normal 4 2 2 5 2 5 3" xfId="6383" xr:uid="{00000000-0005-0000-0000-0000F3120000}"/>
    <cellStyle name="Normal 4 2 2 5 2 5 3 2" xfId="14825" xr:uid="{139C0D20-BE55-4B4F-8918-2AE7FE950F92}"/>
    <cellStyle name="Normal 4 2 2 5 2 5 4" xfId="10607" xr:uid="{C9495364-26D5-4DEC-A7F3-1A7F179F4B2F}"/>
    <cellStyle name="Normal 4 2 2 5 2 6" xfId="2512" xr:uid="{00000000-0005-0000-0000-0000F4120000}"/>
    <cellStyle name="Normal 4 2 2 5 2 6 2" xfId="6796" xr:uid="{00000000-0005-0000-0000-0000F5120000}"/>
    <cellStyle name="Normal 4 2 2 5 2 6 2 2" xfId="15238" xr:uid="{ECCD5B84-07EC-41ED-BD0F-02064058F7F1}"/>
    <cellStyle name="Normal 4 2 2 5 2 6 3" xfId="11020" xr:uid="{A5E4F21F-CEBB-42C5-B590-B45C1DB3D174}"/>
    <cellStyle name="Normal 4 2 2 5 2 7" xfId="4731" xr:uid="{00000000-0005-0000-0000-0000F6120000}"/>
    <cellStyle name="Normal 4 2 2 5 2 7 2" xfId="13173" xr:uid="{5E515627-5E4F-460C-9E7E-53EF743F4703}"/>
    <cellStyle name="Normal 4 2 2 5 2 8" xfId="8955" xr:uid="{FB2FA626-EC01-44B0-8EB1-53411B98FAEA}"/>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9BCB5F43-49B4-4D58-8D88-36F774E3ED53}"/>
    <cellStyle name="Normal 4 2 2 5 3 2 3" xfId="11512" xr:uid="{BCDE0221-4D5D-44F2-B1A8-66641C893C46}"/>
    <cellStyle name="Normal 4 2 2 5 3 3" xfId="5143" xr:uid="{00000000-0005-0000-0000-0000FA120000}"/>
    <cellStyle name="Normal 4 2 2 5 3 3 2" xfId="13585" xr:uid="{D51BA727-EE8D-4D60-9578-5A5AA862D689}"/>
    <cellStyle name="Normal 4 2 2 5 3 4" xfId="9367" xr:uid="{09CC8FF7-4D1C-4E0D-BD5D-0AD3AF76E848}"/>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B7FC6ABE-6C36-472F-9DF2-140996A5B52A}"/>
    <cellStyle name="Normal 4 2 2 5 4 2 3" xfId="11925" xr:uid="{6C78CDA2-707A-417D-8E23-D7255889C7D7}"/>
    <cellStyle name="Normal 4 2 2 5 4 3" xfId="5556" xr:uid="{00000000-0005-0000-0000-0000FE120000}"/>
    <cellStyle name="Normal 4 2 2 5 4 3 2" xfId="13998" xr:uid="{0CD8D1C3-AD1F-4514-BA51-243806B7DB4E}"/>
    <cellStyle name="Normal 4 2 2 5 4 4" xfId="9780" xr:uid="{443C56D0-9B9F-49A3-8CE9-A82B27C6F8B8}"/>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1AB157D9-9BFB-411E-8229-305D69564991}"/>
    <cellStyle name="Normal 4 2 2 5 5 2 3" xfId="12338" xr:uid="{1E41E7F8-FEBB-40E5-A549-F2FC71173768}"/>
    <cellStyle name="Normal 4 2 2 5 5 3" xfId="5969" xr:uid="{00000000-0005-0000-0000-000002130000}"/>
    <cellStyle name="Normal 4 2 2 5 5 3 2" xfId="14411" xr:uid="{8D429137-8E75-44DE-9B71-4D0301D25FB5}"/>
    <cellStyle name="Normal 4 2 2 5 5 4" xfId="10193" xr:uid="{290EA56C-BE9A-4888-8BE3-327F1CB4C33F}"/>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35839A7A-07E9-4FA2-AB3C-1B8384434BE6}"/>
    <cellStyle name="Normal 4 2 2 5 6 2 3" xfId="12751" xr:uid="{AB4ABDF3-6360-45C9-87AA-046B7E749BE4}"/>
    <cellStyle name="Normal 4 2 2 5 6 3" xfId="6382" xr:uid="{00000000-0005-0000-0000-000006130000}"/>
    <cellStyle name="Normal 4 2 2 5 6 3 2" xfId="14824" xr:uid="{63E98BB4-A8F5-4C62-9626-315E0FF17E40}"/>
    <cellStyle name="Normal 4 2 2 5 6 4" xfId="10606" xr:uid="{03EB6AFC-C875-48ED-A252-E217A86D3E27}"/>
    <cellStyle name="Normal 4 2 2 5 7" xfId="2511" xr:uid="{00000000-0005-0000-0000-000007130000}"/>
    <cellStyle name="Normal 4 2 2 5 7 2" xfId="6795" xr:uid="{00000000-0005-0000-0000-000008130000}"/>
    <cellStyle name="Normal 4 2 2 5 7 2 2" xfId="15237" xr:uid="{4DA9CBEE-E2E9-495B-BFF4-A4E13C0F8A42}"/>
    <cellStyle name="Normal 4 2 2 5 7 3" xfId="11019" xr:uid="{A20EA335-131E-4F4C-B7C7-8D54637C3869}"/>
    <cellStyle name="Normal 4 2 2 5 8" xfId="4730" xr:uid="{00000000-0005-0000-0000-000009130000}"/>
    <cellStyle name="Normal 4 2 2 5 8 2" xfId="13172" xr:uid="{C6BAF6C3-82C5-4B8C-AC2E-84329F321609}"/>
    <cellStyle name="Normal 4 2 2 5 9" xfId="8954" xr:uid="{3CE4C027-09E6-4CCF-9DC9-C1C3BBCC5DAC}"/>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C22A9AA8-B7C1-417C-AFE9-620269C3CA2B}"/>
    <cellStyle name="Normal 4 2 2 6 2 2 3" xfId="11514" xr:uid="{F17F6DF9-6D30-467E-B6D0-C57A29B646AA}"/>
    <cellStyle name="Normal 4 2 2 6 2 3" xfId="5145" xr:uid="{00000000-0005-0000-0000-00000E130000}"/>
    <cellStyle name="Normal 4 2 2 6 2 3 2" xfId="13587" xr:uid="{388CC9C9-390D-4BCF-A145-9CDDC1ED429D}"/>
    <cellStyle name="Normal 4 2 2 6 2 4" xfId="9369" xr:uid="{EF5EB5EE-D277-4839-AE54-DD4C2996AC29}"/>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455937A0-1076-4A7F-A93A-8653061A0398}"/>
    <cellStyle name="Normal 4 2 2 6 3 2 3" xfId="11927" xr:uid="{AB0FB977-7D2D-4F30-AC07-17CE80CD9922}"/>
    <cellStyle name="Normal 4 2 2 6 3 3" xfId="5558" xr:uid="{00000000-0005-0000-0000-000012130000}"/>
    <cellStyle name="Normal 4 2 2 6 3 3 2" xfId="14000" xr:uid="{2DBF7630-95CF-4967-96AA-D04CCE980311}"/>
    <cellStyle name="Normal 4 2 2 6 3 4" xfId="9782" xr:uid="{A2092AEB-06C1-441B-83CA-BB5693BC2CB8}"/>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8E680637-37E8-4B53-98C8-D0E1DD3D5919}"/>
    <cellStyle name="Normal 4 2 2 6 4 2 3" xfId="12340" xr:uid="{2B5A7FF9-56F3-45A7-A5F6-C47A4B3E2C97}"/>
    <cellStyle name="Normal 4 2 2 6 4 3" xfId="5971" xr:uid="{00000000-0005-0000-0000-000016130000}"/>
    <cellStyle name="Normal 4 2 2 6 4 3 2" xfId="14413" xr:uid="{5855F0DE-6825-45D8-A1F7-FF885D921603}"/>
    <cellStyle name="Normal 4 2 2 6 4 4" xfId="10195" xr:uid="{3332FE1C-CFFA-42FB-840C-8CEB619E5619}"/>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BB46EF0D-2406-4AA0-9729-3311D8053DEB}"/>
    <cellStyle name="Normal 4 2 2 6 5 2 3" xfId="12753" xr:uid="{7F7F428A-27A4-4450-9ACE-A380B778A0E2}"/>
    <cellStyle name="Normal 4 2 2 6 5 3" xfId="6384" xr:uid="{00000000-0005-0000-0000-00001A130000}"/>
    <cellStyle name="Normal 4 2 2 6 5 3 2" xfId="14826" xr:uid="{EEBA0352-A989-4893-B679-658AF1C386D7}"/>
    <cellStyle name="Normal 4 2 2 6 5 4" xfId="10608" xr:uid="{E659CEA5-DD5B-4677-8707-16B28480EAC2}"/>
    <cellStyle name="Normal 4 2 2 6 6" xfId="2513" xr:uid="{00000000-0005-0000-0000-00001B130000}"/>
    <cellStyle name="Normal 4 2 2 6 6 2" xfId="6797" xr:uid="{00000000-0005-0000-0000-00001C130000}"/>
    <cellStyle name="Normal 4 2 2 6 6 2 2" xfId="15239" xr:uid="{2809F95F-3E75-4FD9-9C73-28B6E9BF81EC}"/>
    <cellStyle name="Normal 4 2 2 6 6 3" xfId="11021" xr:uid="{A8BC5579-A1A7-46CA-AEEE-592E467C4FCD}"/>
    <cellStyle name="Normal 4 2 2 6 7" xfId="4732" xr:uid="{00000000-0005-0000-0000-00001D130000}"/>
    <cellStyle name="Normal 4 2 2 6 7 2" xfId="13174" xr:uid="{2CCCBC31-6F4F-4D99-9195-2A6C8BF21970}"/>
    <cellStyle name="Normal 4 2 2 6 8" xfId="8956" xr:uid="{A894DF53-010D-4D10-951E-F096DE03EA55}"/>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28211807-8AAC-4688-B6E1-93B53C10DAEE}"/>
    <cellStyle name="Normal 4 2 2 7 2 3" xfId="11499" xr:uid="{D042653E-A188-4CB6-A9E3-70D973ACB39D}"/>
    <cellStyle name="Normal 4 2 2 7 3" xfId="5130" xr:uid="{00000000-0005-0000-0000-000021130000}"/>
    <cellStyle name="Normal 4 2 2 7 3 2" xfId="13572" xr:uid="{2E11C17A-DBE5-4CC0-91DD-94B32C29F524}"/>
    <cellStyle name="Normal 4 2 2 7 4" xfId="9354" xr:uid="{97F385E2-2C83-426D-9066-58BBBE89F63E}"/>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E4C358FF-F13A-4C50-803A-BBE17C9A1021}"/>
    <cellStyle name="Normal 4 2 2 8 2 3" xfId="11912" xr:uid="{EE262044-9578-4974-B74D-DD1ABAE205EF}"/>
    <cellStyle name="Normal 4 2 2 8 3" xfId="5543" xr:uid="{00000000-0005-0000-0000-000025130000}"/>
    <cellStyle name="Normal 4 2 2 8 3 2" xfId="13985" xr:uid="{5700DBD5-E702-406D-A67E-4BF311CE226B}"/>
    <cellStyle name="Normal 4 2 2 8 4" xfId="9767" xr:uid="{B47CA93A-F42B-4552-AF85-1BB57E886ADA}"/>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1B0080AA-AC9E-4440-8BB3-FEF294847390}"/>
    <cellStyle name="Normal 4 2 2 9 2 3" xfId="12325" xr:uid="{D9EC9416-4F92-444D-9915-6C44646AB0C2}"/>
    <cellStyle name="Normal 4 2 2 9 3" xfId="5956" xr:uid="{00000000-0005-0000-0000-000029130000}"/>
    <cellStyle name="Normal 4 2 2 9 3 2" xfId="14398" xr:uid="{50092E77-9F04-4113-93CC-F3D7FFFA1C45}"/>
    <cellStyle name="Normal 4 2 2 9 4" xfId="10180" xr:uid="{225A9A33-B421-48CB-9995-7C923C961A56}"/>
    <cellStyle name="Normal 4 2 3" xfId="354" xr:uid="{00000000-0005-0000-0000-00002A130000}"/>
    <cellStyle name="Normal 4 2 4" xfId="355" xr:uid="{00000000-0005-0000-0000-00002B130000}"/>
    <cellStyle name="Normal 4 2 4 10" xfId="4733" xr:uid="{00000000-0005-0000-0000-00002C130000}"/>
    <cellStyle name="Normal 4 2 4 10 2" xfId="13175" xr:uid="{DC575BDC-8BC6-4BA3-BE00-61D8B502E4B8}"/>
    <cellStyle name="Normal 4 2 4 11" xfId="8957" xr:uid="{7E4CC693-AE42-48F2-B5E9-D40085580676}"/>
    <cellStyle name="Normal 4 2 4 2" xfId="356" xr:uid="{00000000-0005-0000-0000-00002D130000}"/>
    <cellStyle name="Normal 4 2 4 2 10" xfId="8958" xr:uid="{8F08D309-6E57-42C7-938D-45C364BD11A3}"/>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0714D22D-F9DE-45C4-9A57-DB84305B3E44}"/>
    <cellStyle name="Normal 4 2 4 2 2 2 2 2 3" xfId="11518" xr:uid="{DFA2EF2E-A665-4B63-930A-42292BDCAF17}"/>
    <cellStyle name="Normal 4 2 4 2 2 2 2 3" xfId="5149" xr:uid="{00000000-0005-0000-0000-000033130000}"/>
    <cellStyle name="Normal 4 2 4 2 2 2 2 3 2" xfId="13591" xr:uid="{B8B727F9-44B1-4AAC-B870-856E64ED1338}"/>
    <cellStyle name="Normal 4 2 4 2 2 2 2 4" xfId="9373" xr:uid="{D4237EA7-C099-42AB-BB21-FDAFD594F376}"/>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20627484-AF9C-4900-8C7D-EEF490097F77}"/>
    <cellStyle name="Normal 4 2 4 2 2 2 3 2 3" xfId="11931" xr:uid="{833270EB-D7CD-4AFD-8857-3EC560C6535C}"/>
    <cellStyle name="Normal 4 2 4 2 2 2 3 3" xfId="5562" xr:uid="{00000000-0005-0000-0000-000037130000}"/>
    <cellStyle name="Normal 4 2 4 2 2 2 3 3 2" xfId="14004" xr:uid="{3D2528EF-8860-4CE9-943E-62A640FB1807}"/>
    <cellStyle name="Normal 4 2 4 2 2 2 3 4" xfId="9786" xr:uid="{AA437F5D-1F85-4FEF-83BA-D465F446E209}"/>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9B2F2EA9-64FB-40E4-AEDC-72505A216DCC}"/>
    <cellStyle name="Normal 4 2 4 2 2 2 4 2 3" xfId="12344" xr:uid="{01ECDBF0-10E0-47C3-8C41-476C23657EE4}"/>
    <cellStyle name="Normal 4 2 4 2 2 2 4 3" xfId="5975" xr:uid="{00000000-0005-0000-0000-00003B130000}"/>
    <cellStyle name="Normal 4 2 4 2 2 2 4 3 2" xfId="14417" xr:uid="{EEF5766D-E28E-40AA-B74B-02DBDA2B909E}"/>
    <cellStyle name="Normal 4 2 4 2 2 2 4 4" xfId="10199" xr:uid="{D0206316-F3B3-49E4-8190-EBAFF57187E6}"/>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54D7FC8A-B293-4987-A5A3-0B2021CEA267}"/>
    <cellStyle name="Normal 4 2 4 2 2 2 5 2 3" xfId="12757" xr:uid="{B105507F-DEFB-44F7-BD45-CACD3AF96375}"/>
    <cellStyle name="Normal 4 2 4 2 2 2 5 3" xfId="6388" xr:uid="{00000000-0005-0000-0000-00003F130000}"/>
    <cellStyle name="Normal 4 2 4 2 2 2 5 3 2" xfId="14830" xr:uid="{C76A5BEF-E315-4FD2-B1F4-74F46248DCB7}"/>
    <cellStyle name="Normal 4 2 4 2 2 2 5 4" xfId="10612" xr:uid="{C38DD473-B2E9-4E8E-B210-87CE33EB963F}"/>
    <cellStyle name="Normal 4 2 4 2 2 2 6" xfId="2517" xr:uid="{00000000-0005-0000-0000-000040130000}"/>
    <cellStyle name="Normal 4 2 4 2 2 2 6 2" xfId="6801" xr:uid="{00000000-0005-0000-0000-000041130000}"/>
    <cellStyle name="Normal 4 2 4 2 2 2 6 2 2" xfId="15243" xr:uid="{C5AB10D3-F0D3-4334-AD73-0FBFBC43718D}"/>
    <cellStyle name="Normal 4 2 4 2 2 2 6 3" xfId="11025" xr:uid="{066839A4-BBC7-469E-B842-7BB164BFFF61}"/>
    <cellStyle name="Normal 4 2 4 2 2 2 7" xfId="4736" xr:uid="{00000000-0005-0000-0000-000042130000}"/>
    <cellStyle name="Normal 4 2 4 2 2 2 7 2" xfId="13178" xr:uid="{D6A65BEC-64A9-4B45-A1C9-759722EAD051}"/>
    <cellStyle name="Normal 4 2 4 2 2 2 8" xfId="8960" xr:uid="{6D35C265-008A-4F69-9CCA-422D84F423ED}"/>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AED26F15-ACFB-4DDF-B2EE-2C93443EABC5}"/>
    <cellStyle name="Normal 4 2 4 2 2 3 2 3" xfId="11517" xr:uid="{0F5314A4-FEEB-4EB4-931C-D908A4130A8C}"/>
    <cellStyle name="Normal 4 2 4 2 2 3 3" xfId="5148" xr:uid="{00000000-0005-0000-0000-000046130000}"/>
    <cellStyle name="Normal 4 2 4 2 2 3 3 2" xfId="13590" xr:uid="{6AEB2F1D-CD49-42B1-9809-E4996EEC0B51}"/>
    <cellStyle name="Normal 4 2 4 2 2 3 4" xfId="9372" xr:uid="{169E80A8-6E6B-4E2E-995D-00163B9425D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7FCE3517-FD62-4F18-95C2-52BB745CF5D3}"/>
    <cellStyle name="Normal 4 2 4 2 2 4 2 3" xfId="11930" xr:uid="{5356D15C-3690-4928-98BF-467742495DF9}"/>
    <cellStyle name="Normal 4 2 4 2 2 4 3" xfId="5561" xr:uid="{00000000-0005-0000-0000-00004A130000}"/>
    <cellStyle name="Normal 4 2 4 2 2 4 3 2" xfId="14003" xr:uid="{98779F3A-E0A4-4D45-BF6F-CBB96A51046C}"/>
    <cellStyle name="Normal 4 2 4 2 2 4 4" xfId="9785" xr:uid="{9FF517E1-66E0-4601-A4A5-53D02C42DF0C}"/>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6EF1E527-CD21-4FC3-B2BE-8347F0541D48}"/>
    <cellStyle name="Normal 4 2 4 2 2 5 2 3" xfId="12343" xr:uid="{DD51701A-76F4-45B2-9361-0EE0979E3476}"/>
    <cellStyle name="Normal 4 2 4 2 2 5 3" xfId="5974" xr:uid="{00000000-0005-0000-0000-00004E130000}"/>
    <cellStyle name="Normal 4 2 4 2 2 5 3 2" xfId="14416" xr:uid="{2810D767-2D33-4504-AADD-9DAF29C77040}"/>
    <cellStyle name="Normal 4 2 4 2 2 5 4" xfId="10198" xr:uid="{B745EB7B-6B87-4C1B-9800-E0887810969B}"/>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42BA99D4-4A80-478C-9BF0-CAD5BE54012D}"/>
    <cellStyle name="Normal 4 2 4 2 2 6 2 3" xfId="12756" xr:uid="{0F8D3B2A-5896-4614-A068-157A6BCC0877}"/>
    <cellStyle name="Normal 4 2 4 2 2 6 3" xfId="6387" xr:uid="{00000000-0005-0000-0000-000052130000}"/>
    <cellStyle name="Normal 4 2 4 2 2 6 3 2" xfId="14829" xr:uid="{5BE80C88-675A-483A-96B2-24D77BDE3101}"/>
    <cellStyle name="Normal 4 2 4 2 2 6 4" xfId="10611" xr:uid="{3ABBD523-3AF5-49D9-936C-0D09D2604A36}"/>
    <cellStyle name="Normal 4 2 4 2 2 7" xfId="2516" xr:uid="{00000000-0005-0000-0000-000053130000}"/>
    <cellStyle name="Normal 4 2 4 2 2 7 2" xfId="6800" xr:uid="{00000000-0005-0000-0000-000054130000}"/>
    <cellStyle name="Normal 4 2 4 2 2 7 2 2" xfId="15242" xr:uid="{D57C0503-274C-477A-A82E-F394DDBED489}"/>
    <cellStyle name="Normal 4 2 4 2 2 7 3" xfId="11024" xr:uid="{1F650157-78B3-4A61-BD19-3BE6533A2222}"/>
    <cellStyle name="Normal 4 2 4 2 2 8" xfId="4735" xr:uid="{00000000-0005-0000-0000-000055130000}"/>
    <cellStyle name="Normal 4 2 4 2 2 8 2" xfId="13177" xr:uid="{6C52F09C-3894-4BFF-9AA5-4162634A499B}"/>
    <cellStyle name="Normal 4 2 4 2 2 9" xfId="8959" xr:uid="{F29D6846-D287-400A-A240-B550724A30F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B51CE147-FAF2-4378-9BE4-3877CF35DB71}"/>
    <cellStyle name="Normal 4 2 4 2 3 2 2 3" xfId="11519" xr:uid="{B4F72470-7B2D-4F17-8082-224E66D6A39E}"/>
    <cellStyle name="Normal 4 2 4 2 3 2 3" xfId="5150" xr:uid="{00000000-0005-0000-0000-00005A130000}"/>
    <cellStyle name="Normal 4 2 4 2 3 2 3 2" xfId="13592" xr:uid="{51910354-1BCE-4B03-A192-7A3E6204E446}"/>
    <cellStyle name="Normal 4 2 4 2 3 2 4" xfId="9374" xr:uid="{3B008875-4586-4091-9123-943C0FCB2BB3}"/>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53668464-AF33-4409-B9CF-C363207B1395}"/>
    <cellStyle name="Normal 4 2 4 2 3 3 2 3" xfId="11932" xr:uid="{C4305D75-3105-4E99-98EB-E6220317D3A5}"/>
    <cellStyle name="Normal 4 2 4 2 3 3 3" xfId="5563" xr:uid="{00000000-0005-0000-0000-00005E130000}"/>
    <cellStyle name="Normal 4 2 4 2 3 3 3 2" xfId="14005" xr:uid="{6108F1CC-66BA-4C45-97FA-BAC107B73E62}"/>
    <cellStyle name="Normal 4 2 4 2 3 3 4" xfId="9787" xr:uid="{1C51EF27-4179-4DD3-8850-90257B3DEF11}"/>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F370DAE7-E9FE-47BA-9C85-E195C29450F6}"/>
    <cellStyle name="Normal 4 2 4 2 3 4 2 3" xfId="12345" xr:uid="{A6B65713-5635-46B5-9815-29D2C8D40486}"/>
    <cellStyle name="Normal 4 2 4 2 3 4 3" xfId="5976" xr:uid="{00000000-0005-0000-0000-000062130000}"/>
    <cellStyle name="Normal 4 2 4 2 3 4 3 2" xfId="14418" xr:uid="{0F395D97-4FC8-45E5-B29A-9EA62B31BF34}"/>
    <cellStyle name="Normal 4 2 4 2 3 4 4" xfId="10200" xr:uid="{8AA1BAAE-B8A9-4738-8439-F923EF1DCBCE}"/>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308A1EC4-A60A-435B-A8CF-285E88B354B0}"/>
    <cellStyle name="Normal 4 2 4 2 3 5 2 3" xfId="12758" xr:uid="{4775CCD2-C28D-4904-A704-47873328145A}"/>
    <cellStyle name="Normal 4 2 4 2 3 5 3" xfId="6389" xr:uid="{00000000-0005-0000-0000-000066130000}"/>
    <cellStyle name="Normal 4 2 4 2 3 5 3 2" xfId="14831" xr:uid="{F0EC690F-EBE0-4795-914D-1D6E26E2B884}"/>
    <cellStyle name="Normal 4 2 4 2 3 5 4" xfId="10613" xr:uid="{CC4CF977-544A-4F31-9E11-D98D430C2EB7}"/>
    <cellStyle name="Normal 4 2 4 2 3 6" xfId="2518" xr:uid="{00000000-0005-0000-0000-000067130000}"/>
    <cellStyle name="Normal 4 2 4 2 3 6 2" xfId="6802" xr:uid="{00000000-0005-0000-0000-000068130000}"/>
    <cellStyle name="Normal 4 2 4 2 3 6 2 2" xfId="15244" xr:uid="{CE4CA6E6-14B1-4E83-9546-D36EC66DA378}"/>
    <cellStyle name="Normal 4 2 4 2 3 6 3" xfId="11026" xr:uid="{FAAD575A-2B04-48A2-8157-152A378799A9}"/>
    <cellStyle name="Normal 4 2 4 2 3 7" xfId="4737" xr:uid="{00000000-0005-0000-0000-000069130000}"/>
    <cellStyle name="Normal 4 2 4 2 3 7 2" xfId="13179" xr:uid="{99640638-7192-4A34-8765-BAD843A0121E}"/>
    <cellStyle name="Normal 4 2 4 2 3 8" xfId="8961" xr:uid="{62E45068-1C85-46AE-95A6-AE3D1775EEC1}"/>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D2E02B8F-E777-4036-828A-6DCA95B68DB5}"/>
    <cellStyle name="Normal 4 2 4 2 4 2 3" xfId="11516" xr:uid="{80591BA3-97F5-4E69-A5B6-05625BB4964C}"/>
    <cellStyle name="Normal 4 2 4 2 4 3" xfId="5147" xr:uid="{00000000-0005-0000-0000-00006D130000}"/>
    <cellStyle name="Normal 4 2 4 2 4 3 2" xfId="13589" xr:uid="{4E212634-C3AC-4BBC-B89C-22DC24F16744}"/>
    <cellStyle name="Normal 4 2 4 2 4 4" xfId="9371" xr:uid="{F6A619B1-C16D-44EE-B8CE-6409D13CD3AA}"/>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39BE3CCE-5702-4B91-8497-D2BC945725A2}"/>
    <cellStyle name="Normal 4 2 4 2 5 2 3" xfId="11929" xr:uid="{86773CA1-7182-4D3D-9B9A-ADFE0CCBFD86}"/>
    <cellStyle name="Normal 4 2 4 2 5 3" xfId="5560" xr:uid="{00000000-0005-0000-0000-000071130000}"/>
    <cellStyle name="Normal 4 2 4 2 5 3 2" xfId="14002" xr:uid="{CA273E20-2C4A-4D40-8129-C128FEE5D037}"/>
    <cellStyle name="Normal 4 2 4 2 5 4" xfId="9784" xr:uid="{4F42051F-5480-4D56-8C67-9392AFC4F38B}"/>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12046AFC-CDDF-43A8-BDB2-C2F5A36952E1}"/>
    <cellStyle name="Normal 4 2 4 2 6 2 3" xfId="12342" xr:uid="{6A355893-9EDC-4383-AB49-08DED69A0921}"/>
    <cellStyle name="Normal 4 2 4 2 6 3" xfId="5973" xr:uid="{00000000-0005-0000-0000-000075130000}"/>
    <cellStyle name="Normal 4 2 4 2 6 3 2" xfId="14415" xr:uid="{3066B3D0-EBAF-41FD-9006-D01720942A66}"/>
    <cellStyle name="Normal 4 2 4 2 6 4" xfId="10197" xr:uid="{ECA4CFEE-4503-43C9-8A17-BA47E4A40520}"/>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1B11F44E-414F-48F6-A6CA-054283DCC5FD}"/>
    <cellStyle name="Normal 4 2 4 2 7 2 3" xfId="12755" xr:uid="{85B3B045-DC38-4662-8BF6-83ED169B5C17}"/>
    <cellStyle name="Normal 4 2 4 2 7 3" xfId="6386" xr:uid="{00000000-0005-0000-0000-000079130000}"/>
    <cellStyle name="Normal 4 2 4 2 7 3 2" xfId="14828" xr:uid="{B5FE2FD1-3065-4682-AB90-45B2F7BDB824}"/>
    <cellStyle name="Normal 4 2 4 2 7 4" xfId="10610" xr:uid="{018F8CDE-14FB-4A93-A2F1-D0182E1B4190}"/>
    <cellStyle name="Normal 4 2 4 2 8" xfId="2515" xr:uid="{00000000-0005-0000-0000-00007A130000}"/>
    <cellStyle name="Normal 4 2 4 2 8 2" xfId="6799" xr:uid="{00000000-0005-0000-0000-00007B130000}"/>
    <cellStyle name="Normal 4 2 4 2 8 2 2" xfId="15241" xr:uid="{D05E03D5-6FA9-4753-B6E6-C102E6D87E5F}"/>
    <cellStyle name="Normal 4 2 4 2 8 3" xfId="11023" xr:uid="{8A77320E-C401-45A9-872F-74DB84248C8D}"/>
    <cellStyle name="Normal 4 2 4 2 9" xfId="4734" xr:uid="{00000000-0005-0000-0000-00007C130000}"/>
    <cellStyle name="Normal 4 2 4 2 9 2" xfId="13176" xr:uid="{8093371F-9349-48D3-AAE7-03545FB9BC09}"/>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A4BC7128-1995-4D05-92B6-737A3FE1A16A}"/>
    <cellStyle name="Normal 4 2 4 3 2 2 2 3" xfId="11521" xr:uid="{C7E727F5-4606-40D9-83E8-FEF159EAAED8}"/>
    <cellStyle name="Normal 4 2 4 3 2 2 3" xfId="5152" xr:uid="{00000000-0005-0000-0000-000082130000}"/>
    <cellStyle name="Normal 4 2 4 3 2 2 3 2" xfId="13594" xr:uid="{712C1172-60CB-4A7E-931A-C90E4C28FB53}"/>
    <cellStyle name="Normal 4 2 4 3 2 2 4" xfId="9376" xr:uid="{3E2159E8-4B3C-416C-A350-3A1EDA4D83C8}"/>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810F04A4-B8CC-4280-A5B5-AE842AEFC6FF}"/>
    <cellStyle name="Normal 4 2 4 3 2 3 2 3" xfId="11934" xr:uid="{6D3AC678-B1D8-4646-A50B-05B0C66FE45E}"/>
    <cellStyle name="Normal 4 2 4 3 2 3 3" xfId="5565" xr:uid="{00000000-0005-0000-0000-000086130000}"/>
    <cellStyle name="Normal 4 2 4 3 2 3 3 2" xfId="14007" xr:uid="{8900F899-2494-41D2-9296-3806D32DDC4A}"/>
    <cellStyle name="Normal 4 2 4 3 2 3 4" xfId="9789" xr:uid="{90B51CCD-1CF2-419E-8FC8-9CB6D1191CDA}"/>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A2614591-817F-4621-969F-7347CA4F9F0D}"/>
    <cellStyle name="Normal 4 2 4 3 2 4 2 3" xfId="12347" xr:uid="{A4F395FA-CF8F-42A3-BCD3-00F656B8FA13}"/>
    <cellStyle name="Normal 4 2 4 3 2 4 3" xfId="5978" xr:uid="{00000000-0005-0000-0000-00008A130000}"/>
    <cellStyle name="Normal 4 2 4 3 2 4 3 2" xfId="14420" xr:uid="{C8E1DACD-6E76-45D0-91D2-19ECA9E3078C}"/>
    <cellStyle name="Normal 4 2 4 3 2 4 4" xfId="10202" xr:uid="{62FB2F86-7F45-420B-B619-9ED4DC7892FE}"/>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480539E4-8464-4F4B-B60B-ADB03BCF900C}"/>
    <cellStyle name="Normal 4 2 4 3 2 5 2 3" xfId="12760" xr:uid="{9ED8BAFC-15CD-42BA-B851-3E7EFEDD97D6}"/>
    <cellStyle name="Normal 4 2 4 3 2 5 3" xfId="6391" xr:uid="{00000000-0005-0000-0000-00008E130000}"/>
    <cellStyle name="Normal 4 2 4 3 2 5 3 2" xfId="14833" xr:uid="{E995791D-67ED-40AF-B012-2FD9790F6308}"/>
    <cellStyle name="Normal 4 2 4 3 2 5 4" xfId="10615" xr:uid="{196BE6D3-CDB5-464B-A86A-EB2EB5058CDB}"/>
    <cellStyle name="Normal 4 2 4 3 2 6" xfId="2520" xr:uid="{00000000-0005-0000-0000-00008F130000}"/>
    <cellStyle name="Normal 4 2 4 3 2 6 2" xfId="6804" xr:uid="{00000000-0005-0000-0000-000090130000}"/>
    <cellStyle name="Normal 4 2 4 3 2 6 2 2" xfId="15246" xr:uid="{9E892BA0-ADD9-4C9D-9D4E-7768F88DBB28}"/>
    <cellStyle name="Normal 4 2 4 3 2 6 3" xfId="11028" xr:uid="{C877E315-0ED7-4045-91D0-7B73549F372D}"/>
    <cellStyle name="Normal 4 2 4 3 2 7" xfId="4739" xr:uid="{00000000-0005-0000-0000-000091130000}"/>
    <cellStyle name="Normal 4 2 4 3 2 7 2" xfId="13181" xr:uid="{6B79EF5A-6135-46B8-9831-F2102EDDA5A1}"/>
    <cellStyle name="Normal 4 2 4 3 2 8" xfId="8963" xr:uid="{1179B1FC-6BC0-4ADE-BC1E-5E9213FAF10C}"/>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DE159828-0FBF-4AF7-BAE9-1FAC76E9F96E}"/>
    <cellStyle name="Normal 4 2 4 3 3 2 3" xfId="11520" xr:uid="{FFA10DB4-BA11-4620-A1D3-69800A586122}"/>
    <cellStyle name="Normal 4 2 4 3 3 3" xfId="5151" xr:uid="{00000000-0005-0000-0000-000095130000}"/>
    <cellStyle name="Normal 4 2 4 3 3 3 2" xfId="13593" xr:uid="{CCD52EA9-A7CD-4FA3-9C56-BF415C27D8DC}"/>
    <cellStyle name="Normal 4 2 4 3 3 4" xfId="9375" xr:uid="{6518B979-95EC-4A3F-B086-19AC69253479}"/>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F8F331FC-44C9-46DC-BD1A-B09692738CA2}"/>
    <cellStyle name="Normal 4 2 4 3 4 2 3" xfId="11933" xr:uid="{6FE6CCD5-5477-4B94-9C27-4C03FFF5A2FF}"/>
    <cellStyle name="Normal 4 2 4 3 4 3" xfId="5564" xr:uid="{00000000-0005-0000-0000-000099130000}"/>
    <cellStyle name="Normal 4 2 4 3 4 3 2" xfId="14006" xr:uid="{814DEFA5-0A4E-4644-8288-708B79BB282C}"/>
    <cellStyle name="Normal 4 2 4 3 4 4" xfId="9788" xr:uid="{29768401-6D77-4304-9C65-FDF0599CBD37}"/>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CD7D67FF-C80E-4C2B-99A9-1C8691395C5D}"/>
    <cellStyle name="Normal 4 2 4 3 5 2 3" xfId="12346" xr:uid="{2CAE97FE-5731-43B5-B98E-1853BBAC80B7}"/>
    <cellStyle name="Normal 4 2 4 3 5 3" xfId="5977" xr:uid="{00000000-0005-0000-0000-00009D130000}"/>
    <cellStyle name="Normal 4 2 4 3 5 3 2" xfId="14419" xr:uid="{05B193E7-C436-4D4B-B7F3-F1C0771AEC3A}"/>
    <cellStyle name="Normal 4 2 4 3 5 4" xfId="10201" xr:uid="{915FBD5D-1E42-492F-AAB5-763950182E8D}"/>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4C6C92B6-400D-4DD8-B0DA-EB898F2B48AF}"/>
    <cellStyle name="Normal 4 2 4 3 6 2 3" xfId="12759" xr:uid="{BE129637-3B62-44ED-8D52-86FBB1AAFFC7}"/>
    <cellStyle name="Normal 4 2 4 3 6 3" xfId="6390" xr:uid="{00000000-0005-0000-0000-0000A1130000}"/>
    <cellStyle name="Normal 4 2 4 3 6 3 2" xfId="14832" xr:uid="{6A9383D1-FCC6-4FE8-9E32-164804C3D8C9}"/>
    <cellStyle name="Normal 4 2 4 3 6 4" xfId="10614" xr:uid="{810E082C-0E5B-45EA-8DF9-543E8580BAFD}"/>
    <cellStyle name="Normal 4 2 4 3 7" xfId="2519" xr:uid="{00000000-0005-0000-0000-0000A2130000}"/>
    <cellStyle name="Normal 4 2 4 3 7 2" xfId="6803" xr:uid="{00000000-0005-0000-0000-0000A3130000}"/>
    <cellStyle name="Normal 4 2 4 3 7 2 2" xfId="15245" xr:uid="{18FBB73A-81C5-41B4-B3DD-22406CDD400C}"/>
    <cellStyle name="Normal 4 2 4 3 7 3" xfId="11027" xr:uid="{48C0857D-8253-4BFB-94F7-C755414BEF6C}"/>
    <cellStyle name="Normal 4 2 4 3 8" xfId="4738" xr:uid="{00000000-0005-0000-0000-0000A4130000}"/>
    <cellStyle name="Normal 4 2 4 3 8 2" xfId="13180" xr:uid="{AB1E5523-61DD-4B55-8637-262428C7C438}"/>
    <cellStyle name="Normal 4 2 4 3 9" xfId="8962" xr:uid="{9CED83AC-EF31-429B-A8BF-260787043793}"/>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C22C8556-E856-454D-BFEA-7AF44D796615}"/>
    <cellStyle name="Normal 4 2 4 4 2 2 3" xfId="11522" xr:uid="{76A98DFB-DD4A-468A-85F7-CD54A440E4E2}"/>
    <cellStyle name="Normal 4 2 4 4 2 3" xfId="5153" xr:uid="{00000000-0005-0000-0000-0000A9130000}"/>
    <cellStyle name="Normal 4 2 4 4 2 3 2" xfId="13595" xr:uid="{97C3A6EC-6A1F-45B7-B264-3BA218A29100}"/>
    <cellStyle name="Normal 4 2 4 4 2 4" xfId="9377" xr:uid="{79A163AF-594E-4C2B-AC89-62B3FE41F7C0}"/>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B66227B5-6E4C-482D-81ED-D3506B5F6877}"/>
    <cellStyle name="Normal 4 2 4 4 3 2 3" xfId="11935" xr:uid="{64D04988-7091-4B07-B3CE-01237871119A}"/>
    <cellStyle name="Normal 4 2 4 4 3 3" xfId="5566" xr:uid="{00000000-0005-0000-0000-0000AD130000}"/>
    <cellStyle name="Normal 4 2 4 4 3 3 2" xfId="14008" xr:uid="{0A078D4A-5812-4AD7-96FA-23019AE41F1B}"/>
    <cellStyle name="Normal 4 2 4 4 3 4" xfId="9790" xr:uid="{EDAC5CAA-8E2F-4752-A9C4-CABDABAADFF5}"/>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628D7939-30FA-4954-922F-A15EAB58EE76}"/>
    <cellStyle name="Normal 4 2 4 4 4 2 3" xfId="12348" xr:uid="{E34E629A-90EF-4468-A4DA-CFD504D87A7E}"/>
    <cellStyle name="Normal 4 2 4 4 4 3" xfId="5979" xr:uid="{00000000-0005-0000-0000-0000B1130000}"/>
    <cellStyle name="Normal 4 2 4 4 4 3 2" xfId="14421" xr:uid="{038DE9D9-148D-4434-A3A9-4CDB4162C879}"/>
    <cellStyle name="Normal 4 2 4 4 4 4" xfId="10203" xr:uid="{1D68A7A2-A87F-495C-ACB7-85572758C9B9}"/>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3B5009B9-91C2-4EA5-9331-87C9707D7B9C}"/>
    <cellStyle name="Normal 4 2 4 4 5 2 3" xfId="12761" xr:uid="{24B5B247-41B4-45D8-B9B4-AA10946FBC0E}"/>
    <cellStyle name="Normal 4 2 4 4 5 3" xfId="6392" xr:uid="{00000000-0005-0000-0000-0000B5130000}"/>
    <cellStyle name="Normal 4 2 4 4 5 3 2" xfId="14834" xr:uid="{2263A1F7-FC96-4080-817F-59F945EFFD96}"/>
    <cellStyle name="Normal 4 2 4 4 5 4" xfId="10616" xr:uid="{7A49E126-AB3E-4994-A21B-C0BA98EA3D36}"/>
    <cellStyle name="Normal 4 2 4 4 6" xfId="2521" xr:uid="{00000000-0005-0000-0000-0000B6130000}"/>
    <cellStyle name="Normal 4 2 4 4 6 2" xfId="6805" xr:uid="{00000000-0005-0000-0000-0000B7130000}"/>
    <cellStyle name="Normal 4 2 4 4 6 2 2" xfId="15247" xr:uid="{54DD1DF2-2902-4036-AC57-7CF327768EF7}"/>
    <cellStyle name="Normal 4 2 4 4 6 3" xfId="11029" xr:uid="{0380F10E-0E91-4D1B-8289-928605331006}"/>
    <cellStyle name="Normal 4 2 4 4 7" xfId="4740" xr:uid="{00000000-0005-0000-0000-0000B8130000}"/>
    <cellStyle name="Normal 4 2 4 4 7 2" xfId="13182" xr:uid="{46570AC6-5F3E-4183-B8F1-369C7D6CC329}"/>
    <cellStyle name="Normal 4 2 4 4 8" xfId="8964" xr:uid="{5EC16786-362B-47EE-A9F6-27DD29DED060}"/>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820703F7-5DF3-42C5-A192-24984C0ABD5F}"/>
    <cellStyle name="Normal 4 2 4 5 2 3" xfId="11515" xr:uid="{469324BF-11ED-4CB1-A4D6-ABAECBBB48C6}"/>
    <cellStyle name="Normal 4 2 4 5 3" xfId="5146" xr:uid="{00000000-0005-0000-0000-0000BC130000}"/>
    <cellStyle name="Normal 4 2 4 5 3 2" xfId="13588" xr:uid="{EB0CFD01-763B-44F7-9EDA-F0547CDEB381}"/>
    <cellStyle name="Normal 4 2 4 5 4" xfId="9370" xr:uid="{44BB6525-1A34-4FFA-8AE9-8475AF46CB02}"/>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E0271FD2-F897-4DA4-9167-43F3B36BDEF2}"/>
    <cellStyle name="Normal 4 2 4 6 2 3" xfId="11928" xr:uid="{17FA4D0F-510F-47B8-8A5A-8B1BBF8E34C2}"/>
    <cellStyle name="Normal 4 2 4 6 3" xfId="5559" xr:uid="{00000000-0005-0000-0000-0000C0130000}"/>
    <cellStyle name="Normal 4 2 4 6 3 2" xfId="14001" xr:uid="{460EB1E9-9753-4AD3-9182-806C8AAAF068}"/>
    <cellStyle name="Normal 4 2 4 6 4" xfId="9783" xr:uid="{49D567AF-7B78-4CAD-B122-A00BA871CC35}"/>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F7C84E27-2968-45AC-A014-9CD58AAD6279}"/>
    <cellStyle name="Normal 4 2 4 7 2 3" xfId="12341" xr:uid="{32BBEB16-D3BA-4A9C-9CA2-866E3DAB4212}"/>
    <cellStyle name="Normal 4 2 4 7 3" xfId="5972" xr:uid="{00000000-0005-0000-0000-0000C4130000}"/>
    <cellStyle name="Normal 4 2 4 7 3 2" xfId="14414" xr:uid="{516CCABD-7E75-4C95-ADC2-7867D21B1ECB}"/>
    <cellStyle name="Normal 4 2 4 7 4" xfId="10196" xr:uid="{D580C797-61B4-46F5-96EA-6B86221A224A}"/>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697F0E87-EF24-4D0A-9B41-214371C954F5}"/>
    <cellStyle name="Normal 4 2 4 8 2 3" xfId="12754" xr:uid="{FDE2867E-6DD3-4B60-9971-7FDC66D4AD54}"/>
    <cellStyle name="Normal 4 2 4 8 3" xfId="6385" xr:uid="{00000000-0005-0000-0000-0000C8130000}"/>
    <cellStyle name="Normal 4 2 4 8 3 2" xfId="14827" xr:uid="{5048AA14-348C-40BC-888D-7D0BA7A397B5}"/>
    <cellStyle name="Normal 4 2 4 8 4" xfId="10609" xr:uid="{444113C9-B93C-4DCB-8EC5-038E95F25D00}"/>
    <cellStyle name="Normal 4 2 4 9" xfId="2514" xr:uid="{00000000-0005-0000-0000-0000C9130000}"/>
    <cellStyle name="Normal 4 2 4 9 2" xfId="6798" xr:uid="{00000000-0005-0000-0000-0000CA130000}"/>
    <cellStyle name="Normal 4 2 4 9 2 2" xfId="15240" xr:uid="{4686B880-2AE6-4624-B288-6E6B4482F8B3}"/>
    <cellStyle name="Normal 4 2 4 9 3" xfId="11022" xr:uid="{C8E1A658-9B64-461E-86E5-5F76AC9FDECB}"/>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BEC05FC5-85F3-4702-A553-E1EFE863D543}"/>
    <cellStyle name="Normal 4 2 5 2 2 2 3" xfId="11524" xr:uid="{A258B192-BF57-4D74-87D8-FB77CBA9EC19}"/>
    <cellStyle name="Normal 4 2 5 2 2 3" xfId="5155" xr:uid="{00000000-0005-0000-0000-0000D0130000}"/>
    <cellStyle name="Normal 4 2 5 2 2 3 2" xfId="13597" xr:uid="{8D7EA3FA-2AC5-499B-A9CB-92DC31524910}"/>
    <cellStyle name="Normal 4 2 5 2 2 4" xfId="9379" xr:uid="{0323843E-39E3-4559-84E4-E66B85102D52}"/>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EE31A0CE-4459-4FF7-A52B-EE1ECC5CD74F}"/>
    <cellStyle name="Normal 4 2 5 2 3 2 3" xfId="11937" xr:uid="{022CC3EA-D130-456C-A4F1-288CD6D7D5B6}"/>
    <cellStyle name="Normal 4 2 5 2 3 3" xfId="5568" xr:uid="{00000000-0005-0000-0000-0000D4130000}"/>
    <cellStyle name="Normal 4 2 5 2 3 3 2" xfId="14010" xr:uid="{C43FD66C-9B57-4EBC-A667-D5944A9C47BB}"/>
    <cellStyle name="Normal 4 2 5 2 3 4" xfId="9792" xr:uid="{DA4F03EC-9FFB-4AF3-9994-AA5D5374CC8B}"/>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50FED5A7-7A29-42CE-B77B-1907A9E94C75}"/>
    <cellStyle name="Normal 4 2 5 2 4 2 3" xfId="12350" xr:uid="{D50F738B-0082-4E47-AC31-1541B835674A}"/>
    <cellStyle name="Normal 4 2 5 2 4 3" xfId="5981" xr:uid="{00000000-0005-0000-0000-0000D8130000}"/>
    <cellStyle name="Normal 4 2 5 2 4 3 2" xfId="14423" xr:uid="{A0EDF526-8CAF-4175-8FAC-0DC7E98F14F4}"/>
    <cellStyle name="Normal 4 2 5 2 4 4" xfId="10205" xr:uid="{DEDF8607-15B3-4CDA-860B-57145AF868D2}"/>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A31DFD0E-778C-4DCD-AFA5-D4AFD79E0117}"/>
    <cellStyle name="Normal 4 2 5 2 5 2 3" xfId="12763" xr:uid="{AF8532F3-547E-451F-93C1-F209AD01766F}"/>
    <cellStyle name="Normal 4 2 5 2 5 3" xfId="6394" xr:uid="{00000000-0005-0000-0000-0000DC130000}"/>
    <cellStyle name="Normal 4 2 5 2 5 3 2" xfId="14836" xr:uid="{61945AAE-A34C-498E-8A55-3C212DD9B5A4}"/>
    <cellStyle name="Normal 4 2 5 2 5 4" xfId="10618" xr:uid="{F2A8F786-8122-4B83-9BDB-A66610F9068B}"/>
    <cellStyle name="Normal 4 2 5 2 6" xfId="2523" xr:uid="{00000000-0005-0000-0000-0000DD130000}"/>
    <cellStyle name="Normal 4 2 5 2 6 2" xfId="6807" xr:uid="{00000000-0005-0000-0000-0000DE130000}"/>
    <cellStyle name="Normal 4 2 5 2 6 2 2" xfId="15249" xr:uid="{5094185B-F9E2-4338-ABA2-85472DCE91B8}"/>
    <cellStyle name="Normal 4 2 5 2 6 3" xfId="11031" xr:uid="{2682BA6C-EFAA-4B34-BE48-97976A730018}"/>
    <cellStyle name="Normal 4 2 5 2 7" xfId="4742" xr:uid="{00000000-0005-0000-0000-0000DF130000}"/>
    <cellStyle name="Normal 4 2 5 2 7 2" xfId="13184" xr:uid="{D8429397-E0E4-4342-BC96-1F115B0B721C}"/>
    <cellStyle name="Normal 4 2 5 2 8" xfId="8966" xr:uid="{66EF1D7D-68A3-49CE-98CD-0E60BF5D86D1}"/>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A3DEA486-3DE2-48BB-849C-2E761262BB46}"/>
    <cellStyle name="Normal 4 2 5 3 2 3" xfId="11523" xr:uid="{B87D2A2F-6FA7-4DFF-81BC-0FC24D27246C}"/>
    <cellStyle name="Normal 4 2 5 3 3" xfId="5154" xr:uid="{00000000-0005-0000-0000-0000E3130000}"/>
    <cellStyle name="Normal 4 2 5 3 3 2" xfId="13596" xr:uid="{38664930-03E5-486C-BB3F-9350BEB79593}"/>
    <cellStyle name="Normal 4 2 5 3 4" xfId="9378" xr:uid="{7C439C17-C528-41C8-9754-A91EC4DC808E}"/>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4DF7B14E-DFAF-4D74-A1EE-E5D85E8E2394}"/>
    <cellStyle name="Normal 4 2 5 4 2 3" xfId="11936" xr:uid="{E6FC7703-68A7-4D10-A394-40C6F39F2E5F}"/>
    <cellStyle name="Normal 4 2 5 4 3" xfId="5567" xr:uid="{00000000-0005-0000-0000-0000E7130000}"/>
    <cellStyle name="Normal 4 2 5 4 3 2" xfId="14009" xr:uid="{1223410A-2B34-40F0-8D31-A69D2184742A}"/>
    <cellStyle name="Normal 4 2 5 4 4" xfId="9791" xr:uid="{1CE18648-3597-4222-9C2A-AB52BFF98107}"/>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C144281A-89F4-45AB-9016-F02D925909CB}"/>
    <cellStyle name="Normal 4 2 5 5 2 3" xfId="12349" xr:uid="{8381A2CD-AB8F-4634-BE28-268FB130E6CB}"/>
    <cellStyle name="Normal 4 2 5 5 3" xfId="5980" xr:uid="{00000000-0005-0000-0000-0000EB130000}"/>
    <cellStyle name="Normal 4 2 5 5 3 2" xfId="14422" xr:uid="{84F0FC36-6299-474A-AFD0-FC01A3A42465}"/>
    <cellStyle name="Normal 4 2 5 5 4" xfId="10204" xr:uid="{1CD753C9-2597-4369-93F1-ED32DC513ED0}"/>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BBC74FC6-E6DC-4711-AAA8-3414169A3F46}"/>
    <cellStyle name="Normal 4 2 5 6 2 3" xfId="12762" xr:uid="{2F98098C-4731-4C41-A126-E5C1C1753FB0}"/>
    <cellStyle name="Normal 4 2 5 6 3" xfId="6393" xr:uid="{00000000-0005-0000-0000-0000EF130000}"/>
    <cellStyle name="Normal 4 2 5 6 3 2" xfId="14835" xr:uid="{D3DB10D9-F01D-469C-A915-0B7D2C433F82}"/>
    <cellStyle name="Normal 4 2 5 6 4" xfId="10617" xr:uid="{2EF60237-443E-44C5-AC32-271D1BBD6CE4}"/>
    <cellStyle name="Normal 4 2 5 7" xfId="2522" xr:uid="{00000000-0005-0000-0000-0000F0130000}"/>
    <cellStyle name="Normal 4 2 5 7 2" xfId="6806" xr:uid="{00000000-0005-0000-0000-0000F1130000}"/>
    <cellStyle name="Normal 4 2 5 7 2 2" xfId="15248" xr:uid="{4294FF28-9A8E-47DD-B684-B361BF1A7725}"/>
    <cellStyle name="Normal 4 2 5 7 3" xfId="11030" xr:uid="{B2B4302A-8F93-4579-8612-2535DF59B035}"/>
    <cellStyle name="Normal 4 2 5 8" xfId="4741" xr:uid="{00000000-0005-0000-0000-0000F2130000}"/>
    <cellStyle name="Normal 4 2 5 8 2" xfId="13183" xr:uid="{AF5513F8-FA6D-4813-BC6E-201E40F62741}"/>
    <cellStyle name="Normal 4 2 5 9" xfId="8965" xr:uid="{E452CA20-75F7-4753-B3E1-B71D6EA8BB24}"/>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1B24B321-9407-4226-AF9E-54854DA3577C}"/>
    <cellStyle name="Normal 4 2 6 2 2 3" xfId="11525" xr:uid="{C5EAC3D6-5269-4A0A-B106-3A519D06BEF4}"/>
    <cellStyle name="Normal 4 2 6 2 3" xfId="5156" xr:uid="{00000000-0005-0000-0000-0000F7130000}"/>
    <cellStyle name="Normal 4 2 6 2 3 2" xfId="13598" xr:uid="{91960715-7E12-4C7E-9255-4E9CC585CBC6}"/>
    <cellStyle name="Normal 4 2 6 2 4" xfId="9380" xr:uid="{AB7CB338-BA68-4B50-81AD-B14B6C1388AE}"/>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BAA91456-3B26-4588-85CF-F1E0A133714E}"/>
    <cellStyle name="Normal 4 2 6 3 2 3" xfId="11938" xr:uid="{4E4FF553-9133-47E1-9EE0-AE36F7BA7285}"/>
    <cellStyle name="Normal 4 2 6 3 3" xfId="5569" xr:uid="{00000000-0005-0000-0000-0000FB130000}"/>
    <cellStyle name="Normal 4 2 6 3 3 2" xfId="14011" xr:uid="{A43ECE27-BCB9-4036-AD4C-54B15D182BF2}"/>
    <cellStyle name="Normal 4 2 6 3 4" xfId="9793" xr:uid="{A6C415AB-0701-4C03-8972-49C94FB79FCF}"/>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A66F3B5F-492D-4598-843F-84239BFD71F7}"/>
    <cellStyle name="Normal 4 2 6 4 2 3" xfId="12351" xr:uid="{083295CD-3FC4-4F02-A7AF-FFFE50E01476}"/>
    <cellStyle name="Normal 4 2 6 4 3" xfId="5982" xr:uid="{00000000-0005-0000-0000-0000FF130000}"/>
    <cellStyle name="Normal 4 2 6 4 3 2" xfId="14424" xr:uid="{3B51C1ED-D19E-43BE-BE38-45B46BC99920}"/>
    <cellStyle name="Normal 4 2 6 4 4" xfId="10206" xr:uid="{06ABE44E-9F93-4399-B1B2-CA77A96F2263}"/>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5A57D534-0FF4-4C80-B582-1E42E51704CF}"/>
    <cellStyle name="Normal 4 2 6 5 2 3" xfId="12764" xr:uid="{B4D43E4D-4C40-446D-B055-60F9916D5A66}"/>
    <cellStyle name="Normal 4 2 6 5 3" xfId="6395" xr:uid="{00000000-0005-0000-0000-000003140000}"/>
    <cellStyle name="Normal 4 2 6 5 3 2" xfId="14837" xr:uid="{384E283F-ABA3-445E-B0CA-2CE839B41B37}"/>
    <cellStyle name="Normal 4 2 6 5 4" xfId="10619" xr:uid="{AFD92820-F0B1-4C9F-B5C3-36C8FB38C9D6}"/>
    <cellStyle name="Normal 4 2 6 6" xfId="2524" xr:uid="{00000000-0005-0000-0000-000004140000}"/>
    <cellStyle name="Normal 4 2 6 6 2" xfId="6808" xr:uid="{00000000-0005-0000-0000-000005140000}"/>
    <cellStyle name="Normal 4 2 6 6 2 2" xfId="15250" xr:uid="{D4063E2B-BFE7-4EDD-9E96-A2B39656116E}"/>
    <cellStyle name="Normal 4 2 6 6 3" xfId="11032" xr:uid="{9DDE1B71-90DF-4044-838F-6D46C3F1AFA8}"/>
    <cellStyle name="Normal 4 2 6 7" xfId="4743" xr:uid="{00000000-0005-0000-0000-000006140000}"/>
    <cellStyle name="Normal 4 2 6 7 2" xfId="13185" xr:uid="{3D47548A-B884-47BD-B34D-AAE502E2AD49}"/>
    <cellStyle name="Normal 4 2 6 8" xfId="8967" xr:uid="{BD5C408D-9ED1-44A3-A95F-9A9F7BC517E1}"/>
    <cellStyle name="Normal 4 3" xfId="366" xr:uid="{00000000-0005-0000-0000-000007140000}"/>
    <cellStyle name="Normal 4 3 10" xfId="8968" xr:uid="{E6D50A7D-1BBB-4DD7-BCEA-FE743E76522E}"/>
    <cellStyle name="Normal 4 3 2" xfId="367" xr:uid="{00000000-0005-0000-0000-000008140000}"/>
    <cellStyle name="Normal 4 3 2 2" xfId="368" xr:uid="{00000000-0005-0000-0000-000009140000}"/>
    <cellStyle name="Normal 4 3 2 2 2" xfId="369" xr:uid="{00000000-0005-0000-0000-00000A140000}"/>
    <cellStyle name="Normal 4 3 2 2 2 10" xfId="8969" xr:uid="{021A3006-BCF3-407A-999E-7E31D8499287}"/>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B8F6CB99-71CA-4019-85DD-F130351BFB9F}"/>
    <cellStyle name="Normal 4 3 2 2 2 2 2 2 2 3" xfId="11529" xr:uid="{A906A3AF-E34D-4554-ACDC-A0423721E025}"/>
    <cellStyle name="Normal 4 3 2 2 2 2 2 2 3" xfId="5160" xr:uid="{00000000-0005-0000-0000-000010140000}"/>
    <cellStyle name="Normal 4 3 2 2 2 2 2 2 3 2" xfId="13602" xr:uid="{58D30CF2-53E4-4166-BB7C-09D1201F089F}"/>
    <cellStyle name="Normal 4 3 2 2 2 2 2 2 4" xfId="9384" xr:uid="{14F681B3-384E-4381-B9BF-E98268131538}"/>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F74D89BA-9A72-44E3-BAF2-2D95700E75C3}"/>
    <cellStyle name="Normal 4 3 2 2 2 2 2 3 2 3" xfId="11942" xr:uid="{888DC226-9448-4919-B5FA-2F62490C0E1A}"/>
    <cellStyle name="Normal 4 3 2 2 2 2 2 3 3" xfId="5573" xr:uid="{00000000-0005-0000-0000-000014140000}"/>
    <cellStyle name="Normal 4 3 2 2 2 2 2 3 3 2" xfId="14015" xr:uid="{39AFCF00-C6B9-41D6-A6C7-8C3EA13F0E7B}"/>
    <cellStyle name="Normal 4 3 2 2 2 2 2 3 4" xfId="9797" xr:uid="{9015160F-A5E1-4B0A-B540-DD154250B86D}"/>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CBC66A1F-68A0-4D22-A9ED-6A4E7D20211E}"/>
    <cellStyle name="Normal 4 3 2 2 2 2 2 4 2 3" xfId="12355" xr:uid="{17FEC8A0-1F53-4E90-808A-33B39F294B4F}"/>
    <cellStyle name="Normal 4 3 2 2 2 2 2 4 3" xfId="5986" xr:uid="{00000000-0005-0000-0000-000018140000}"/>
    <cellStyle name="Normal 4 3 2 2 2 2 2 4 3 2" xfId="14428" xr:uid="{47F43C8F-24CC-45B9-9072-728FE23F85F0}"/>
    <cellStyle name="Normal 4 3 2 2 2 2 2 4 4" xfId="10210" xr:uid="{BC9C0E11-4D2D-4868-B386-F795D159BF67}"/>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AED4EA34-0B52-4DAC-812E-BDC1E4C5F218}"/>
    <cellStyle name="Normal 4 3 2 2 2 2 2 5 2 3" xfId="12768" xr:uid="{8D9D8FD7-CCAE-4FB0-A0DC-3C19A9FEF435}"/>
    <cellStyle name="Normal 4 3 2 2 2 2 2 5 3" xfId="6399" xr:uid="{00000000-0005-0000-0000-00001C140000}"/>
    <cellStyle name="Normal 4 3 2 2 2 2 2 5 3 2" xfId="14841" xr:uid="{7F9860B1-7C45-4DF5-AAFA-C6D1AFF25A1A}"/>
    <cellStyle name="Normal 4 3 2 2 2 2 2 5 4" xfId="10623" xr:uid="{47E1046A-D47D-470E-A52D-CD9C156BB39F}"/>
    <cellStyle name="Normal 4 3 2 2 2 2 2 6" xfId="2528" xr:uid="{00000000-0005-0000-0000-00001D140000}"/>
    <cellStyle name="Normal 4 3 2 2 2 2 2 6 2" xfId="6812" xr:uid="{00000000-0005-0000-0000-00001E140000}"/>
    <cellStyle name="Normal 4 3 2 2 2 2 2 6 2 2" xfId="15254" xr:uid="{A294DA8D-9CE4-4D96-9597-C1A12D501D08}"/>
    <cellStyle name="Normal 4 3 2 2 2 2 2 6 3" xfId="11036" xr:uid="{C7141F72-5A16-471F-BA91-00D7D2AA0062}"/>
    <cellStyle name="Normal 4 3 2 2 2 2 2 7" xfId="4747" xr:uid="{00000000-0005-0000-0000-00001F140000}"/>
    <cellStyle name="Normal 4 3 2 2 2 2 2 7 2" xfId="13189" xr:uid="{43D74485-42BF-47A9-A746-11D8E003107E}"/>
    <cellStyle name="Normal 4 3 2 2 2 2 2 8" xfId="8971" xr:uid="{575AF7E2-C62B-43F4-BA19-02E7CB77FFD9}"/>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D63E6155-D709-4153-A524-A1782B10F8E7}"/>
    <cellStyle name="Normal 4 3 2 2 2 2 3 2 3" xfId="11528" xr:uid="{75FA4443-D6D4-48E5-92E1-D15D55CF3FF3}"/>
    <cellStyle name="Normal 4 3 2 2 2 2 3 3" xfId="5159" xr:uid="{00000000-0005-0000-0000-000023140000}"/>
    <cellStyle name="Normal 4 3 2 2 2 2 3 3 2" xfId="13601" xr:uid="{3368B36B-E7B1-458A-A23A-31E78329AEC8}"/>
    <cellStyle name="Normal 4 3 2 2 2 2 3 4" xfId="9383" xr:uid="{0C3AC2F0-B1DE-4856-AC31-E6AE346CAFCE}"/>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B789F31D-39FA-4A09-BEB4-5AFEAA4B881B}"/>
    <cellStyle name="Normal 4 3 2 2 2 2 4 2 3" xfId="11941" xr:uid="{55792D05-B126-4FB4-AA1A-0EEE879D435F}"/>
    <cellStyle name="Normal 4 3 2 2 2 2 4 3" xfId="5572" xr:uid="{00000000-0005-0000-0000-000027140000}"/>
    <cellStyle name="Normal 4 3 2 2 2 2 4 3 2" xfId="14014" xr:uid="{6A3B967F-18CB-4004-87D7-B54781A1F3A8}"/>
    <cellStyle name="Normal 4 3 2 2 2 2 4 4" xfId="9796" xr:uid="{098D42AE-1529-4738-8F1D-3235AD65FB2C}"/>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F517F151-D255-4498-A7A3-84F7B1288D34}"/>
    <cellStyle name="Normal 4 3 2 2 2 2 5 2 3" xfId="12354" xr:uid="{C722DDBD-B716-400B-A780-6603215603BB}"/>
    <cellStyle name="Normal 4 3 2 2 2 2 5 3" xfId="5985" xr:uid="{00000000-0005-0000-0000-00002B140000}"/>
    <cellStyle name="Normal 4 3 2 2 2 2 5 3 2" xfId="14427" xr:uid="{0E6D592F-4458-4A59-A6F7-7F9C4CAA6203}"/>
    <cellStyle name="Normal 4 3 2 2 2 2 5 4" xfId="10209" xr:uid="{AFD7DB23-08CD-4A15-A998-5115C18AF76C}"/>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AE192A3A-024F-4FC8-B4A3-5FE9C2604D36}"/>
    <cellStyle name="Normal 4 3 2 2 2 2 6 2 3" xfId="12767" xr:uid="{2F13D4A6-438B-43A8-AC27-C9CF11AC695B}"/>
    <cellStyle name="Normal 4 3 2 2 2 2 6 3" xfId="6398" xr:uid="{00000000-0005-0000-0000-00002F140000}"/>
    <cellStyle name="Normal 4 3 2 2 2 2 6 3 2" xfId="14840" xr:uid="{37037EC8-2321-4537-85DF-0479CF23392B}"/>
    <cellStyle name="Normal 4 3 2 2 2 2 6 4" xfId="10622" xr:uid="{58B9AFA4-84F0-4430-A6E3-D3F8CD0C2DFC}"/>
    <cellStyle name="Normal 4 3 2 2 2 2 7" xfId="2527" xr:uid="{00000000-0005-0000-0000-000030140000}"/>
    <cellStyle name="Normal 4 3 2 2 2 2 7 2" xfId="6811" xr:uid="{00000000-0005-0000-0000-000031140000}"/>
    <cellStyle name="Normal 4 3 2 2 2 2 7 2 2" xfId="15253" xr:uid="{215BA321-B4AD-4F99-B9EB-94A64EF282A9}"/>
    <cellStyle name="Normal 4 3 2 2 2 2 7 3" xfId="11035" xr:uid="{0498B131-6FF9-49B6-B4E7-3CD57E36E1D5}"/>
    <cellStyle name="Normal 4 3 2 2 2 2 8" xfId="4746" xr:uid="{00000000-0005-0000-0000-000032140000}"/>
    <cellStyle name="Normal 4 3 2 2 2 2 8 2" xfId="13188" xr:uid="{2576D1FD-448A-49C1-8BF3-E33FE037D6BC}"/>
    <cellStyle name="Normal 4 3 2 2 2 2 9" xfId="8970" xr:uid="{0556C56E-89D6-469B-888A-1D0B66754596}"/>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03ED9D56-414D-499D-AC27-636BE94990D3}"/>
    <cellStyle name="Normal 4 3 2 2 2 3 2 2 3" xfId="11530" xr:uid="{D243CB09-1219-458C-8260-2BF682559B41}"/>
    <cellStyle name="Normal 4 3 2 2 2 3 2 3" xfId="5161" xr:uid="{00000000-0005-0000-0000-000037140000}"/>
    <cellStyle name="Normal 4 3 2 2 2 3 2 3 2" xfId="13603" xr:uid="{57B0C104-30A8-4D96-9EBD-301D4E4DBDAF}"/>
    <cellStyle name="Normal 4 3 2 2 2 3 2 4" xfId="9385" xr:uid="{DACBC01C-AAFA-4C2D-AF1A-74683CFEDF36}"/>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26D0B7DF-18E8-4180-9D3B-6905EB4DF4BF}"/>
    <cellStyle name="Normal 4 3 2 2 2 3 3 2 3" xfId="11943" xr:uid="{A526C12C-3801-4175-AD30-124613213D12}"/>
    <cellStyle name="Normal 4 3 2 2 2 3 3 3" xfId="5574" xr:uid="{00000000-0005-0000-0000-00003B140000}"/>
    <cellStyle name="Normal 4 3 2 2 2 3 3 3 2" xfId="14016" xr:uid="{6BA8961A-E066-4F93-B461-DB269D35C029}"/>
    <cellStyle name="Normal 4 3 2 2 2 3 3 4" xfId="9798" xr:uid="{E8CBC44F-64A8-4EDA-977B-FEDB877AD6EF}"/>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825EC0AB-C79B-44CF-9CF8-572230B3B4AA}"/>
    <cellStyle name="Normal 4 3 2 2 2 3 4 2 3" xfId="12356" xr:uid="{DE421759-2F90-4644-89FB-A9D7C80D8914}"/>
    <cellStyle name="Normal 4 3 2 2 2 3 4 3" xfId="5987" xr:uid="{00000000-0005-0000-0000-00003F140000}"/>
    <cellStyle name="Normal 4 3 2 2 2 3 4 3 2" xfId="14429" xr:uid="{2E326BE3-BAFC-408E-A310-97B70DDFC0B9}"/>
    <cellStyle name="Normal 4 3 2 2 2 3 4 4" xfId="10211" xr:uid="{004B0928-487F-468F-B42E-AE0E6A513F13}"/>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72CCD263-980C-41FF-B6CD-1BA8F134850C}"/>
    <cellStyle name="Normal 4 3 2 2 2 3 5 2 3" xfId="12769" xr:uid="{86B54096-4375-4D13-84E8-EA128E4D85F2}"/>
    <cellStyle name="Normal 4 3 2 2 2 3 5 3" xfId="6400" xr:uid="{00000000-0005-0000-0000-000043140000}"/>
    <cellStyle name="Normal 4 3 2 2 2 3 5 3 2" xfId="14842" xr:uid="{19EAAB4D-7E05-415E-8BC9-F29E6BD68DF2}"/>
    <cellStyle name="Normal 4 3 2 2 2 3 5 4" xfId="10624" xr:uid="{614800DC-E11B-490E-80C6-53AB77499C4D}"/>
    <cellStyle name="Normal 4 3 2 2 2 3 6" xfId="2529" xr:uid="{00000000-0005-0000-0000-000044140000}"/>
    <cellStyle name="Normal 4 3 2 2 2 3 6 2" xfId="6813" xr:uid="{00000000-0005-0000-0000-000045140000}"/>
    <cellStyle name="Normal 4 3 2 2 2 3 6 2 2" xfId="15255" xr:uid="{0CE4B1F2-9E5E-4778-8165-A8CCDD26C634}"/>
    <cellStyle name="Normal 4 3 2 2 2 3 6 3" xfId="11037" xr:uid="{2C7D102E-1583-48B6-A245-C2F34DAC0780}"/>
    <cellStyle name="Normal 4 3 2 2 2 3 7" xfId="4748" xr:uid="{00000000-0005-0000-0000-000046140000}"/>
    <cellStyle name="Normal 4 3 2 2 2 3 7 2" xfId="13190" xr:uid="{9998593A-2D6D-4511-A05E-0BCCFB8DD22F}"/>
    <cellStyle name="Normal 4 3 2 2 2 3 8" xfId="8972" xr:uid="{0350BDA7-FE1B-4E80-A92B-ADD143005EF5}"/>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A54B0CB0-026E-4FDE-A8DA-89B73891603F}"/>
    <cellStyle name="Normal 4 3 2 2 2 4 2 3" xfId="11527" xr:uid="{5CE676A7-9237-4CA9-8D54-642E8932C894}"/>
    <cellStyle name="Normal 4 3 2 2 2 4 3" xfId="5158" xr:uid="{00000000-0005-0000-0000-00004A140000}"/>
    <cellStyle name="Normal 4 3 2 2 2 4 3 2" xfId="13600" xr:uid="{F3B48D89-0809-449E-994C-652E0B07C156}"/>
    <cellStyle name="Normal 4 3 2 2 2 4 4" xfId="9382" xr:uid="{DB6C53BD-7463-43F2-B586-B87D6B4ACF08}"/>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29BAF25F-4888-4C86-9858-6C58139C8787}"/>
    <cellStyle name="Normal 4 3 2 2 2 5 2 3" xfId="11940" xr:uid="{C7C07348-1B89-4564-AC38-EED0DCFF8399}"/>
    <cellStyle name="Normal 4 3 2 2 2 5 3" xfId="5571" xr:uid="{00000000-0005-0000-0000-00004E140000}"/>
    <cellStyle name="Normal 4 3 2 2 2 5 3 2" xfId="14013" xr:uid="{B01F26DF-26EC-4566-BC7B-642722A9AE57}"/>
    <cellStyle name="Normal 4 3 2 2 2 5 4" xfId="9795" xr:uid="{B5A5F007-F072-4005-8BBD-8DDEC610B7CB}"/>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0F4D8049-9D71-4183-B1B6-3DBB5E60AA8C}"/>
    <cellStyle name="Normal 4 3 2 2 2 6 2 3" xfId="12353" xr:uid="{1944CAE0-DFDC-4260-A19D-49446DEBFF02}"/>
    <cellStyle name="Normal 4 3 2 2 2 6 3" xfId="5984" xr:uid="{00000000-0005-0000-0000-000052140000}"/>
    <cellStyle name="Normal 4 3 2 2 2 6 3 2" xfId="14426" xr:uid="{272CFB35-BA4F-4EE9-8A18-44E8CAB3CE14}"/>
    <cellStyle name="Normal 4 3 2 2 2 6 4" xfId="10208" xr:uid="{D6C33B37-BE04-4C1D-8D95-BD5CC2CD9DED}"/>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4FD92DF8-301B-4C56-8DE6-F93F616B3E7F}"/>
    <cellStyle name="Normal 4 3 2 2 2 7 2 3" xfId="12766" xr:uid="{B5E5C9BA-4C88-4D5C-A751-6B2E5EC7B581}"/>
    <cellStyle name="Normal 4 3 2 2 2 7 3" xfId="6397" xr:uid="{00000000-0005-0000-0000-000056140000}"/>
    <cellStyle name="Normal 4 3 2 2 2 7 3 2" xfId="14839" xr:uid="{B185EA1E-6F15-45B3-9CC5-2495A0B23352}"/>
    <cellStyle name="Normal 4 3 2 2 2 7 4" xfId="10621" xr:uid="{F456F7BD-9FFA-4DAB-B35B-5089942F285B}"/>
    <cellStyle name="Normal 4 3 2 2 2 8" xfId="2526" xr:uid="{00000000-0005-0000-0000-000057140000}"/>
    <cellStyle name="Normal 4 3 2 2 2 8 2" xfId="6810" xr:uid="{00000000-0005-0000-0000-000058140000}"/>
    <cellStyle name="Normal 4 3 2 2 2 8 2 2" xfId="15252" xr:uid="{722FFC65-1522-4E67-A5CD-356882D7F68B}"/>
    <cellStyle name="Normal 4 3 2 2 2 8 3" xfId="11034" xr:uid="{1078F28E-5280-4CF8-8A19-15B88DD55E13}"/>
    <cellStyle name="Normal 4 3 2 2 2 9" xfId="4745" xr:uid="{00000000-0005-0000-0000-000059140000}"/>
    <cellStyle name="Normal 4 3 2 2 2 9 2" xfId="13187" xr:uid="{F1576CA0-3519-4779-9DDA-6E0D4883BB8D}"/>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86C5373B-261B-4C06-BFB8-9E325DA8DF58}"/>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E110E14B-986E-4F4D-BE74-A11BAE27EDA0}"/>
    <cellStyle name="Normal 4 3 3 2 2 2 2 3" xfId="11533" xr:uid="{32C7112B-3FFF-4794-966A-94AD6F4C68B3}"/>
    <cellStyle name="Normal 4 3 3 2 2 2 3" xfId="5164" xr:uid="{00000000-0005-0000-0000-000063140000}"/>
    <cellStyle name="Normal 4 3 3 2 2 2 3 2" xfId="13606" xr:uid="{187406FE-8233-482F-BB70-5DD64407D19F}"/>
    <cellStyle name="Normal 4 3 3 2 2 2 4" xfId="9388" xr:uid="{7D23D33D-1647-42AA-A276-45B289AF760E}"/>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D8A06B5D-30AA-4EDD-B45F-0693728552BB}"/>
    <cellStyle name="Normal 4 3 3 2 2 3 2 3" xfId="11946" xr:uid="{F1C1E6BA-4742-479F-B2D9-7F0456694DB7}"/>
    <cellStyle name="Normal 4 3 3 2 2 3 3" xfId="5577" xr:uid="{00000000-0005-0000-0000-000067140000}"/>
    <cellStyle name="Normal 4 3 3 2 2 3 3 2" xfId="14019" xr:uid="{24DA0315-8CDD-4513-B489-FEE85041C708}"/>
    <cellStyle name="Normal 4 3 3 2 2 3 4" xfId="9801" xr:uid="{C53D29A9-8D34-4245-870E-7EFC007A304C}"/>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ABF47DFA-E957-4EC3-823A-4D25A54AF8E8}"/>
    <cellStyle name="Normal 4 3 3 2 2 4 2 3" xfId="12359" xr:uid="{32B9DC46-B2D9-4696-A6A2-B20183C8F739}"/>
    <cellStyle name="Normal 4 3 3 2 2 4 3" xfId="5990" xr:uid="{00000000-0005-0000-0000-00006B140000}"/>
    <cellStyle name="Normal 4 3 3 2 2 4 3 2" xfId="14432" xr:uid="{FD41FD45-986D-4F11-84A4-2A73D4C6FD51}"/>
    <cellStyle name="Normal 4 3 3 2 2 4 4" xfId="10214" xr:uid="{B1D94E19-AFC6-4359-9287-68BAAF74A48D}"/>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BEE1E960-70D8-4FD4-B3A8-B6F56D52C2AB}"/>
    <cellStyle name="Normal 4 3 3 2 2 5 2 3" xfId="12772" xr:uid="{C0F8BA99-722F-4282-A658-F990FF1EE9B3}"/>
    <cellStyle name="Normal 4 3 3 2 2 5 3" xfId="6403" xr:uid="{00000000-0005-0000-0000-00006F140000}"/>
    <cellStyle name="Normal 4 3 3 2 2 5 3 2" xfId="14845" xr:uid="{2AFA60AB-CE0D-48D0-8A3D-4AB5DE956F87}"/>
    <cellStyle name="Normal 4 3 3 2 2 5 4" xfId="10627" xr:uid="{01D65A46-CEA7-4C61-9906-DDE4100AC2AD}"/>
    <cellStyle name="Normal 4 3 3 2 2 6" xfId="2532" xr:uid="{00000000-0005-0000-0000-000070140000}"/>
    <cellStyle name="Normal 4 3 3 2 2 6 2" xfId="6816" xr:uid="{00000000-0005-0000-0000-000071140000}"/>
    <cellStyle name="Normal 4 3 3 2 2 6 2 2" xfId="15258" xr:uid="{AD163DB0-CEDF-4021-97E0-4553CE7C321E}"/>
    <cellStyle name="Normal 4 3 3 2 2 6 3" xfId="11040" xr:uid="{CD466A4E-9FB2-4655-A8A2-8B53BC83CAFB}"/>
    <cellStyle name="Normal 4 3 3 2 2 7" xfId="4751" xr:uid="{00000000-0005-0000-0000-000072140000}"/>
    <cellStyle name="Normal 4 3 3 2 2 7 2" xfId="13193" xr:uid="{675810B0-10DD-4F5C-93EB-50A3A077FA78}"/>
    <cellStyle name="Normal 4 3 3 2 2 8" xfId="8975" xr:uid="{48AC6041-AEAE-4872-B885-2BCBB5AEDF9E}"/>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752096A-52CD-4DBD-AD67-E73723099E97}"/>
    <cellStyle name="Normal 4 3 3 2 3 2 3" xfId="11532" xr:uid="{C935230F-1909-4F8D-95E3-C606E7B88E3B}"/>
    <cellStyle name="Normal 4 3 3 2 3 3" xfId="5163" xr:uid="{00000000-0005-0000-0000-000076140000}"/>
    <cellStyle name="Normal 4 3 3 2 3 3 2" xfId="13605" xr:uid="{24E641BF-B63C-408D-95D3-1D5B3B3C04C5}"/>
    <cellStyle name="Normal 4 3 3 2 3 4" xfId="9387" xr:uid="{3CB1F9A8-4AE5-4842-9740-31CD53D8412F}"/>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3E7B9878-5F16-4BF8-A116-E514F27D73FE}"/>
    <cellStyle name="Normal 4 3 3 2 4 2 3" xfId="11945" xr:uid="{06996C18-8B90-48C9-A860-A0220754CB69}"/>
    <cellStyle name="Normal 4 3 3 2 4 3" xfId="5576" xr:uid="{00000000-0005-0000-0000-00007A140000}"/>
    <cellStyle name="Normal 4 3 3 2 4 3 2" xfId="14018" xr:uid="{CBCA9732-DDC7-4F78-8833-12E0468E7468}"/>
    <cellStyle name="Normal 4 3 3 2 4 4" xfId="9800" xr:uid="{8A4AAAEC-149B-4CB0-A7FD-538F605598A6}"/>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A6D62ECD-D7E8-4403-A276-3CE88FE09BA7}"/>
    <cellStyle name="Normal 4 3 3 2 5 2 3" xfId="12358" xr:uid="{F331B635-739C-4C31-B4B7-34619772C1F7}"/>
    <cellStyle name="Normal 4 3 3 2 5 3" xfId="5989" xr:uid="{00000000-0005-0000-0000-00007E140000}"/>
    <cellStyle name="Normal 4 3 3 2 5 3 2" xfId="14431" xr:uid="{1BC02A9D-A04E-49EC-A21B-5D6858C9C412}"/>
    <cellStyle name="Normal 4 3 3 2 5 4" xfId="10213" xr:uid="{A3647D7C-C3D6-4F63-BACC-FB9BD3D4EEDB}"/>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3D11E439-974D-4AB6-9C29-A8EB77C75C1B}"/>
    <cellStyle name="Normal 4 3 3 2 6 2 3" xfId="12771" xr:uid="{1ED8EC98-5DCE-4716-9F37-76FBD7E54D4A}"/>
    <cellStyle name="Normal 4 3 3 2 6 3" xfId="6402" xr:uid="{00000000-0005-0000-0000-000082140000}"/>
    <cellStyle name="Normal 4 3 3 2 6 3 2" xfId="14844" xr:uid="{8C360757-6CDC-49C9-83AB-0EF7661B7329}"/>
    <cellStyle name="Normal 4 3 3 2 6 4" xfId="10626" xr:uid="{B3DC3734-8739-4AF6-BB37-3199BF7A8B03}"/>
    <cellStyle name="Normal 4 3 3 2 7" xfId="2531" xr:uid="{00000000-0005-0000-0000-000083140000}"/>
    <cellStyle name="Normal 4 3 3 2 7 2" xfId="6815" xr:uid="{00000000-0005-0000-0000-000084140000}"/>
    <cellStyle name="Normal 4 3 3 2 7 2 2" xfId="15257" xr:uid="{41B79273-8381-40A6-A08E-0D249557CDDE}"/>
    <cellStyle name="Normal 4 3 3 2 7 3" xfId="11039" xr:uid="{2ED8AB83-CC88-4F25-AEFB-186AB5EC1E5B}"/>
    <cellStyle name="Normal 4 3 3 2 8" xfId="4750" xr:uid="{00000000-0005-0000-0000-000085140000}"/>
    <cellStyle name="Normal 4 3 3 2 8 2" xfId="13192" xr:uid="{C37C9C41-41D3-414E-97BD-D309BC091C13}"/>
    <cellStyle name="Normal 4 3 3 2 9" xfId="8974" xr:uid="{DF48D165-EA15-4959-A2E4-0A22BAFED037}"/>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37EEF45D-ED91-4DFB-AA17-7C64CFB5ACBC}"/>
    <cellStyle name="Normal 4 3 3 3 2 2 3" xfId="11534" xr:uid="{4EF56547-4FC7-40B2-86DF-03225014218F}"/>
    <cellStyle name="Normal 4 3 3 3 2 3" xfId="5165" xr:uid="{00000000-0005-0000-0000-00008A140000}"/>
    <cellStyle name="Normal 4 3 3 3 2 3 2" xfId="13607" xr:uid="{75033EAE-FEBE-4E31-87CA-A1FE76C47235}"/>
    <cellStyle name="Normal 4 3 3 3 2 4" xfId="9389" xr:uid="{25F5ABA7-00F1-44D3-9441-7227CA839E84}"/>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694BC4AF-B114-4316-A79A-EEF20F5699DD}"/>
    <cellStyle name="Normal 4 3 3 3 3 2 3" xfId="11947" xr:uid="{429AFC60-563F-4269-8BB8-B87F07A5E004}"/>
    <cellStyle name="Normal 4 3 3 3 3 3" xfId="5578" xr:uid="{00000000-0005-0000-0000-00008E140000}"/>
    <cellStyle name="Normal 4 3 3 3 3 3 2" xfId="14020" xr:uid="{F0B336E3-61B7-4BBD-BABD-40E77E3E44CB}"/>
    <cellStyle name="Normal 4 3 3 3 3 4" xfId="9802" xr:uid="{E60B5799-9325-4D1F-B24B-588083E63825}"/>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0A3301D8-C170-4E2D-99E9-F19ADB39C0F3}"/>
    <cellStyle name="Normal 4 3 3 3 4 2 3" xfId="12360" xr:uid="{FAB202D8-B9FA-4D7F-878E-3F3BE5236927}"/>
    <cellStyle name="Normal 4 3 3 3 4 3" xfId="5991" xr:uid="{00000000-0005-0000-0000-000092140000}"/>
    <cellStyle name="Normal 4 3 3 3 4 3 2" xfId="14433" xr:uid="{9551FF32-B929-4493-947B-5753D986CA97}"/>
    <cellStyle name="Normal 4 3 3 3 4 4" xfId="10215" xr:uid="{E904E755-F920-4F40-953E-205736AC7B71}"/>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3385C7FF-2742-44E9-B4AD-C583B2623A4A}"/>
    <cellStyle name="Normal 4 3 3 3 5 2 3" xfId="12773" xr:uid="{5DD6BAE1-C80E-48F0-86DC-CE4B22B57085}"/>
    <cellStyle name="Normal 4 3 3 3 5 3" xfId="6404" xr:uid="{00000000-0005-0000-0000-000096140000}"/>
    <cellStyle name="Normal 4 3 3 3 5 3 2" xfId="14846" xr:uid="{098FD0E9-CFE6-4F3B-B8B9-BB59A0C1FD3A}"/>
    <cellStyle name="Normal 4 3 3 3 5 4" xfId="10628" xr:uid="{76FFDD1D-7C7A-450B-A651-7AF7032B63B5}"/>
    <cellStyle name="Normal 4 3 3 3 6" xfId="2533" xr:uid="{00000000-0005-0000-0000-000097140000}"/>
    <cellStyle name="Normal 4 3 3 3 6 2" xfId="6817" xr:uid="{00000000-0005-0000-0000-000098140000}"/>
    <cellStyle name="Normal 4 3 3 3 6 2 2" xfId="15259" xr:uid="{4F71326F-6B50-4913-9E3E-60F9E0CA56DB}"/>
    <cellStyle name="Normal 4 3 3 3 6 3" xfId="11041" xr:uid="{2C93166C-13C2-4E05-8113-2C2F230F66E2}"/>
    <cellStyle name="Normal 4 3 3 3 7" xfId="4752" xr:uid="{00000000-0005-0000-0000-000099140000}"/>
    <cellStyle name="Normal 4 3 3 3 7 2" xfId="13194" xr:uid="{B72A444E-FBA5-48B6-B7DC-FA1ACDED7C0F}"/>
    <cellStyle name="Normal 4 3 3 3 8" xfId="8976" xr:uid="{1A0F917C-DE8D-450F-8BCE-61BB09514860}"/>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2B4918C7-4F31-4B52-913F-24532795DC29}"/>
    <cellStyle name="Normal 4 3 3 4 2 3" xfId="11531" xr:uid="{B9645D7A-4D04-4886-AB0A-34FCCFAA0C9A}"/>
    <cellStyle name="Normal 4 3 3 4 3" xfId="5162" xr:uid="{00000000-0005-0000-0000-00009D140000}"/>
    <cellStyle name="Normal 4 3 3 4 3 2" xfId="13604" xr:uid="{FC4B1ACC-252D-48F7-9149-BB0622C67E41}"/>
    <cellStyle name="Normal 4 3 3 4 4" xfId="9386" xr:uid="{32DBB403-C013-4EC6-BB5A-A737CFB8AFC9}"/>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457787FA-2B34-4B45-B094-E7F18428CDBF}"/>
    <cellStyle name="Normal 4 3 3 5 2 3" xfId="11944" xr:uid="{93A12C08-0EB7-45C9-9AA8-E139489D21D6}"/>
    <cellStyle name="Normal 4 3 3 5 3" xfId="5575" xr:uid="{00000000-0005-0000-0000-0000A1140000}"/>
    <cellStyle name="Normal 4 3 3 5 3 2" xfId="14017" xr:uid="{EE2A9F17-B3D2-4EE7-BBB1-834332EE6BB2}"/>
    <cellStyle name="Normal 4 3 3 5 4" xfId="9799" xr:uid="{9E200A70-8B8B-452E-920E-5FB73ED00B3A}"/>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297F5A8A-5EF9-4CC8-BA3E-8C49E5DFD031}"/>
    <cellStyle name="Normal 4 3 3 6 2 3" xfId="12357" xr:uid="{E6420FA3-C090-4A8F-BCC2-6C578E435917}"/>
    <cellStyle name="Normal 4 3 3 6 3" xfId="5988" xr:uid="{00000000-0005-0000-0000-0000A5140000}"/>
    <cellStyle name="Normal 4 3 3 6 3 2" xfId="14430" xr:uid="{B6001918-8A0D-4B93-891D-9380DBEEDB49}"/>
    <cellStyle name="Normal 4 3 3 6 4" xfId="10212" xr:uid="{A78817E4-B19E-4B46-95FA-22686F73BE3D}"/>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0318628C-B18B-4DF9-A12A-3F784C69F577}"/>
    <cellStyle name="Normal 4 3 3 7 2 3" xfId="12770" xr:uid="{A5E54ED1-41F3-42E7-B348-497FA0874DD2}"/>
    <cellStyle name="Normal 4 3 3 7 3" xfId="6401" xr:uid="{00000000-0005-0000-0000-0000A9140000}"/>
    <cellStyle name="Normal 4 3 3 7 3 2" xfId="14843" xr:uid="{AE5015E8-0A9F-47A9-9AA3-5133679E7226}"/>
    <cellStyle name="Normal 4 3 3 7 4" xfId="10625" xr:uid="{56DE37B9-8E10-4DE6-A335-17562F82024D}"/>
    <cellStyle name="Normal 4 3 3 8" xfId="2530" xr:uid="{00000000-0005-0000-0000-0000AA140000}"/>
    <cellStyle name="Normal 4 3 3 8 2" xfId="6814" xr:uid="{00000000-0005-0000-0000-0000AB140000}"/>
    <cellStyle name="Normal 4 3 3 8 2 2" xfId="15256" xr:uid="{BADAF150-B358-4FF2-AEB8-F98AB68AB59B}"/>
    <cellStyle name="Normal 4 3 3 8 3" xfId="11038" xr:uid="{483FA1B2-7217-472B-A107-D6DB350F8B74}"/>
    <cellStyle name="Normal 4 3 3 9" xfId="4749" xr:uid="{00000000-0005-0000-0000-0000AC140000}"/>
    <cellStyle name="Normal 4 3 3 9 2" xfId="13191" xr:uid="{6723AEE0-D2A2-4596-8F49-D4A20B164C2E}"/>
    <cellStyle name="Normal 4 3 4" xfId="842" xr:uid="{00000000-0005-0000-0000-0000AD140000}"/>
    <cellStyle name="Normal 4 3 4 2" xfId="3079" xr:uid="{00000000-0005-0000-0000-0000AE140000}"/>
    <cellStyle name="Normal 4 3 4 2 2" xfId="7302" xr:uid="{00000000-0005-0000-0000-0000AF140000}"/>
    <cellStyle name="Normal 4 3 4 2 2 2" xfId="15744" xr:uid="{D4CF9F55-1F95-44C3-A029-8C5CB6315848}"/>
    <cellStyle name="Normal 4 3 4 2 3" xfId="11526" xr:uid="{919A576C-E7EC-4C57-88EA-0E4E41CA459E}"/>
    <cellStyle name="Normal 4 3 4 3" xfId="5157" xr:uid="{00000000-0005-0000-0000-0000B0140000}"/>
    <cellStyle name="Normal 4 3 4 3 2" xfId="13599" xr:uid="{9E52D61C-3294-42EA-8147-78F1A88D7EE5}"/>
    <cellStyle name="Normal 4 3 4 4" xfId="9381" xr:uid="{990FF766-E021-47D9-A8C1-11873BC5664B}"/>
    <cellStyle name="Normal 4 3 5" xfId="1262" xr:uid="{00000000-0005-0000-0000-0000B1140000}"/>
    <cellStyle name="Normal 4 3 5 2" xfId="3492" xr:uid="{00000000-0005-0000-0000-0000B2140000}"/>
    <cellStyle name="Normal 4 3 5 2 2" xfId="7715" xr:uid="{00000000-0005-0000-0000-0000B3140000}"/>
    <cellStyle name="Normal 4 3 5 2 2 2" xfId="16157" xr:uid="{ACB27D11-435C-47DE-B810-434B6F0A538F}"/>
    <cellStyle name="Normal 4 3 5 2 3" xfId="11939" xr:uid="{F0978502-2F1B-4A27-88D2-B4337BE610C6}"/>
    <cellStyle name="Normal 4 3 5 3" xfId="5570" xr:uid="{00000000-0005-0000-0000-0000B4140000}"/>
    <cellStyle name="Normal 4 3 5 3 2" xfId="14012" xr:uid="{DD925CF1-FEE0-4800-BEFF-7BA009F2B835}"/>
    <cellStyle name="Normal 4 3 5 4" xfId="9794" xr:uid="{C4772121-76B8-4D46-9C6C-094F547C4D43}"/>
    <cellStyle name="Normal 4 3 6" xfId="1675" xr:uid="{00000000-0005-0000-0000-0000B5140000}"/>
    <cellStyle name="Normal 4 3 6 2" xfId="3905" xr:uid="{00000000-0005-0000-0000-0000B6140000}"/>
    <cellStyle name="Normal 4 3 6 2 2" xfId="8128" xr:uid="{00000000-0005-0000-0000-0000B7140000}"/>
    <cellStyle name="Normal 4 3 6 2 2 2" xfId="16570" xr:uid="{4CFDF9CF-ED36-4EFA-8E24-3490B0BE001B}"/>
    <cellStyle name="Normal 4 3 6 2 3" xfId="12352" xr:uid="{2E6EC4D5-0655-46F4-ACD8-BEB70E8C2625}"/>
    <cellStyle name="Normal 4 3 6 3" xfId="5983" xr:uid="{00000000-0005-0000-0000-0000B8140000}"/>
    <cellStyle name="Normal 4 3 6 3 2" xfId="14425" xr:uid="{C668A0F5-006F-45CC-921A-EA956850D90B}"/>
    <cellStyle name="Normal 4 3 6 4" xfId="10207" xr:uid="{DE7D11BF-ACAB-4A1B-A769-3F8464C20FDC}"/>
    <cellStyle name="Normal 4 3 7" xfId="2089" xr:uid="{00000000-0005-0000-0000-0000B9140000}"/>
    <cellStyle name="Normal 4 3 7 2" xfId="4318" xr:uid="{00000000-0005-0000-0000-0000BA140000}"/>
    <cellStyle name="Normal 4 3 7 2 2" xfId="8541" xr:uid="{00000000-0005-0000-0000-0000BB140000}"/>
    <cellStyle name="Normal 4 3 7 2 2 2" xfId="16983" xr:uid="{568B9B19-311B-47BC-9AEF-2C7FDFF6E2A4}"/>
    <cellStyle name="Normal 4 3 7 2 3" xfId="12765" xr:uid="{0C5AAD29-AD8A-4FBF-89AD-ED5881983D56}"/>
    <cellStyle name="Normal 4 3 7 3" xfId="6396" xr:uid="{00000000-0005-0000-0000-0000BC140000}"/>
    <cellStyle name="Normal 4 3 7 3 2" xfId="14838" xr:uid="{903617A8-B864-409B-85DD-ADB513E74ECD}"/>
    <cellStyle name="Normal 4 3 7 4" xfId="10620" xr:uid="{4F7EF904-990D-4923-AD8B-7B40C39D9025}"/>
    <cellStyle name="Normal 4 3 8" xfId="2525" xr:uid="{00000000-0005-0000-0000-0000BD140000}"/>
    <cellStyle name="Normal 4 3 8 2" xfId="6809" xr:uid="{00000000-0005-0000-0000-0000BE140000}"/>
    <cellStyle name="Normal 4 3 8 2 2" xfId="15251" xr:uid="{B84C662D-C4CC-4F5F-B444-643BF0DE8A61}"/>
    <cellStyle name="Normal 4 3 8 3" xfId="11033" xr:uid="{8DCE40C4-E127-4B82-8371-72D062D511C0}"/>
    <cellStyle name="Normal 4 3 9" xfId="4744" xr:uid="{00000000-0005-0000-0000-0000BF140000}"/>
    <cellStyle name="Normal 4 3 9 2" xfId="13186" xr:uid="{EAB07ECB-7810-4F0D-90B5-0A6198161918}"/>
    <cellStyle name="Normal 4 4" xfId="378" xr:uid="{00000000-0005-0000-0000-0000C0140000}"/>
    <cellStyle name="Normal 4 4 10" xfId="2534" xr:uid="{00000000-0005-0000-0000-0000C1140000}"/>
    <cellStyle name="Normal 4 4 10 2" xfId="6818" xr:uid="{00000000-0005-0000-0000-0000C2140000}"/>
    <cellStyle name="Normal 4 4 10 2 2" xfId="15260" xr:uid="{3D013F28-CA41-4398-BDA3-9B67CC158E0A}"/>
    <cellStyle name="Normal 4 4 10 3" xfId="11042" xr:uid="{00097325-1165-4A13-8689-AC680CCD6373}"/>
    <cellStyle name="Normal 4 4 11" xfId="4753" xr:uid="{00000000-0005-0000-0000-0000C3140000}"/>
    <cellStyle name="Normal 4 4 11 2" xfId="13195" xr:uid="{641A43D4-FFA8-4225-869D-CBC8DACF1F50}"/>
    <cellStyle name="Normal 4 4 12" xfId="8977" xr:uid="{E77CF6ED-CEF3-4DA1-935D-377D46C3F88D}"/>
    <cellStyle name="Normal 4 4 2" xfId="379" xr:uid="{00000000-0005-0000-0000-0000C4140000}"/>
    <cellStyle name="Normal 4 4 2 10" xfId="4754" xr:uid="{00000000-0005-0000-0000-0000C5140000}"/>
    <cellStyle name="Normal 4 4 2 10 2" xfId="13196" xr:uid="{2714C329-80A1-4C36-9C1F-2CDA437F985E}"/>
    <cellStyle name="Normal 4 4 2 11" xfId="8978" xr:uid="{F4AAB881-8567-4812-A7EC-8FE5A701DBC9}"/>
    <cellStyle name="Normal 4 4 2 2" xfId="380" xr:uid="{00000000-0005-0000-0000-0000C6140000}"/>
    <cellStyle name="Normal 4 4 2 2 10" xfId="8979" xr:uid="{33DB56ED-D623-4C1F-903A-95A6821E6A19}"/>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F82F9A08-ADCA-4B9E-9500-269120DD8AA7}"/>
    <cellStyle name="Normal 4 4 2 2 2 2 2 2 3" xfId="11539" xr:uid="{3A4530B1-D57D-4768-87F5-461D2B4517D6}"/>
    <cellStyle name="Normal 4 4 2 2 2 2 2 3" xfId="5170" xr:uid="{00000000-0005-0000-0000-0000CC140000}"/>
    <cellStyle name="Normal 4 4 2 2 2 2 2 3 2" xfId="13612" xr:uid="{6FC836D1-FD0B-4390-93DE-F74D7CC78ADC}"/>
    <cellStyle name="Normal 4 4 2 2 2 2 2 4" xfId="9394" xr:uid="{41748E72-9FB2-4220-89CC-1CAADD5E5031}"/>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3F2BD6C3-2A16-4F5D-AFEE-8E315E491B6D}"/>
    <cellStyle name="Normal 4 4 2 2 2 2 3 2 3" xfId="11952" xr:uid="{3E759652-282B-4B02-AF28-3F8473258466}"/>
    <cellStyle name="Normal 4 4 2 2 2 2 3 3" xfId="5583" xr:uid="{00000000-0005-0000-0000-0000D0140000}"/>
    <cellStyle name="Normal 4 4 2 2 2 2 3 3 2" xfId="14025" xr:uid="{F3DF48A5-1A02-45C5-94BA-36FB3093F15B}"/>
    <cellStyle name="Normal 4 4 2 2 2 2 3 4" xfId="9807" xr:uid="{57B1D883-1604-49D9-B528-9F25E0C81543}"/>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92151690-CFFC-450C-80F1-3ECE5EA2337E}"/>
    <cellStyle name="Normal 4 4 2 2 2 2 4 2 3" xfId="12365" xr:uid="{59F61988-C2C1-43CD-BE9B-B895BDFD34D7}"/>
    <cellStyle name="Normal 4 4 2 2 2 2 4 3" xfId="5996" xr:uid="{00000000-0005-0000-0000-0000D4140000}"/>
    <cellStyle name="Normal 4 4 2 2 2 2 4 3 2" xfId="14438" xr:uid="{B0B5B3F7-426A-43F2-8481-F4DCAC19A350}"/>
    <cellStyle name="Normal 4 4 2 2 2 2 4 4" xfId="10220" xr:uid="{9EC4CE44-1C86-4E15-9561-1EE82BE6AFCA}"/>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2AD5A6F3-FF1D-4980-8B8A-6826414CE7C0}"/>
    <cellStyle name="Normal 4 4 2 2 2 2 5 2 3" xfId="12778" xr:uid="{1518F41D-80FB-4769-A7FA-F28612C249B0}"/>
    <cellStyle name="Normal 4 4 2 2 2 2 5 3" xfId="6409" xr:uid="{00000000-0005-0000-0000-0000D8140000}"/>
    <cellStyle name="Normal 4 4 2 2 2 2 5 3 2" xfId="14851" xr:uid="{3FA04BDD-AE7E-45AC-BAC3-14E40CD0D63A}"/>
    <cellStyle name="Normal 4 4 2 2 2 2 5 4" xfId="10633" xr:uid="{1283EBDA-64A2-4C7B-BDE5-CA231AEC8385}"/>
    <cellStyle name="Normal 4 4 2 2 2 2 6" xfId="2538" xr:uid="{00000000-0005-0000-0000-0000D9140000}"/>
    <cellStyle name="Normal 4 4 2 2 2 2 6 2" xfId="6822" xr:uid="{00000000-0005-0000-0000-0000DA140000}"/>
    <cellStyle name="Normal 4 4 2 2 2 2 6 2 2" xfId="15264" xr:uid="{0DFE1AAC-368D-4D33-BC3B-8AEAE98ED52C}"/>
    <cellStyle name="Normal 4 4 2 2 2 2 6 3" xfId="11046" xr:uid="{AC198D7F-E589-44AB-AF2F-86433E188F4D}"/>
    <cellStyle name="Normal 4 4 2 2 2 2 7" xfId="4757" xr:uid="{00000000-0005-0000-0000-0000DB140000}"/>
    <cellStyle name="Normal 4 4 2 2 2 2 7 2" xfId="13199" xr:uid="{4EBDC0FF-8EB6-4FCB-975E-60390B942CC7}"/>
    <cellStyle name="Normal 4 4 2 2 2 2 8" xfId="8981" xr:uid="{3B5D2AA0-C871-43FA-9A73-C025638ECBDB}"/>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F439A4D2-0D1E-4C91-B638-D45E2461E251}"/>
    <cellStyle name="Normal 4 4 2 2 2 3 2 3" xfId="11538" xr:uid="{50219BFA-E937-4B9E-864E-639BA35EA1F1}"/>
    <cellStyle name="Normal 4 4 2 2 2 3 3" xfId="5169" xr:uid="{00000000-0005-0000-0000-0000DF140000}"/>
    <cellStyle name="Normal 4 4 2 2 2 3 3 2" xfId="13611" xr:uid="{CEE74D56-DBAE-4AA5-B17F-58B90849FC23}"/>
    <cellStyle name="Normal 4 4 2 2 2 3 4" xfId="9393" xr:uid="{F5B5FC4E-105D-404E-8E52-D7979B924A9D}"/>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CB7499DB-9920-4411-AB7D-CE04C5022253}"/>
    <cellStyle name="Normal 4 4 2 2 2 4 2 3" xfId="11951" xr:uid="{E8EF725C-4A0E-41F4-B660-DAFA4CFA4811}"/>
    <cellStyle name="Normal 4 4 2 2 2 4 3" xfId="5582" xr:uid="{00000000-0005-0000-0000-0000E3140000}"/>
    <cellStyle name="Normal 4 4 2 2 2 4 3 2" xfId="14024" xr:uid="{0D3A4764-6FEE-4E5A-95AC-FBFCDBFD1C6D}"/>
    <cellStyle name="Normal 4 4 2 2 2 4 4" xfId="9806" xr:uid="{FC3C46C7-9418-4FA0-A06E-7F6AD95D9643}"/>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D2508649-7CC1-4575-BD51-1304C6610F02}"/>
    <cellStyle name="Normal 4 4 2 2 2 5 2 3" xfId="12364" xr:uid="{883046E0-32F6-473B-8E2B-BF8FF85C117B}"/>
    <cellStyle name="Normal 4 4 2 2 2 5 3" xfId="5995" xr:uid="{00000000-0005-0000-0000-0000E7140000}"/>
    <cellStyle name="Normal 4 4 2 2 2 5 3 2" xfId="14437" xr:uid="{43670C15-079C-4D63-9EA3-9A9717E98178}"/>
    <cellStyle name="Normal 4 4 2 2 2 5 4" xfId="10219" xr:uid="{B78A68B1-0573-4D83-B3A2-ACD7A8DF00BD}"/>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6BE5B7D0-964F-4384-9171-8826E957BB1B}"/>
    <cellStyle name="Normal 4 4 2 2 2 6 2 3" xfId="12777" xr:uid="{560E10A0-A9AF-4EB4-956E-E80CB5092994}"/>
    <cellStyle name="Normal 4 4 2 2 2 6 3" xfId="6408" xr:uid="{00000000-0005-0000-0000-0000EB140000}"/>
    <cellStyle name="Normal 4 4 2 2 2 6 3 2" xfId="14850" xr:uid="{9E71F3A3-51E4-41A0-BF2E-410E3A8577E0}"/>
    <cellStyle name="Normal 4 4 2 2 2 6 4" xfId="10632" xr:uid="{AC447A3B-FC80-4D28-9B4D-451093BFBF2B}"/>
    <cellStyle name="Normal 4 4 2 2 2 7" xfId="2537" xr:uid="{00000000-0005-0000-0000-0000EC140000}"/>
    <cellStyle name="Normal 4 4 2 2 2 7 2" xfId="6821" xr:uid="{00000000-0005-0000-0000-0000ED140000}"/>
    <cellStyle name="Normal 4 4 2 2 2 7 2 2" xfId="15263" xr:uid="{29A6EFED-91CA-4D33-948E-D9C41C59590D}"/>
    <cellStyle name="Normal 4 4 2 2 2 7 3" xfId="11045" xr:uid="{12D8F320-943B-48CB-8F89-470640ACDC22}"/>
    <cellStyle name="Normal 4 4 2 2 2 8" xfId="4756" xr:uid="{00000000-0005-0000-0000-0000EE140000}"/>
    <cellStyle name="Normal 4 4 2 2 2 8 2" xfId="13198" xr:uid="{F8FEA609-6BB7-4DA9-BCCA-180B410B9F8B}"/>
    <cellStyle name="Normal 4 4 2 2 2 9" xfId="8980" xr:uid="{0548BC6E-7866-48D8-AE9F-09EC2239E15A}"/>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E3E18273-0BC6-46B1-96E9-9B12F2242716}"/>
    <cellStyle name="Normal 4 4 2 2 3 2 2 3" xfId="11540" xr:uid="{4520B198-13A2-4083-8783-8AD96A538B9B}"/>
    <cellStyle name="Normal 4 4 2 2 3 2 3" xfId="5171" xr:uid="{00000000-0005-0000-0000-0000F3140000}"/>
    <cellStyle name="Normal 4 4 2 2 3 2 3 2" xfId="13613" xr:uid="{3BE791AB-FA0B-45DD-8828-8FD2F2E12AF1}"/>
    <cellStyle name="Normal 4 4 2 2 3 2 4" xfId="9395" xr:uid="{258A7D96-3303-49DE-AA4D-6177F754D4A8}"/>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53ED9474-A152-47BA-BCB1-81165ABB1188}"/>
    <cellStyle name="Normal 4 4 2 2 3 3 2 3" xfId="11953" xr:uid="{94FA7317-B6B9-43A8-A55A-87CD89D69367}"/>
    <cellStyle name="Normal 4 4 2 2 3 3 3" xfId="5584" xr:uid="{00000000-0005-0000-0000-0000F7140000}"/>
    <cellStyle name="Normal 4 4 2 2 3 3 3 2" xfId="14026" xr:uid="{504ADA22-F0BF-4221-BC89-B0982F2924F4}"/>
    <cellStyle name="Normal 4 4 2 2 3 3 4" xfId="9808" xr:uid="{6357C02A-A853-4FB7-836D-B6FF1A64EBEC}"/>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BCD42836-A720-4BB1-B2AA-D62390D89794}"/>
    <cellStyle name="Normal 4 4 2 2 3 4 2 3" xfId="12366" xr:uid="{D14838D2-5BA8-465F-BD44-CFCD03A42A38}"/>
    <cellStyle name="Normal 4 4 2 2 3 4 3" xfId="5997" xr:uid="{00000000-0005-0000-0000-0000FB140000}"/>
    <cellStyle name="Normal 4 4 2 2 3 4 3 2" xfId="14439" xr:uid="{D488A70C-884F-4982-BE88-73097CEB69C0}"/>
    <cellStyle name="Normal 4 4 2 2 3 4 4" xfId="10221" xr:uid="{EF9F47A8-C14D-4B48-9CAE-345951C4A2E3}"/>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702978E4-25EB-409A-A914-0C60251C9B91}"/>
    <cellStyle name="Normal 4 4 2 2 3 5 2 3" xfId="12779" xr:uid="{456D41EA-5E6B-4C8D-AF56-FD53B70917B9}"/>
    <cellStyle name="Normal 4 4 2 2 3 5 3" xfId="6410" xr:uid="{00000000-0005-0000-0000-0000FF140000}"/>
    <cellStyle name="Normal 4 4 2 2 3 5 3 2" xfId="14852" xr:uid="{6BE4F951-A956-4C6F-8CDD-1CC2D6E4A99A}"/>
    <cellStyle name="Normal 4 4 2 2 3 5 4" xfId="10634" xr:uid="{29BC3378-4452-46BB-972C-CEE530C2B498}"/>
    <cellStyle name="Normal 4 4 2 2 3 6" xfId="2539" xr:uid="{00000000-0005-0000-0000-000000150000}"/>
    <cellStyle name="Normal 4 4 2 2 3 6 2" xfId="6823" xr:uid="{00000000-0005-0000-0000-000001150000}"/>
    <cellStyle name="Normal 4 4 2 2 3 6 2 2" xfId="15265" xr:uid="{37618216-4CA5-4A50-9F1D-3207E0DA06A6}"/>
    <cellStyle name="Normal 4 4 2 2 3 6 3" xfId="11047" xr:uid="{FE1DF0E5-3F76-46AE-9247-916A387EE146}"/>
    <cellStyle name="Normal 4 4 2 2 3 7" xfId="4758" xr:uid="{00000000-0005-0000-0000-000002150000}"/>
    <cellStyle name="Normal 4 4 2 2 3 7 2" xfId="13200" xr:uid="{A1E00582-A95A-4D17-8669-90556A526212}"/>
    <cellStyle name="Normal 4 4 2 2 3 8" xfId="8982" xr:uid="{6A4E4348-5E08-487E-84F3-D1A25FAB6302}"/>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D6693FB2-EB8E-4A6E-A19F-6CF24BA3BA65}"/>
    <cellStyle name="Normal 4 4 2 2 4 2 3" xfId="11537" xr:uid="{2C7005FF-2D1C-4A8E-B9CE-6A00CECBED21}"/>
    <cellStyle name="Normal 4 4 2 2 4 3" xfId="5168" xr:uid="{00000000-0005-0000-0000-000006150000}"/>
    <cellStyle name="Normal 4 4 2 2 4 3 2" xfId="13610" xr:uid="{907C6698-CEE8-41A5-A360-05EC9F1A4573}"/>
    <cellStyle name="Normal 4 4 2 2 4 4" xfId="9392" xr:uid="{3A6FCB15-949B-4833-93E3-81618BEE74E8}"/>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CB3B21EC-BAC5-43C1-A01E-668E3F4CEBDB}"/>
    <cellStyle name="Normal 4 4 2 2 5 2 3" xfId="11950" xr:uid="{FC20FEEE-E1E1-44FA-8AE7-027E39995D5E}"/>
    <cellStyle name="Normal 4 4 2 2 5 3" xfId="5581" xr:uid="{00000000-0005-0000-0000-00000A150000}"/>
    <cellStyle name="Normal 4 4 2 2 5 3 2" xfId="14023" xr:uid="{2D17BF30-89EA-448B-A4EB-86E59E5E180A}"/>
    <cellStyle name="Normal 4 4 2 2 5 4" xfId="9805" xr:uid="{BEA6DD80-B320-4CE6-A2F0-03C7E928D846}"/>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FBAE173B-4050-4799-A081-CD593BA886E4}"/>
    <cellStyle name="Normal 4 4 2 2 6 2 3" xfId="12363" xr:uid="{F404FA41-A914-4504-B54F-7A5AB7F33C36}"/>
    <cellStyle name="Normal 4 4 2 2 6 3" xfId="5994" xr:uid="{00000000-0005-0000-0000-00000E150000}"/>
    <cellStyle name="Normal 4 4 2 2 6 3 2" xfId="14436" xr:uid="{229D5A61-DB57-44AA-B110-855C0D4F7DEC}"/>
    <cellStyle name="Normal 4 4 2 2 6 4" xfId="10218" xr:uid="{9C2B679A-3674-4A4D-A6C6-D5F5E2EDD23D}"/>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D7F9DB76-1E74-4DFB-A71D-EE1828AA6BAE}"/>
    <cellStyle name="Normal 4 4 2 2 7 2 3" xfId="12776" xr:uid="{48E6E941-4C01-4A40-968C-B9BD59F84A25}"/>
    <cellStyle name="Normal 4 4 2 2 7 3" xfId="6407" xr:uid="{00000000-0005-0000-0000-000012150000}"/>
    <cellStyle name="Normal 4 4 2 2 7 3 2" xfId="14849" xr:uid="{448E6B75-4036-4C8D-8B84-D0680727EDA0}"/>
    <cellStyle name="Normal 4 4 2 2 7 4" xfId="10631" xr:uid="{E208F58F-B7A6-45E6-A8AB-D405FC201EE7}"/>
    <cellStyle name="Normal 4 4 2 2 8" xfId="2536" xr:uid="{00000000-0005-0000-0000-000013150000}"/>
    <cellStyle name="Normal 4 4 2 2 8 2" xfId="6820" xr:uid="{00000000-0005-0000-0000-000014150000}"/>
    <cellStyle name="Normal 4 4 2 2 8 2 2" xfId="15262" xr:uid="{7489E559-5C48-4D90-8B75-9FE4A546C784}"/>
    <cellStyle name="Normal 4 4 2 2 8 3" xfId="11044" xr:uid="{AD03D18B-51EB-416A-AEDD-E5BEA5EBC628}"/>
    <cellStyle name="Normal 4 4 2 2 9" xfId="4755" xr:uid="{00000000-0005-0000-0000-000015150000}"/>
    <cellStyle name="Normal 4 4 2 2 9 2" xfId="13197" xr:uid="{4DF899FC-DD32-4440-8016-C2F61DD26001}"/>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F058C97D-8165-4B4A-85A5-817C4B012410}"/>
    <cellStyle name="Normal 4 4 2 3 2 2 2 3" xfId="11542" xr:uid="{38B2E9BB-BD81-46D4-B7BE-FEFB1F16B10E}"/>
    <cellStyle name="Normal 4 4 2 3 2 2 3" xfId="5173" xr:uid="{00000000-0005-0000-0000-00001B150000}"/>
    <cellStyle name="Normal 4 4 2 3 2 2 3 2" xfId="13615" xr:uid="{7D24E8FC-9C66-424B-98F7-B2BD72C92430}"/>
    <cellStyle name="Normal 4 4 2 3 2 2 4" xfId="9397" xr:uid="{722B4010-8F92-43DE-BF8A-B1AB066ED1A8}"/>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2169563A-EBCD-43C3-B567-0CFD5214E552}"/>
    <cellStyle name="Normal 4 4 2 3 2 3 2 3" xfId="11955" xr:uid="{5ACEF1CC-28F7-41C6-8C2C-6BA3544A0024}"/>
    <cellStyle name="Normal 4 4 2 3 2 3 3" xfId="5586" xr:uid="{00000000-0005-0000-0000-00001F150000}"/>
    <cellStyle name="Normal 4 4 2 3 2 3 3 2" xfId="14028" xr:uid="{73F0DF23-81FD-4B93-8911-D6EDDCF30158}"/>
    <cellStyle name="Normal 4 4 2 3 2 3 4" xfId="9810" xr:uid="{5452E29E-074C-4055-8918-9232CD5FD209}"/>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C9086E53-9127-41A1-A224-8B6CF9DE99AD}"/>
    <cellStyle name="Normal 4 4 2 3 2 4 2 3" xfId="12368" xr:uid="{05EF62DF-F687-4E78-A8BE-F37799C085D0}"/>
    <cellStyle name="Normal 4 4 2 3 2 4 3" xfId="5999" xr:uid="{00000000-0005-0000-0000-000023150000}"/>
    <cellStyle name="Normal 4 4 2 3 2 4 3 2" xfId="14441" xr:uid="{1AACB168-0AA4-418A-A4F6-E7256383AE6F}"/>
    <cellStyle name="Normal 4 4 2 3 2 4 4" xfId="10223" xr:uid="{2508052F-66E2-44B4-BB78-EA0E99032912}"/>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9609EAC0-F6F0-4552-8C27-407250372942}"/>
    <cellStyle name="Normal 4 4 2 3 2 5 2 3" xfId="12781" xr:uid="{52FC7AB3-6E16-401A-805C-D685CA2444C8}"/>
    <cellStyle name="Normal 4 4 2 3 2 5 3" xfId="6412" xr:uid="{00000000-0005-0000-0000-000027150000}"/>
    <cellStyle name="Normal 4 4 2 3 2 5 3 2" xfId="14854" xr:uid="{40F9456D-CA82-426A-9935-3EF571209485}"/>
    <cellStyle name="Normal 4 4 2 3 2 5 4" xfId="10636" xr:uid="{0798A6E9-A4B9-4EF4-83CA-D6B60DFED889}"/>
    <cellStyle name="Normal 4 4 2 3 2 6" xfId="2541" xr:uid="{00000000-0005-0000-0000-000028150000}"/>
    <cellStyle name="Normal 4 4 2 3 2 6 2" xfId="6825" xr:uid="{00000000-0005-0000-0000-000029150000}"/>
    <cellStyle name="Normal 4 4 2 3 2 6 2 2" xfId="15267" xr:uid="{1FE80B2F-767C-41E4-B65A-11C0E881AE92}"/>
    <cellStyle name="Normal 4 4 2 3 2 6 3" xfId="11049" xr:uid="{5FEE0B3F-B2F9-446E-B37E-7D308D704BA5}"/>
    <cellStyle name="Normal 4 4 2 3 2 7" xfId="4760" xr:uid="{00000000-0005-0000-0000-00002A150000}"/>
    <cellStyle name="Normal 4 4 2 3 2 7 2" xfId="13202" xr:uid="{7D625E61-749F-4F72-A81D-BB77C966C4DB}"/>
    <cellStyle name="Normal 4 4 2 3 2 8" xfId="8984" xr:uid="{C82FE91D-EBFB-470F-AFED-8BDB220E2F0F}"/>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6CB65038-57F9-4AA8-B46D-F95C5A5A85F8}"/>
    <cellStyle name="Normal 4 4 2 3 3 2 3" xfId="11541" xr:uid="{4A4DE493-9AB1-43DD-AEE1-48DFDF688BB5}"/>
    <cellStyle name="Normal 4 4 2 3 3 3" xfId="5172" xr:uid="{00000000-0005-0000-0000-00002E150000}"/>
    <cellStyle name="Normal 4 4 2 3 3 3 2" xfId="13614" xr:uid="{EFBC3391-5E36-462D-96AE-19E0B1920E46}"/>
    <cellStyle name="Normal 4 4 2 3 3 4" xfId="9396" xr:uid="{2AF5CD23-8322-4582-83D1-4AC3DF68B33C}"/>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6CD6EAC9-AAC3-42D9-8F15-212F0A079A45}"/>
    <cellStyle name="Normal 4 4 2 3 4 2 3" xfId="11954" xr:uid="{C3348DA7-996D-4B69-A7C5-E648C17F395F}"/>
    <cellStyle name="Normal 4 4 2 3 4 3" xfId="5585" xr:uid="{00000000-0005-0000-0000-000032150000}"/>
    <cellStyle name="Normal 4 4 2 3 4 3 2" xfId="14027" xr:uid="{C6FF1CD1-A4A4-4DD0-8272-562F37AA015C}"/>
    <cellStyle name="Normal 4 4 2 3 4 4" xfId="9809" xr:uid="{1E0CBBBC-9833-445B-A726-2048BF0D6F5F}"/>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198FE8CC-5994-4CAA-8ABA-8E61E3703A78}"/>
    <cellStyle name="Normal 4 4 2 3 5 2 3" xfId="12367" xr:uid="{06DA8438-6662-4947-9F37-7B45AE0B7294}"/>
    <cellStyle name="Normal 4 4 2 3 5 3" xfId="5998" xr:uid="{00000000-0005-0000-0000-000036150000}"/>
    <cellStyle name="Normal 4 4 2 3 5 3 2" xfId="14440" xr:uid="{0FBCF0B9-8FB5-4D07-9297-F4B022B38A57}"/>
    <cellStyle name="Normal 4 4 2 3 5 4" xfId="10222" xr:uid="{74069B0D-D31A-40F7-BB9B-0241D00B9ECC}"/>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4BBB0E67-21E0-43CC-BD17-CFA14A277EA2}"/>
    <cellStyle name="Normal 4 4 2 3 6 2 3" xfId="12780" xr:uid="{F269B0BF-1340-4A07-8392-66F6C9BBC9A5}"/>
    <cellStyle name="Normal 4 4 2 3 6 3" xfId="6411" xr:uid="{00000000-0005-0000-0000-00003A150000}"/>
    <cellStyle name="Normal 4 4 2 3 6 3 2" xfId="14853" xr:uid="{1EEB07C4-72C8-45DC-A28C-C092F56BFF19}"/>
    <cellStyle name="Normal 4 4 2 3 6 4" xfId="10635" xr:uid="{D60B1CAB-6E59-4AD3-9128-F44E4AB24C96}"/>
    <cellStyle name="Normal 4 4 2 3 7" xfId="2540" xr:uid="{00000000-0005-0000-0000-00003B150000}"/>
    <cellStyle name="Normal 4 4 2 3 7 2" xfId="6824" xr:uid="{00000000-0005-0000-0000-00003C150000}"/>
    <cellStyle name="Normal 4 4 2 3 7 2 2" xfId="15266" xr:uid="{B6DB1AAF-5458-4758-8227-CE75CD9766AE}"/>
    <cellStyle name="Normal 4 4 2 3 7 3" xfId="11048" xr:uid="{1F9E321C-486C-4060-A3BB-0D3A5953D59A}"/>
    <cellStyle name="Normal 4 4 2 3 8" xfId="4759" xr:uid="{00000000-0005-0000-0000-00003D150000}"/>
    <cellStyle name="Normal 4 4 2 3 8 2" xfId="13201" xr:uid="{1EBA92F8-F718-437C-8391-69005FBC0BA2}"/>
    <cellStyle name="Normal 4 4 2 3 9" xfId="8983" xr:uid="{A1835CCC-0ABC-482D-9FC4-C12A60E12A65}"/>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DAACCF9A-22A2-4237-B57C-658D07885C1A}"/>
    <cellStyle name="Normal 4 4 2 4 2 2 3" xfId="11543" xr:uid="{18EDA517-D931-4545-9C88-07DD08EE8B72}"/>
    <cellStyle name="Normal 4 4 2 4 2 3" xfId="5174" xr:uid="{00000000-0005-0000-0000-000042150000}"/>
    <cellStyle name="Normal 4 4 2 4 2 3 2" xfId="13616" xr:uid="{E5F7CE1B-6924-4035-9C66-8847F40048A0}"/>
    <cellStyle name="Normal 4 4 2 4 2 4" xfId="9398" xr:uid="{2B86D4CE-32FD-4257-80FC-791569436B0C}"/>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A5DF5116-5979-4BE6-8CBF-160A14BF7EB0}"/>
    <cellStyle name="Normal 4 4 2 4 3 2 3" xfId="11956" xr:uid="{A2056878-6202-443A-8415-591E6D3E670A}"/>
    <cellStyle name="Normal 4 4 2 4 3 3" xfId="5587" xr:uid="{00000000-0005-0000-0000-000046150000}"/>
    <cellStyle name="Normal 4 4 2 4 3 3 2" xfId="14029" xr:uid="{B96F0334-5383-42AC-83EC-47CC9040860A}"/>
    <cellStyle name="Normal 4 4 2 4 3 4" xfId="9811" xr:uid="{16257D0C-679C-427F-9215-966E61327501}"/>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C658737D-959A-4935-BBFA-67A3378FB788}"/>
    <cellStyle name="Normal 4 4 2 4 4 2 3" xfId="12369" xr:uid="{78C2FF78-397D-45BC-841C-B3F92B90571C}"/>
    <cellStyle name="Normal 4 4 2 4 4 3" xfId="6000" xr:uid="{00000000-0005-0000-0000-00004A150000}"/>
    <cellStyle name="Normal 4 4 2 4 4 3 2" xfId="14442" xr:uid="{1D532EA8-C538-4F21-B802-AA913F25D5DB}"/>
    <cellStyle name="Normal 4 4 2 4 4 4" xfId="10224" xr:uid="{2D1F7669-9240-4624-918C-388AFCE9598E}"/>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7A43E506-5A80-46D3-8119-835FD3F5B99C}"/>
    <cellStyle name="Normal 4 4 2 4 5 2 3" xfId="12782" xr:uid="{0FE80FC5-DB32-4389-A94F-01619B04EE85}"/>
    <cellStyle name="Normal 4 4 2 4 5 3" xfId="6413" xr:uid="{00000000-0005-0000-0000-00004E150000}"/>
    <cellStyle name="Normal 4 4 2 4 5 3 2" xfId="14855" xr:uid="{14AC1521-6792-4FE7-8151-C4448F46CF8D}"/>
    <cellStyle name="Normal 4 4 2 4 5 4" xfId="10637" xr:uid="{DBECB2CB-7D7C-4ED8-80AE-795AC14713F0}"/>
    <cellStyle name="Normal 4 4 2 4 6" xfId="2542" xr:uid="{00000000-0005-0000-0000-00004F150000}"/>
    <cellStyle name="Normal 4 4 2 4 6 2" xfId="6826" xr:uid="{00000000-0005-0000-0000-000050150000}"/>
    <cellStyle name="Normal 4 4 2 4 6 2 2" xfId="15268" xr:uid="{A52D8849-F546-4069-84BA-6543A68A7F91}"/>
    <cellStyle name="Normal 4 4 2 4 6 3" xfId="11050" xr:uid="{430119CF-4080-4F3C-90F7-217CF86CAA0D}"/>
    <cellStyle name="Normal 4 4 2 4 7" xfId="4761" xr:uid="{00000000-0005-0000-0000-000051150000}"/>
    <cellStyle name="Normal 4 4 2 4 7 2" xfId="13203" xr:uid="{F11645FF-6877-4849-8465-366FEEB27198}"/>
    <cellStyle name="Normal 4 4 2 4 8" xfId="8985" xr:uid="{A6815E02-F367-41F0-A99D-B313B2A2DF61}"/>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2675B6CE-F8BC-4E4D-8C50-2901AC3A15D3}"/>
    <cellStyle name="Normal 4 4 2 5 2 3" xfId="11536" xr:uid="{00250B07-9B76-497D-ADE3-A97B20283DEB}"/>
    <cellStyle name="Normal 4 4 2 5 3" xfId="5167" xr:uid="{00000000-0005-0000-0000-000055150000}"/>
    <cellStyle name="Normal 4 4 2 5 3 2" xfId="13609" xr:uid="{C5230BFD-1C7D-4C75-B5D8-9F5914D2D9D1}"/>
    <cellStyle name="Normal 4 4 2 5 4" xfId="9391" xr:uid="{F28F6A30-098C-45F3-A779-4F1FABE08F83}"/>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6F535F3F-FD31-48D5-8C6D-84C993370BC5}"/>
    <cellStyle name="Normal 4 4 2 6 2 3" xfId="11949" xr:uid="{BC206FCE-892D-4CE4-8EE6-8CD1282DA609}"/>
    <cellStyle name="Normal 4 4 2 6 3" xfId="5580" xr:uid="{00000000-0005-0000-0000-000059150000}"/>
    <cellStyle name="Normal 4 4 2 6 3 2" xfId="14022" xr:uid="{9FD05011-A982-4377-A63F-220EF176552F}"/>
    <cellStyle name="Normal 4 4 2 6 4" xfId="9804" xr:uid="{887B393F-CBB3-4269-8BAA-0599BD47C7CF}"/>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CD5B6615-A541-4626-AA24-2CA551AC02F3}"/>
    <cellStyle name="Normal 4 4 2 7 2 3" xfId="12362" xr:uid="{2E778B30-9318-458F-83A5-EEE57763BF76}"/>
    <cellStyle name="Normal 4 4 2 7 3" xfId="5993" xr:uid="{00000000-0005-0000-0000-00005D150000}"/>
    <cellStyle name="Normal 4 4 2 7 3 2" xfId="14435" xr:uid="{2BBFBE7E-DDFB-41D5-88CF-4905CC85EE38}"/>
    <cellStyle name="Normal 4 4 2 7 4" xfId="10217" xr:uid="{6A6F53C7-F481-4A30-AB11-EFBEFA6739D6}"/>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D855F5F1-B1F6-43EA-8BEF-7A1AE9F8AF30}"/>
    <cellStyle name="Normal 4 4 2 8 2 3" xfId="12775" xr:uid="{4A013574-0084-4338-947E-EA2ACC1BC2F8}"/>
    <cellStyle name="Normal 4 4 2 8 3" xfId="6406" xr:uid="{00000000-0005-0000-0000-000061150000}"/>
    <cellStyle name="Normal 4 4 2 8 3 2" xfId="14848" xr:uid="{756518AC-85F0-4233-A0C3-66D985AB679B}"/>
    <cellStyle name="Normal 4 4 2 8 4" xfId="10630" xr:uid="{C8E016E4-D5D7-403A-A75D-82C3B61FAC68}"/>
    <cellStyle name="Normal 4 4 2 9" xfId="2535" xr:uid="{00000000-0005-0000-0000-000062150000}"/>
    <cellStyle name="Normal 4 4 2 9 2" xfId="6819" xr:uid="{00000000-0005-0000-0000-000063150000}"/>
    <cellStyle name="Normal 4 4 2 9 2 2" xfId="15261" xr:uid="{9E5F3191-77FB-462A-B80A-E12582976D90}"/>
    <cellStyle name="Normal 4 4 2 9 3" xfId="11043" xr:uid="{2B12BE64-7042-45E3-A8FE-1C159E59B592}"/>
    <cellStyle name="Normal 4 4 3" xfId="387" xr:uid="{00000000-0005-0000-0000-000064150000}"/>
    <cellStyle name="Normal 4 4 3 10" xfId="8986" xr:uid="{7F970539-D4B3-42ED-B3E0-FA670A869F2C}"/>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4B335996-F153-4518-9294-0344628438F3}"/>
    <cellStyle name="Normal 4 4 3 2 2 2 2 3" xfId="11546" xr:uid="{7C4E89CB-6061-46C9-8D74-4E29CC828039}"/>
    <cellStyle name="Normal 4 4 3 2 2 2 3" xfId="5177" xr:uid="{00000000-0005-0000-0000-00006A150000}"/>
    <cellStyle name="Normal 4 4 3 2 2 2 3 2" xfId="13619" xr:uid="{0C824DBA-4877-4F49-8F28-39BE54E7293B}"/>
    <cellStyle name="Normal 4 4 3 2 2 2 4" xfId="9401" xr:uid="{7B4C5E2E-C4B9-4C68-9B84-895FD543FA8A}"/>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91830455-2FE2-4EE5-8348-346083A87CA9}"/>
    <cellStyle name="Normal 4 4 3 2 2 3 2 3" xfId="11959" xr:uid="{81FD21A1-E6E0-416B-AFAC-69115B60F9F4}"/>
    <cellStyle name="Normal 4 4 3 2 2 3 3" xfId="5590" xr:uid="{00000000-0005-0000-0000-00006E150000}"/>
    <cellStyle name="Normal 4 4 3 2 2 3 3 2" xfId="14032" xr:uid="{0BF095F6-C9F4-40B8-BA09-2DEEFF1FE76C}"/>
    <cellStyle name="Normal 4 4 3 2 2 3 4" xfId="9814" xr:uid="{937D6FC5-02BC-4E76-881E-6C19DA8E53D3}"/>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593EE941-1E0E-4C54-9300-90B738780204}"/>
    <cellStyle name="Normal 4 4 3 2 2 4 2 3" xfId="12372" xr:uid="{E9AE0EF3-AA66-4F3D-80D9-96E840F25AAD}"/>
    <cellStyle name="Normal 4 4 3 2 2 4 3" xfId="6003" xr:uid="{00000000-0005-0000-0000-000072150000}"/>
    <cellStyle name="Normal 4 4 3 2 2 4 3 2" xfId="14445" xr:uid="{EA5922D3-69AD-46AD-A916-AF0F16E5CF1E}"/>
    <cellStyle name="Normal 4 4 3 2 2 4 4" xfId="10227" xr:uid="{DE9D0845-BE97-4F9B-877B-B7E8164ABB2D}"/>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9AE321E7-8B9F-43CB-8946-72E78CB503AF}"/>
    <cellStyle name="Normal 4 4 3 2 2 5 2 3" xfId="12785" xr:uid="{47FEA5E7-C83C-48AD-9C46-ADBE807DFC50}"/>
    <cellStyle name="Normal 4 4 3 2 2 5 3" xfId="6416" xr:uid="{00000000-0005-0000-0000-000076150000}"/>
    <cellStyle name="Normal 4 4 3 2 2 5 3 2" xfId="14858" xr:uid="{3CCCCFEA-DCE5-485F-9F00-1A00443F9B9C}"/>
    <cellStyle name="Normal 4 4 3 2 2 5 4" xfId="10640" xr:uid="{6D720B34-0918-456C-BE9E-4971FE09442C}"/>
    <cellStyle name="Normal 4 4 3 2 2 6" xfId="2545" xr:uid="{00000000-0005-0000-0000-000077150000}"/>
    <cellStyle name="Normal 4 4 3 2 2 6 2" xfId="6829" xr:uid="{00000000-0005-0000-0000-000078150000}"/>
    <cellStyle name="Normal 4 4 3 2 2 6 2 2" xfId="15271" xr:uid="{8CF37F39-6215-475F-91A4-36BE0AA2B0BD}"/>
    <cellStyle name="Normal 4 4 3 2 2 6 3" xfId="11053" xr:uid="{AA455D80-73FB-41CC-B22F-8E03A17FDC68}"/>
    <cellStyle name="Normal 4 4 3 2 2 7" xfId="4764" xr:uid="{00000000-0005-0000-0000-000079150000}"/>
    <cellStyle name="Normal 4 4 3 2 2 7 2" xfId="13206" xr:uid="{6D7E96AB-1AAC-442C-86E5-6847C4324655}"/>
    <cellStyle name="Normal 4 4 3 2 2 8" xfId="8988" xr:uid="{FECDDD6B-72C3-48E8-8091-34DD6E376DD8}"/>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AE3964C5-682D-4FD3-8506-722132727CC6}"/>
    <cellStyle name="Normal 4 4 3 2 3 2 3" xfId="11545" xr:uid="{936AC5A6-70DE-4A17-867B-FCB3CE598563}"/>
    <cellStyle name="Normal 4 4 3 2 3 3" xfId="5176" xr:uid="{00000000-0005-0000-0000-00007D150000}"/>
    <cellStyle name="Normal 4 4 3 2 3 3 2" xfId="13618" xr:uid="{EC02B836-28AA-4101-8D7C-64AF7387B4D1}"/>
    <cellStyle name="Normal 4 4 3 2 3 4" xfId="9400" xr:uid="{EFC4BBC8-6666-48A3-8E6E-BFC3BE6C7EF9}"/>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2BB0A689-9FFD-4B09-BDEC-CCE8A1E55639}"/>
    <cellStyle name="Normal 4 4 3 2 4 2 3" xfId="11958" xr:uid="{89346658-9F25-4EE5-8B9C-0847A0203A23}"/>
    <cellStyle name="Normal 4 4 3 2 4 3" xfId="5589" xr:uid="{00000000-0005-0000-0000-000081150000}"/>
    <cellStyle name="Normal 4 4 3 2 4 3 2" xfId="14031" xr:uid="{17344D53-1AC5-44EA-8057-7E98C1680B49}"/>
    <cellStyle name="Normal 4 4 3 2 4 4" xfId="9813" xr:uid="{4F703385-E7A7-43AA-BE76-D1181FDA9F31}"/>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DF925F13-519D-4D96-A39B-89A4373ABF42}"/>
    <cellStyle name="Normal 4 4 3 2 5 2 3" xfId="12371" xr:uid="{CCE23FBE-C96E-4FD4-8E3F-64B71F9A9619}"/>
    <cellStyle name="Normal 4 4 3 2 5 3" xfId="6002" xr:uid="{00000000-0005-0000-0000-000085150000}"/>
    <cellStyle name="Normal 4 4 3 2 5 3 2" xfId="14444" xr:uid="{063476B0-BBF0-4277-BF31-57DD94B6B14F}"/>
    <cellStyle name="Normal 4 4 3 2 5 4" xfId="10226" xr:uid="{DD16817F-A7FC-4B88-9F82-4758B52ED95D}"/>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9CE02954-85F1-400E-871A-399B75A869D3}"/>
    <cellStyle name="Normal 4 4 3 2 6 2 3" xfId="12784" xr:uid="{9F6DDCF2-F5C5-4ECC-AC4E-682AA4DCAC24}"/>
    <cellStyle name="Normal 4 4 3 2 6 3" xfId="6415" xr:uid="{00000000-0005-0000-0000-000089150000}"/>
    <cellStyle name="Normal 4 4 3 2 6 3 2" xfId="14857" xr:uid="{0FD45A94-B733-4547-BC6B-13085D2EAFF8}"/>
    <cellStyle name="Normal 4 4 3 2 6 4" xfId="10639" xr:uid="{9D9D3E04-7E7B-4124-BE74-61FF0F959C43}"/>
    <cellStyle name="Normal 4 4 3 2 7" xfId="2544" xr:uid="{00000000-0005-0000-0000-00008A150000}"/>
    <cellStyle name="Normal 4 4 3 2 7 2" xfId="6828" xr:uid="{00000000-0005-0000-0000-00008B150000}"/>
    <cellStyle name="Normal 4 4 3 2 7 2 2" xfId="15270" xr:uid="{0C85C009-4254-4E0B-A0A2-342127C33465}"/>
    <cellStyle name="Normal 4 4 3 2 7 3" xfId="11052" xr:uid="{54A4A1EC-CD67-4E36-8550-CACEDBE5BEC3}"/>
    <cellStyle name="Normal 4 4 3 2 8" xfId="4763" xr:uid="{00000000-0005-0000-0000-00008C150000}"/>
    <cellStyle name="Normal 4 4 3 2 8 2" xfId="13205" xr:uid="{6384F159-74CF-40E1-97AD-DDBF07DA437E}"/>
    <cellStyle name="Normal 4 4 3 2 9" xfId="8987" xr:uid="{84F9F444-95EF-415D-9E73-097B229F8E4B}"/>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4441C514-D8E0-4BF6-A87C-F677DB86FF99}"/>
    <cellStyle name="Normal 4 4 3 3 2 2 3" xfId="11547" xr:uid="{54C7587A-EFD3-4A6B-BEF6-4652537DD4EA}"/>
    <cellStyle name="Normal 4 4 3 3 2 3" xfId="5178" xr:uid="{00000000-0005-0000-0000-000091150000}"/>
    <cellStyle name="Normal 4 4 3 3 2 3 2" xfId="13620" xr:uid="{555E2097-7370-46D3-94BD-C90342A10322}"/>
    <cellStyle name="Normal 4 4 3 3 2 4" xfId="9402" xr:uid="{F2ABB65F-5380-46BA-B5DC-5CCC0F3FC805}"/>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AC3EBA0B-CE78-4AAD-9190-A23F69EEF1CA}"/>
    <cellStyle name="Normal 4 4 3 3 3 2 3" xfId="11960" xr:uid="{C5152A7D-6741-4340-9D2A-739C705B270C}"/>
    <cellStyle name="Normal 4 4 3 3 3 3" xfId="5591" xr:uid="{00000000-0005-0000-0000-000095150000}"/>
    <cellStyle name="Normal 4 4 3 3 3 3 2" xfId="14033" xr:uid="{6AE88C03-CCAF-40A2-AFE0-50099B1519C4}"/>
    <cellStyle name="Normal 4 4 3 3 3 4" xfId="9815" xr:uid="{348E7316-6F38-4AF6-98B3-5559E30172EE}"/>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9B7B3147-3EAA-47B3-9DB0-8EF78225B6E4}"/>
    <cellStyle name="Normal 4 4 3 3 4 2 3" xfId="12373" xr:uid="{A3C6927C-9C02-463B-A2CA-D64EAE28F187}"/>
    <cellStyle name="Normal 4 4 3 3 4 3" xfId="6004" xr:uid="{00000000-0005-0000-0000-000099150000}"/>
    <cellStyle name="Normal 4 4 3 3 4 3 2" xfId="14446" xr:uid="{86530928-B307-4D46-AD08-BDF95D4D28BB}"/>
    <cellStyle name="Normal 4 4 3 3 4 4" xfId="10228" xr:uid="{8F01BDD2-B7BF-4A0D-B1BA-9B4F09F4C65E}"/>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62B58EC9-5E2E-4833-9C15-95231139B104}"/>
    <cellStyle name="Normal 4 4 3 3 5 2 3" xfId="12786" xr:uid="{FEAC1531-DD01-42FE-93DC-F4E80373EC0C}"/>
    <cellStyle name="Normal 4 4 3 3 5 3" xfId="6417" xr:uid="{00000000-0005-0000-0000-00009D150000}"/>
    <cellStyle name="Normal 4 4 3 3 5 3 2" xfId="14859" xr:uid="{F51E5E7B-940C-4C92-BE7B-5AAE48D9CA29}"/>
    <cellStyle name="Normal 4 4 3 3 5 4" xfId="10641" xr:uid="{F605436E-3AA6-4512-B376-68B3789CF79A}"/>
    <cellStyle name="Normal 4 4 3 3 6" xfId="2546" xr:uid="{00000000-0005-0000-0000-00009E150000}"/>
    <cellStyle name="Normal 4 4 3 3 6 2" xfId="6830" xr:uid="{00000000-0005-0000-0000-00009F150000}"/>
    <cellStyle name="Normal 4 4 3 3 6 2 2" xfId="15272" xr:uid="{4A60D1DE-F237-4FB1-B6AA-03877B107AD6}"/>
    <cellStyle name="Normal 4 4 3 3 6 3" xfId="11054" xr:uid="{7B783434-1853-4368-ACCE-63C487A0D5D6}"/>
    <cellStyle name="Normal 4 4 3 3 7" xfId="4765" xr:uid="{00000000-0005-0000-0000-0000A0150000}"/>
    <cellStyle name="Normal 4 4 3 3 7 2" xfId="13207" xr:uid="{60FDBA2B-3A00-4CBA-A85D-9DF67D74AFF7}"/>
    <cellStyle name="Normal 4 4 3 3 8" xfId="8989" xr:uid="{954C8C76-CA34-4FFA-8322-2CAF5B6E6C9C}"/>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AFB6E5B9-5862-41C4-92F6-2EFAF241DA08}"/>
    <cellStyle name="Normal 4 4 3 4 2 3" xfId="11544" xr:uid="{8BDBAC35-A2BF-4B94-A879-1F0A84A520D2}"/>
    <cellStyle name="Normal 4 4 3 4 3" xfId="5175" xr:uid="{00000000-0005-0000-0000-0000A4150000}"/>
    <cellStyle name="Normal 4 4 3 4 3 2" xfId="13617" xr:uid="{E7D8BB2D-8130-43FF-B98A-A89EA73B9280}"/>
    <cellStyle name="Normal 4 4 3 4 4" xfId="9399" xr:uid="{F0B0B67F-910F-4494-9D72-451A262F7A9B}"/>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66C1BFC5-961C-485F-8649-27C57DF3AE1C}"/>
    <cellStyle name="Normal 4 4 3 5 2 3" xfId="11957" xr:uid="{0E4F71CF-7178-4158-9D64-9709C867A225}"/>
    <cellStyle name="Normal 4 4 3 5 3" xfId="5588" xr:uid="{00000000-0005-0000-0000-0000A8150000}"/>
    <cellStyle name="Normal 4 4 3 5 3 2" xfId="14030" xr:uid="{FE74766B-0DA5-468C-A136-0847E1372793}"/>
    <cellStyle name="Normal 4 4 3 5 4" xfId="9812" xr:uid="{F41BF102-B9EC-420C-900D-D6DAD0BA6F8C}"/>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15AEA99A-FC14-4610-BF43-83B3CB7DE03C}"/>
    <cellStyle name="Normal 4 4 3 6 2 3" xfId="12370" xr:uid="{9186ECD0-3DC6-4EDC-AB97-E8DA0A271170}"/>
    <cellStyle name="Normal 4 4 3 6 3" xfId="6001" xr:uid="{00000000-0005-0000-0000-0000AC150000}"/>
    <cellStyle name="Normal 4 4 3 6 3 2" xfId="14443" xr:uid="{228B9F7B-F8CF-4289-BCC8-B9617D5B44C5}"/>
    <cellStyle name="Normal 4 4 3 6 4" xfId="10225" xr:uid="{25563DF1-7F84-4B1E-8473-3024F2800529}"/>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5578B69-B263-4F13-A994-3DC2CB6C39AD}"/>
    <cellStyle name="Normal 4 4 3 7 2 3" xfId="12783" xr:uid="{574505E4-BFA2-4D0F-99F7-84B8DD761A1E}"/>
    <cellStyle name="Normal 4 4 3 7 3" xfId="6414" xr:uid="{00000000-0005-0000-0000-0000B0150000}"/>
    <cellStyle name="Normal 4 4 3 7 3 2" xfId="14856" xr:uid="{DCA81350-4805-4132-8A95-B8C4DEA97971}"/>
    <cellStyle name="Normal 4 4 3 7 4" xfId="10638" xr:uid="{18F6DCBE-BB88-4D70-A6D8-691A29417A92}"/>
    <cellStyle name="Normal 4 4 3 8" xfId="2543" xr:uid="{00000000-0005-0000-0000-0000B1150000}"/>
    <cellStyle name="Normal 4 4 3 8 2" xfId="6827" xr:uid="{00000000-0005-0000-0000-0000B2150000}"/>
    <cellStyle name="Normal 4 4 3 8 2 2" xfId="15269" xr:uid="{FD562988-6F58-4C77-B614-9473E4964548}"/>
    <cellStyle name="Normal 4 4 3 8 3" xfId="11051" xr:uid="{B5C48B99-39CA-466D-B909-E982D3FB48D6}"/>
    <cellStyle name="Normal 4 4 3 9" xfId="4762" xr:uid="{00000000-0005-0000-0000-0000B3150000}"/>
    <cellStyle name="Normal 4 4 3 9 2" xfId="13204" xr:uid="{4E7517AB-6B60-4E95-96C5-4A481B4CBCCE}"/>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6F924232-4DCD-4502-9F93-BEBFCFFC531B}"/>
    <cellStyle name="Normal 4 4 4 2 2 2 3" xfId="11549" xr:uid="{467C3B11-EA3A-43E1-AF34-A0CA4A7852D5}"/>
    <cellStyle name="Normal 4 4 4 2 2 3" xfId="5180" xr:uid="{00000000-0005-0000-0000-0000B9150000}"/>
    <cellStyle name="Normal 4 4 4 2 2 3 2" xfId="13622" xr:uid="{F71047FB-94D6-49D9-97E5-D85936E4B87A}"/>
    <cellStyle name="Normal 4 4 4 2 2 4" xfId="9404" xr:uid="{D1B93DF3-F91A-4B9A-95A3-230FE217B4FD}"/>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88A389FF-BB4C-43CB-B625-EA45CA205C0D}"/>
    <cellStyle name="Normal 4 4 4 2 3 2 3" xfId="11962" xr:uid="{CE03BA8F-08EF-447D-B466-46125BA6615D}"/>
    <cellStyle name="Normal 4 4 4 2 3 3" xfId="5593" xr:uid="{00000000-0005-0000-0000-0000BD150000}"/>
    <cellStyle name="Normal 4 4 4 2 3 3 2" xfId="14035" xr:uid="{2762742D-E307-4482-9269-4FD693D0C2CC}"/>
    <cellStyle name="Normal 4 4 4 2 3 4" xfId="9817" xr:uid="{5524BD98-C0BC-4DF7-9F34-D957CDE7AA47}"/>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6B9FD3C7-F1FF-4934-AF7A-6CAB107A0BC2}"/>
    <cellStyle name="Normal 4 4 4 2 4 2 3" xfId="12375" xr:uid="{0AD14948-E05C-45F5-9442-B27B4FBF31E4}"/>
    <cellStyle name="Normal 4 4 4 2 4 3" xfId="6006" xr:uid="{00000000-0005-0000-0000-0000C1150000}"/>
    <cellStyle name="Normal 4 4 4 2 4 3 2" xfId="14448" xr:uid="{D498A3C6-9F5F-4C5A-845C-1857725B5658}"/>
    <cellStyle name="Normal 4 4 4 2 4 4" xfId="10230" xr:uid="{1B13E507-A0BA-4BF7-B24D-F5708F3E57BA}"/>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7B762075-265F-4710-A417-CA165639A48E}"/>
    <cellStyle name="Normal 4 4 4 2 5 2 3" xfId="12788" xr:uid="{A6882536-6DAD-4832-9BE0-145DE3E251A1}"/>
    <cellStyle name="Normal 4 4 4 2 5 3" xfId="6419" xr:uid="{00000000-0005-0000-0000-0000C5150000}"/>
    <cellStyle name="Normal 4 4 4 2 5 3 2" xfId="14861" xr:uid="{0085FBC2-68B0-44A0-A286-CD09B8255241}"/>
    <cellStyle name="Normal 4 4 4 2 5 4" xfId="10643" xr:uid="{E9ACF2EB-B66D-44AD-8DEB-A320BE3E7A56}"/>
    <cellStyle name="Normal 4 4 4 2 6" xfId="2548" xr:uid="{00000000-0005-0000-0000-0000C6150000}"/>
    <cellStyle name="Normal 4 4 4 2 6 2" xfId="6832" xr:uid="{00000000-0005-0000-0000-0000C7150000}"/>
    <cellStyle name="Normal 4 4 4 2 6 2 2" xfId="15274" xr:uid="{61944082-57C3-4EF3-8FB2-F7A03FDC9C4F}"/>
    <cellStyle name="Normal 4 4 4 2 6 3" xfId="11056" xr:uid="{C322B05C-7891-44ED-8C10-A70F0ED541F3}"/>
    <cellStyle name="Normal 4 4 4 2 7" xfId="4767" xr:uid="{00000000-0005-0000-0000-0000C8150000}"/>
    <cellStyle name="Normal 4 4 4 2 7 2" xfId="13209" xr:uid="{C474A016-D9B0-413C-9058-12100AEEAF06}"/>
    <cellStyle name="Normal 4 4 4 2 8" xfId="8991" xr:uid="{4399E2F3-983D-47B1-97E5-67BDE474BB54}"/>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1EFD159D-94A1-434D-919F-AB3BBDA666CF}"/>
    <cellStyle name="Normal 4 4 4 3 2 3" xfId="11548" xr:uid="{9CC12D50-40E1-4FB2-BF3D-4ECE647F2CE7}"/>
    <cellStyle name="Normal 4 4 4 3 3" xfId="5179" xr:uid="{00000000-0005-0000-0000-0000CC150000}"/>
    <cellStyle name="Normal 4 4 4 3 3 2" xfId="13621" xr:uid="{5F5A57A3-2EAA-4761-81AB-BB04EA9779FA}"/>
    <cellStyle name="Normal 4 4 4 3 4" xfId="9403" xr:uid="{8C734273-84DF-4D61-891E-56EB2DA0ECC8}"/>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2A267778-D710-4328-93EB-2271F34B6C88}"/>
    <cellStyle name="Normal 4 4 4 4 2 3" xfId="11961" xr:uid="{2D8E5E94-CD4E-4ED7-A5E1-D64D53B884C9}"/>
    <cellStyle name="Normal 4 4 4 4 3" xfId="5592" xr:uid="{00000000-0005-0000-0000-0000D0150000}"/>
    <cellStyle name="Normal 4 4 4 4 3 2" xfId="14034" xr:uid="{8BDC09D2-EE78-414F-92E9-FB2777B8BBB6}"/>
    <cellStyle name="Normal 4 4 4 4 4" xfId="9816" xr:uid="{51D9EAFF-7BBF-4A34-81A1-A7EAC510260C}"/>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D2BDA82A-9B0A-4E47-BF44-4538F55C45C6}"/>
    <cellStyle name="Normal 4 4 4 5 2 3" xfId="12374" xr:uid="{37A40C52-0491-4E84-BA96-1992414C497B}"/>
    <cellStyle name="Normal 4 4 4 5 3" xfId="6005" xr:uid="{00000000-0005-0000-0000-0000D4150000}"/>
    <cellStyle name="Normal 4 4 4 5 3 2" xfId="14447" xr:uid="{3FDF98A6-8437-4BAE-9553-6DAE963AAB66}"/>
    <cellStyle name="Normal 4 4 4 5 4" xfId="10229" xr:uid="{14036786-E71C-41F8-9DB9-CB4ADB81D96F}"/>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1AF3F4DC-9BA6-485D-8653-BE60D5491550}"/>
    <cellStyle name="Normal 4 4 4 6 2 3" xfId="12787" xr:uid="{21CB8DCF-E5EA-4463-8D95-F609C8A6D7E7}"/>
    <cellStyle name="Normal 4 4 4 6 3" xfId="6418" xr:uid="{00000000-0005-0000-0000-0000D8150000}"/>
    <cellStyle name="Normal 4 4 4 6 3 2" xfId="14860" xr:uid="{937A4FBD-22B4-4340-A5D8-420BE03144EF}"/>
    <cellStyle name="Normal 4 4 4 6 4" xfId="10642" xr:uid="{63B0F3D7-8749-4DA0-9580-65A6D79DEE69}"/>
    <cellStyle name="Normal 4 4 4 7" xfId="2547" xr:uid="{00000000-0005-0000-0000-0000D9150000}"/>
    <cellStyle name="Normal 4 4 4 7 2" xfId="6831" xr:uid="{00000000-0005-0000-0000-0000DA150000}"/>
    <cellStyle name="Normal 4 4 4 7 2 2" xfId="15273" xr:uid="{F7B4FC5E-86D9-47BD-A240-B325D636BFBA}"/>
    <cellStyle name="Normal 4 4 4 7 3" xfId="11055" xr:uid="{2F8C0BFC-76E6-46E7-9F34-C6F8A16D4114}"/>
    <cellStyle name="Normal 4 4 4 8" xfId="4766" xr:uid="{00000000-0005-0000-0000-0000DB150000}"/>
    <cellStyle name="Normal 4 4 4 8 2" xfId="13208" xr:uid="{AFC24671-D9E9-4784-AB92-5202DDD9EBBB}"/>
    <cellStyle name="Normal 4 4 4 9" xfId="8990" xr:uid="{F72F7514-3B31-4E7D-BA87-9BC0B12C9DC1}"/>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4F89DDAD-CA95-416A-92C3-68799FCDEA0A}"/>
    <cellStyle name="Normal 4 4 5 2 2 3" xfId="11550" xr:uid="{D887853A-8A9F-4BBD-AEE5-33850AB007E6}"/>
    <cellStyle name="Normal 4 4 5 2 3" xfId="5181" xr:uid="{00000000-0005-0000-0000-0000E0150000}"/>
    <cellStyle name="Normal 4 4 5 2 3 2" xfId="13623" xr:uid="{47EE48E9-B047-4917-ABD2-5F9C40C1DFB3}"/>
    <cellStyle name="Normal 4 4 5 2 4" xfId="9405" xr:uid="{385FFC50-2435-4B94-81F1-40A5C049E105}"/>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D445115C-6AC7-4777-ADB6-DBA56BE8D23D}"/>
    <cellStyle name="Normal 4 4 5 3 2 3" xfId="11963" xr:uid="{59C07A0C-4FF5-4E71-B68E-2C37DEC77C5A}"/>
    <cellStyle name="Normal 4 4 5 3 3" xfId="5594" xr:uid="{00000000-0005-0000-0000-0000E4150000}"/>
    <cellStyle name="Normal 4 4 5 3 3 2" xfId="14036" xr:uid="{6D5EC5DB-23CB-443D-BC6B-E08B66E58B29}"/>
    <cellStyle name="Normal 4 4 5 3 4" xfId="9818" xr:uid="{C995FBE9-1676-4814-9A0C-4F972E40F0D2}"/>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8BC3B199-6573-4645-9D4E-1789FA37C6A6}"/>
    <cellStyle name="Normal 4 4 5 4 2 3" xfId="12376" xr:uid="{4728D020-A179-4C23-BB67-423F0D3AC269}"/>
    <cellStyle name="Normal 4 4 5 4 3" xfId="6007" xr:uid="{00000000-0005-0000-0000-0000E8150000}"/>
    <cellStyle name="Normal 4 4 5 4 3 2" xfId="14449" xr:uid="{E69FC955-CF29-4A42-9F9D-4EDE62B76A45}"/>
    <cellStyle name="Normal 4 4 5 4 4" xfId="10231" xr:uid="{64AA8400-9035-453B-9583-78ACA7E42D25}"/>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455C1891-48A7-4B98-831E-2DF8BD42EEE9}"/>
    <cellStyle name="Normal 4 4 5 5 2 3" xfId="12789" xr:uid="{DE6D42AA-D15C-4CF5-8DFC-E47A0D477B7C}"/>
    <cellStyle name="Normal 4 4 5 5 3" xfId="6420" xr:uid="{00000000-0005-0000-0000-0000EC150000}"/>
    <cellStyle name="Normal 4 4 5 5 3 2" xfId="14862" xr:uid="{AE430882-27BC-4B87-8605-626E97720E19}"/>
    <cellStyle name="Normal 4 4 5 5 4" xfId="10644" xr:uid="{629E6CEB-CA55-45EF-9BD1-F31042E72174}"/>
    <cellStyle name="Normal 4 4 5 6" xfId="2549" xr:uid="{00000000-0005-0000-0000-0000ED150000}"/>
    <cellStyle name="Normal 4 4 5 6 2" xfId="6833" xr:uid="{00000000-0005-0000-0000-0000EE150000}"/>
    <cellStyle name="Normal 4 4 5 6 2 2" xfId="15275" xr:uid="{54BBD3C9-AFF0-4F21-80E6-9C704C862B34}"/>
    <cellStyle name="Normal 4 4 5 6 3" xfId="11057" xr:uid="{7EE4E186-449B-4CEC-B5B6-87285C287C80}"/>
    <cellStyle name="Normal 4 4 5 7" xfId="4768" xr:uid="{00000000-0005-0000-0000-0000EF150000}"/>
    <cellStyle name="Normal 4 4 5 7 2" xfId="13210" xr:uid="{921A13F9-6227-4C39-A623-D10FE2C1EF61}"/>
    <cellStyle name="Normal 4 4 5 8" xfId="8992" xr:uid="{F3E83FF2-0F4B-4DE6-A0FC-5BF8B2D274DA}"/>
    <cellStyle name="Normal 4 4 6" xfId="853" xr:uid="{00000000-0005-0000-0000-0000F0150000}"/>
    <cellStyle name="Normal 4 4 6 2" xfId="3088" xr:uid="{00000000-0005-0000-0000-0000F1150000}"/>
    <cellStyle name="Normal 4 4 6 2 2" xfId="7311" xr:uid="{00000000-0005-0000-0000-0000F2150000}"/>
    <cellStyle name="Normal 4 4 6 2 2 2" xfId="15753" xr:uid="{9EE54864-497D-46FD-8681-9750277C671B}"/>
    <cellStyle name="Normal 4 4 6 2 3" xfId="11535" xr:uid="{F4AA6BE0-EEF6-4F0B-A5F5-A15B9C346645}"/>
    <cellStyle name="Normal 4 4 6 3" xfId="5166" xr:uid="{00000000-0005-0000-0000-0000F3150000}"/>
    <cellStyle name="Normal 4 4 6 3 2" xfId="13608" xr:uid="{2D16B1C8-74A6-4E33-A50F-E88ADDC0D512}"/>
    <cellStyle name="Normal 4 4 6 4" xfId="9390" xr:uid="{314A11FB-3A93-44BA-8D66-0CE5899D81D5}"/>
    <cellStyle name="Normal 4 4 7" xfId="1271" xr:uid="{00000000-0005-0000-0000-0000F4150000}"/>
    <cellStyle name="Normal 4 4 7 2" xfId="3501" xr:uid="{00000000-0005-0000-0000-0000F5150000}"/>
    <cellStyle name="Normal 4 4 7 2 2" xfId="7724" xr:uid="{00000000-0005-0000-0000-0000F6150000}"/>
    <cellStyle name="Normal 4 4 7 2 2 2" xfId="16166" xr:uid="{457DD8E4-0ABF-499B-A03F-ED0063703F1F}"/>
    <cellStyle name="Normal 4 4 7 2 3" xfId="11948" xr:uid="{15429C69-31B6-416E-B20A-7704B5C2648D}"/>
    <cellStyle name="Normal 4 4 7 3" xfId="5579" xr:uid="{00000000-0005-0000-0000-0000F7150000}"/>
    <cellStyle name="Normal 4 4 7 3 2" xfId="14021" xr:uid="{15D39CE6-4E4D-42CC-94D9-19CE7F5F9046}"/>
    <cellStyle name="Normal 4 4 7 4" xfId="9803" xr:uid="{F36FE085-E9AA-47D6-A58F-5D3CEE0F87D3}"/>
    <cellStyle name="Normal 4 4 8" xfId="1684" xr:uid="{00000000-0005-0000-0000-0000F8150000}"/>
    <cellStyle name="Normal 4 4 8 2" xfId="3914" xr:uid="{00000000-0005-0000-0000-0000F9150000}"/>
    <cellStyle name="Normal 4 4 8 2 2" xfId="8137" xr:uid="{00000000-0005-0000-0000-0000FA150000}"/>
    <cellStyle name="Normal 4 4 8 2 2 2" xfId="16579" xr:uid="{CC3FEAC8-7BA4-44B8-BEE7-A842651B05FE}"/>
    <cellStyle name="Normal 4 4 8 2 3" xfId="12361" xr:uid="{3143F57E-38DF-4796-9A6A-EAC16E33F465}"/>
    <cellStyle name="Normal 4 4 8 3" xfId="5992" xr:uid="{00000000-0005-0000-0000-0000FB150000}"/>
    <cellStyle name="Normal 4 4 8 3 2" xfId="14434" xr:uid="{09C5AC6A-D7E2-4A9C-9CF6-8D1568829BF6}"/>
    <cellStyle name="Normal 4 4 8 4" xfId="10216" xr:uid="{E2DB8D35-5CFD-424C-BED9-9E1D4CF4B616}"/>
    <cellStyle name="Normal 4 4 9" xfId="2098" xr:uid="{00000000-0005-0000-0000-0000FC150000}"/>
    <cellStyle name="Normal 4 4 9 2" xfId="4327" xr:uid="{00000000-0005-0000-0000-0000FD150000}"/>
    <cellStyle name="Normal 4 4 9 2 2" xfId="8550" xr:uid="{00000000-0005-0000-0000-0000FE150000}"/>
    <cellStyle name="Normal 4 4 9 2 2 2" xfId="16992" xr:uid="{96ACD165-9865-4DBB-BBB3-EF76F3BCD31F}"/>
    <cellStyle name="Normal 4 4 9 2 3" xfId="12774" xr:uid="{E50536B1-8E49-4F73-A938-EAAC063C39E8}"/>
    <cellStyle name="Normal 4 4 9 3" xfId="6405" xr:uid="{00000000-0005-0000-0000-0000FF150000}"/>
    <cellStyle name="Normal 4 4 9 3 2" xfId="14847" xr:uid="{DB559EAC-DE84-4E08-80B7-01C97F2F8CF8}"/>
    <cellStyle name="Normal 4 4 9 4" xfId="10629" xr:uid="{39E972B0-BAB0-425B-88C9-861E51DB4DD1}"/>
    <cellStyle name="Normal 4 5" xfId="394" xr:uid="{00000000-0005-0000-0000-000000160000}"/>
    <cellStyle name="Normal 4 6" xfId="395" xr:uid="{00000000-0005-0000-0000-000001160000}"/>
    <cellStyle name="Normal 4 6 10" xfId="4769" xr:uid="{00000000-0005-0000-0000-000002160000}"/>
    <cellStyle name="Normal 4 6 10 2" xfId="13211" xr:uid="{9B3DC25A-55FC-4E2D-B1F6-0C8DFDF70F05}"/>
    <cellStyle name="Normal 4 6 11" xfId="8993" xr:uid="{92A0E533-2DBE-4918-B38D-A73566792759}"/>
    <cellStyle name="Normal 4 6 2" xfId="396" xr:uid="{00000000-0005-0000-0000-000003160000}"/>
    <cellStyle name="Normal 4 6 2 10" xfId="8994" xr:uid="{0503BD8A-7A99-4C36-990C-60FC9BDA4A4C}"/>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C5894534-66E1-4D75-8D08-F1042838F9C1}"/>
    <cellStyle name="Normal 4 6 2 2 2 2 2 3" xfId="11554" xr:uid="{2CDF9C76-C7C5-42CD-91B1-5AFD67C9CBE7}"/>
    <cellStyle name="Normal 4 6 2 2 2 2 3" xfId="5185" xr:uid="{00000000-0005-0000-0000-000009160000}"/>
    <cellStyle name="Normal 4 6 2 2 2 2 3 2" xfId="13627" xr:uid="{3C2C4DD5-5AB4-4BBF-A830-149C8F37CFE6}"/>
    <cellStyle name="Normal 4 6 2 2 2 2 4" xfId="9409" xr:uid="{EFA94C0F-33FA-440F-A349-BDD6D87EA621}"/>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52776225-8A73-4DCB-AB92-E3A1B0B5C786}"/>
    <cellStyle name="Normal 4 6 2 2 2 3 2 3" xfId="11967" xr:uid="{22F17ADC-B239-4994-8ECE-5DE03AC01D3E}"/>
    <cellStyle name="Normal 4 6 2 2 2 3 3" xfId="5598" xr:uid="{00000000-0005-0000-0000-00000D160000}"/>
    <cellStyle name="Normal 4 6 2 2 2 3 3 2" xfId="14040" xr:uid="{FDEBE9FA-8BFB-4D13-8ABA-1F2BDADA5CAA}"/>
    <cellStyle name="Normal 4 6 2 2 2 3 4" xfId="9822" xr:uid="{957C48C1-4802-4E04-911A-0FC2DE8BE057}"/>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3300AFA8-0054-45A8-BED4-83C222B7BFE7}"/>
    <cellStyle name="Normal 4 6 2 2 2 4 2 3" xfId="12380" xr:uid="{184918AE-77B5-4E0A-9D32-A8062A43D0A1}"/>
    <cellStyle name="Normal 4 6 2 2 2 4 3" xfId="6011" xr:uid="{00000000-0005-0000-0000-000011160000}"/>
    <cellStyle name="Normal 4 6 2 2 2 4 3 2" xfId="14453" xr:uid="{1AC480BF-7B21-4A9B-A12C-EB6373D2216B}"/>
    <cellStyle name="Normal 4 6 2 2 2 4 4" xfId="10235" xr:uid="{0175694F-46BE-4F51-A9D8-65426C3C87A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0EBD0CDC-CAAF-4A86-B351-FB85B94A1B0F}"/>
    <cellStyle name="Normal 4 6 2 2 2 5 2 3" xfId="12793" xr:uid="{83D1EBB3-B5DC-4C34-96FA-62F017F1D688}"/>
    <cellStyle name="Normal 4 6 2 2 2 5 3" xfId="6424" xr:uid="{00000000-0005-0000-0000-000015160000}"/>
    <cellStyle name="Normal 4 6 2 2 2 5 3 2" xfId="14866" xr:uid="{9AEFF0E4-A6D9-4D98-B18C-A0338337CCDB}"/>
    <cellStyle name="Normal 4 6 2 2 2 5 4" xfId="10648" xr:uid="{A786D320-C2D8-4EA8-BBA3-E5F081ECDF12}"/>
    <cellStyle name="Normal 4 6 2 2 2 6" xfId="2553" xr:uid="{00000000-0005-0000-0000-000016160000}"/>
    <cellStyle name="Normal 4 6 2 2 2 6 2" xfId="6837" xr:uid="{00000000-0005-0000-0000-000017160000}"/>
    <cellStyle name="Normal 4 6 2 2 2 6 2 2" xfId="15279" xr:uid="{3EE451CA-0B01-4D6E-8DA7-D23E03814416}"/>
    <cellStyle name="Normal 4 6 2 2 2 6 3" xfId="11061" xr:uid="{16E2C100-8E65-4F47-89CC-1C29FDA963F2}"/>
    <cellStyle name="Normal 4 6 2 2 2 7" xfId="4772" xr:uid="{00000000-0005-0000-0000-000018160000}"/>
    <cellStyle name="Normal 4 6 2 2 2 7 2" xfId="13214" xr:uid="{0D16FABC-AEC6-46F8-A015-23A3B565673E}"/>
    <cellStyle name="Normal 4 6 2 2 2 8" xfId="8996" xr:uid="{87E2F58E-CD5B-4378-9AA9-066E55B40228}"/>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ACF68D6E-A86F-471A-B30C-5117CF98ADBC}"/>
    <cellStyle name="Normal 4 6 2 2 3 2 3" xfId="11553" xr:uid="{E7998766-4BBA-419B-95A1-CA017EC3D09D}"/>
    <cellStyle name="Normal 4 6 2 2 3 3" xfId="5184" xr:uid="{00000000-0005-0000-0000-00001C160000}"/>
    <cellStyle name="Normal 4 6 2 2 3 3 2" xfId="13626" xr:uid="{08FC16CB-2B75-4B76-8983-4E37399275A1}"/>
    <cellStyle name="Normal 4 6 2 2 3 4" xfId="9408" xr:uid="{F1B40CDC-DC80-42EB-B806-D746F66EEB89}"/>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EBF34AA8-5330-443B-926C-4838AEC027C5}"/>
    <cellStyle name="Normal 4 6 2 2 4 2 3" xfId="11966" xr:uid="{95C362D8-D6FE-411F-9065-9DABDC25AF5C}"/>
    <cellStyle name="Normal 4 6 2 2 4 3" xfId="5597" xr:uid="{00000000-0005-0000-0000-000020160000}"/>
    <cellStyle name="Normal 4 6 2 2 4 3 2" xfId="14039" xr:uid="{3E20B3EC-6732-4BA1-94E2-F8E4DC9C0FD9}"/>
    <cellStyle name="Normal 4 6 2 2 4 4" xfId="9821" xr:uid="{213C7D39-552C-4045-80A5-FD92BC98FC01}"/>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0F7B4496-9E66-4308-862F-A08D6F033360}"/>
    <cellStyle name="Normal 4 6 2 2 5 2 3" xfId="12379" xr:uid="{FBB50D51-E558-42A3-922A-901406356BE1}"/>
    <cellStyle name="Normal 4 6 2 2 5 3" xfId="6010" xr:uid="{00000000-0005-0000-0000-000024160000}"/>
    <cellStyle name="Normal 4 6 2 2 5 3 2" xfId="14452" xr:uid="{4FB091C7-928F-4676-AE3F-A90231F093B7}"/>
    <cellStyle name="Normal 4 6 2 2 5 4" xfId="10234" xr:uid="{6083215B-C3A9-4702-8BD0-A3AD63906D33}"/>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C340AAB8-0DF1-430A-839E-22980DAE0870}"/>
    <cellStyle name="Normal 4 6 2 2 6 2 3" xfId="12792" xr:uid="{D9CF7FB4-7CEE-4839-BE96-B83A5E55E2BF}"/>
    <cellStyle name="Normal 4 6 2 2 6 3" xfId="6423" xr:uid="{00000000-0005-0000-0000-000028160000}"/>
    <cellStyle name="Normal 4 6 2 2 6 3 2" xfId="14865" xr:uid="{F89D5EF0-7435-4022-BFF8-82B7CED71187}"/>
    <cellStyle name="Normal 4 6 2 2 6 4" xfId="10647" xr:uid="{70AB8C46-2E0B-43B3-B782-B3C9D32B3703}"/>
    <cellStyle name="Normal 4 6 2 2 7" xfId="2552" xr:uid="{00000000-0005-0000-0000-000029160000}"/>
    <cellStyle name="Normal 4 6 2 2 7 2" xfId="6836" xr:uid="{00000000-0005-0000-0000-00002A160000}"/>
    <cellStyle name="Normal 4 6 2 2 7 2 2" xfId="15278" xr:uid="{1600C9CC-0BBA-4C78-9C06-8733C4A6C3AA}"/>
    <cellStyle name="Normal 4 6 2 2 7 3" xfId="11060" xr:uid="{E98FC323-9F0E-483D-ACFD-E0112A0CC51A}"/>
    <cellStyle name="Normal 4 6 2 2 8" xfId="4771" xr:uid="{00000000-0005-0000-0000-00002B160000}"/>
    <cellStyle name="Normal 4 6 2 2 8 2" xfId="13213" xr:uid="{281A17BC-D5E2-45E9-92F1-21C521EFE7F7}"/>
    <cellStyle name="Normal 4 6 2 2 9" xfId="8995" xr:uid="{EFED4845-531F-4AA8-9E5E-1EF887BC093A}"/>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5D081CFD-EBD6-42F2-B938-0EECABEB83A0}"/>
    <cellStyle name="Normal 4 6 2 3 2 2 3" xfId="11555" xr:uid="{29CC350F-D888-4C17-9AA8-210F65BF22C4}"/>
    <cellStyle name="Normal 4 6 2 3 2 3" xfId="5186" xr:uid="{00000000-0005-0000-0000-000030160000}"/>
    <cellStyle name="Normal 4 6 2 3 2 3 2" xfId="13628" xr:uid="{7FDAFED2-9851-4948-BB11-BBEEBFC951E8}"/>
    <cellStyle name="Normal 4 6 2 3 2 4" xfId="9410" xr:uid="{89F24127-016A-425E-978D-570EB1ACB3FB}"/>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0F6552D1-D403-42CE-8D1E-0C3D0662F90D}"/>
    <cellStyle name="Normal 4 6 2 3 3 2 3" xfId="11968" xr:uid="{6B586879-2F2C-4A8C-8E88-10950304B64D}"/>
    <cellStyle name="Normal 4 6 2 3 3 3" xfId="5599" xr:uid="{00000000-0005-0000-0000-000034160000}"/>
    <cellStyle name="Normal 4 6 2 3 3 3 2" xfId="14041" xr:uid="{5FF6723C-63E0-47A8-8E31-704EE0B45E77}"/>
    <cellStyle name="Normal 4 6 2 3 3 4" xfId="9823" xr:uid="{BD1A52E9-BCB7-4CFF-AB98-C70465F3F40A}"/>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2D892B6B-79F4-4D25-BEAF-E9BB8654ABA8}"/>
    <cellStyle name="Normal 4 6 2 3 4 2 3" xfId="12381" xr:uid="{63332BA6-5903-4F1C-941C-F68722079E96}"/>
    <cellStyle name="Normal 4 6 2 3 4 3" xfId="6012" xr:uid="{00000000-0005-0000-0000-000038160000}"/>
    <cellStyle name="Normal 4 6 2 3 4 3 2" xfId="14454" xr:uid="{46DBB640-8348-4C8D-8E9D-28801E684D24}"/>
    <cellStyle name="Normal 4 6 2 3 4 4" xfId="10236" xr:uid="{28B1CF0E-E35A-4037-A988-87966F6775C9}"/>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4DF53666-8F45-49B6-A11B-12969F4AB9EF}"/>
    <cellStyle name="Normal 4 6 2 3 5 2 3" xfId="12794" xr:uid="{A84C6249-EBD2-4ED4-8F74-3D3ED646F3B5}"/>
    <cellStyle name="Normal 4 6 2 3 5 3" xfId="6425" xr:uid="{00000000-0005-0000-0000-00003C160000}"/>
    <cellStyle name="Normal 4 6 2 3 5 3 2" xfId="14867" xr:uid="{CB56D63F-C189-40FC-9F4B-B21CD4FDC292}"/>
    <cellStyle name="Normal 4 6 2 3 5 4" xfId="10649" xr:uid="{665CE6E0-13EE-4DE3-AB6E-57496B9FEED2}"/>
    <cellStyle name="Normal 4 6 2 3 6" xfId="2554" xr:uid="{00000000-0005-0000-0000-00003D160000}"/>
    <cellStyle name="Normal 4 6 2 3 6 2" xfId="6838" xr:uid="{00000000-0005-0000-0000-00003E160000}"/>
    <cellStyle name="Normal 4 6 2 3 6 2 2" xfId="15280" xr:uid="{401BAB8F-D411-4B46-A7CF-F4DC87891B27}"/>
    <cellStyle name="Normal 4 6 2 3 6 3" xfId="11062" xr:uid="{8C224901-E6AD-4127-A9F4-95B6EB992124}"/>
    <cellStyle name="Normal 4 6 2 3 7" xfId="4773" xr:uid="{00000000-0005-0000-0000-00003F160000}"/>
    <cellStyle name="Normal 4 6 2 3 7 2" xfId="13215" xr:uid="{E63B8643-39F8-4E94-BD70-0AB8C3D78E25}"/>
    <cellStyle name="Normal 4 6 2 3 8" xfId="8997" xr:uid="{331FEE18-0696-475C-83AD-B91F22A954B9}"/>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0D476112-087E-463E-BD05-F22BCF43B40A}"/>
    <cellStyle name="Normal 4 6 2 4 2 3" xfId="11552" xr:uid="{82758252-BD7B-4C3B-AA46-A1F6D35F9198}"/>
    <cellStyle name="Normal 4 6 2 4 3" xfId="5183" xr:uid="{00000000-0005-0000-0000-000043160000}"/>
    <cellStyle name="Normal 4 6 2 4 3 2" xfId="13625" xr:uid="{4CE94469-2ADC-4191-9464-8CC66B630522}"/>
    <cellStyle name="Normal 4 6 2 4 4" xfId="9407" xr:uid="{059FDBAA-76F6-4C0C-AFF7-62CDACE1D56B}"/>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3D8279BB-7B93-457B-9961-111E1EFF6B42}"/>
    <cellStyle name="Normal 4 6 2 5 2 3" xfId="11965" xr:uid="{4D99B760-A007-4841-A674-A77E2E21E65E}"/>
    <cellStyle name="Normal 4 6 2 5 3" xfId="5596" xr:uid="{00000000-0005-0000-0000-000047160000}"/>
    <cellStyle name="Normal 4 6 2 5 3 2" xfId="14038" xr:uid="{94E67ED0-0B34-4D38-9A4E-826B058AE649}"/>
    <cellStyle name="Normal 4 6 2 5 4" xfId="9820" xr:uid="{8BFF573A-B9F6-4F53-8AC0-EFD87DFAB9B6}"/>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A6E9C2AF-48EF-4E2E-A0CD-DCE95B4A2991}"/>
    <cellStyle name="Normal 4 6 2 6 2 3" xfId="12378" xr:uid="{596EA552-81DC-45AB-99F6-D31CA02970DB}"/>
    <cellStyle name="Normal 4 6 2 6 3" xfId="6009" xr:uid="{00000000-0005-0000-0000-00004B160000}"/>
    <cellStyle name="Normal 4 6 2 6 3 2" xfId="14451" xr:uid="{2BF64CAD-D035-43B2-9E24-B651B97F2F0B}"/>
    <cellStyle name="Normal 4 6 2 6 4" xfId="10233" xr:uid="{7648B453-55C7-4FCA-A5B9-09B432AD6542}"/>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5F80760D-2254-4B4C-A310-3E71E97B51FB}"/>
    <cellStyle name="Normal 4 6 2 7 2 3" xfId="12791" xr:uid="{2D08F087-A17B-44D2-B8BB-BA84883DB0C7}"/>
    <cellStyle name="Normal 4 6 2 7 3" xfId="6422" xr:uid="{00000000-0005-0000-0000-00004F160000}"/>
    <cellStyle name="Normal 4 6 2 7 3 2" xfId="14864" xr:uid="{0C949403-8A37-4679-9710-E3C8C69EE791}"/>
    <cellStyle name="Normal 4 6 2 7 4" xfId="10646" xr:uid="{69B04DDD-4E9E-495E-A82F-76550E26E121}"/>
    <cellStyle name="Normal 4 6 2 8" xfId="2551" xr:uid="{00000000-0005-0000-0000-000050160000}"/>
    <cellStyle name="Normal 4 6 2 8 2" xfId="6835" xr:uid="{00000000-0005-0000-0000-000051160000}"/>
    <cellStyle name="Normal 4 6 2 8 2 2" xfId="15277" xr:uid="{DECAA6DE-620B-4E03-8477-60155DC797CF}"/>
    <cellStyle name="Normal 4 6 2 8 3" xfId="11059" xr:uid="{02303EC9-62D9-4A0B-B49D-134A1291AE37}"/>
    <cellStyle name="Normal 4 6 2 9" xfId="4770" xr:uid="{00000000-0005-0000-0000-000052160000}"/>
    <cellStyle name="Normal 4 6 2 9 2" xfId="13212" xr:uid="{4014BD49-2F28-4DC2-B247-DA3EB251371D}"/>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29B0E1DD-9990-45A2-BDA8-1C14FF0E6E7D}"/>
    <cellStyle name="Normal 4 6 3 2 2 2 3" xfId="11557" xr:uid="{58CE3D66-D6D1-4CB0-B952-B1D8584EF940}"/>
    <cellStyle name="Normal 4 6 3 2 2 3" xfId="5188" xr:uid="{00000000-0005-0000-0000-000058160000}"/>
    <cellStyle name="Normal 4 6 3 2 2 3 2" xfId="13630" xr:uid="{99D41317-5E9D-4190-944B-8655130C7DCB}"/>
    <cellStyle name="Normal 4 6 3 2 2 4" xfId="9412" xr:uid="{01B9F649-ECA4-42E3-B9A8-C61D9C7C226B}"/>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25729AF9-45A1-4F09-BC01-56547DEE72EB}"/>
    <cellStyle name="Normal 4 6 3 2 3 2 3" xfId="11970" xr:uid="{8DB84293-81C5-4924-9068-9FB74E2BFCDB}"/>
    <cellStyle name="Normal 4 6 3 2 3 3" xfId="5601" xr:uid="{00000000-0005-0000-0000-00005C160000}"/>
    <cellStyle name="Normal 4 6 3 2 3 3 2" xfId="14043" xr:uid="{A6A8BCE5-5082-4B9C-A027-FEB1C96640DC}"/>
    <cellStyle name="Normal 4 6 3 2 3 4" xfId="9825" xr:uid="{5219A063-0705-41E4-86DD-3F0A5A43BFDA}"/>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B3259822-5F66-40D8-B98D-6BA417800CC5}"/>
    <cellStyle name="Normal 4 6 3 2 4 2 3" xfId="12383" xr:uid="{0754B7FD-39C9-4066-A089-29CAE07396E4}"/>
    <cellStyle name="Normal 4 6 3 2 4 3" xfId="6014" xr:uid="{00000000-0005-0000-0000-000060160000}"/>
    <cellStyle name="Normal 4 6 3 2 4 3 2" xfId="14456" xr:uid="{0FB8A2AF-4C9B-4AFF-976B-42F50DCAE43C}"/>
    <cellStyle name="Normal 4 6 3 2 4 4" xfId="10238" xr:uid="{11139FF9-7E2C-4EFB-BB6A-059E906DEC9F}"/>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088C0BCC-EE20-4674-AE66-694F8D54A2D3}"/>
    <cellStyle name="Normal 4 6 3 2 5 2 3" xfId="12796" xr:uid="{23DBBD00-E22E-49CE-BDC6-00AD437E7D83}"/>
    <cellStyle name="Normal 4 6 3 2 5 3" xfId="6427" xr:uid="{00000000-0005-0000-0000-000064160000}"/>
    <cellStyle name="Normal 4 6 3 2 5 3 2" xfId="14869" xr:uid="{4A578677-0ED3-4312-9126-510AF9318FD0}"/>
    <cellStyle name="Normal 4 6 3 2 5 4" xfId="10651" xr:uid="{1C9DBE0D-F439-4141-8CF6-A87E447FCC21}"/>
    <cellStyle name="Normal 4 6 3 2 6" xfId="2556" xr:uid="{00000000-0005-0000-0000-000065160000}"/>
    <cellStyle name="Normal 4 6 3 2 6 2" xfId="6840" xr:uid="{00000000-0005-0000-0000-000066160000}"/>
    <cellStyle name="Normal 4 6 3 2 6 2 2" xfId="15282" xr:uid="{B133A43C-8065-424F-8CFE-9A40CB37AE67}"/>
    <cellStyle name="Normal 4 6 3 2 6 3" xfId="11064" xr:uid="{947176D6-2A7E-4BA7-903D-67EFFDC28EAD}"/>
    <cellStyle name="Normal 4 6 3 2 7" xfId="4775" xr:uid="{00000000-0005-0000-0000-000067160000}"/>
    <cellStyle name="Normal 4 6 3 2 7 2" xfId="13217" xr:uid="{C147DB2A-AFEE-4C1E-9FA5-1098DC9953BD}"/>
    <cellStyle name="Normal 4 6 3 2 8" xfId="8999" xr:uid="{8CD07F4A-E7DF-4B4A-9D57-F9B2C114A6B8}"/>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85D7FE64-429B-46A4-AE3D-05C946CB057A}"/>
    <cellStyle name="Normal 4 6 3 3 2 3" xfId="11556" xr:uid="{219BA8C0-0877-4ABF-B00D-54BDA748A378}"/>
    <cellStyle name="Normal 4 6 3 3 3" xfId="5187" xr:uid="{00000000-0005-0000-0000-00006B160000}"/>
    <cellStyle name="Normal 4 6 3 3 3 2" xfId="13629" xr:uid="{CA214D4E-1255-48F3-8FC6-AC0BFA1D5493}"/>
    <cellStyle name="Normal 4 6 3 3 4" xfId="9411" xr:uid="{C8AE9FF9-4869-4757-B2C8-74B183F15E47}"/>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71C48920-9E81-4725-8414-7B4407DEF93C}"/>
    <cellStyle name="Normal 4 6 3 4 2 3" xfId="11969" xr:uid="{75D2E1B0-4C4D-4422-98F4-8FCD23C531E0}"/>
    <cellStyle name="Normal 4 6 3 4 3" xfId="5600" xr:uid="{00000000-0005-0000-0000-00006F160000}"/>
    <cellStyle name="Normal 4 6 3 4 3 2" xfId="14042" xr:uid="{AB3700C6-FE29-4BA1-B6FB-F78D62E60436}"/>
    <cellStyle name="Normal 4 6 3 4 4" xfId="9824" xr:uid="{7E37F25E-BE66-455D-9D51-AA5AD0028C5C}"/>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B8E99D5A-3D39-44AC-A29B-C65F5E46F5FD}"/>
    <cellStyle name="Normal 4 6 3 5 2 3" xfId="12382" xr:uid="{B987A22D-6CDF-434A-8BDE-769DFA74330D}"/>
    <cellStyle name="Normal 4 6 3 5 3" xfId="6013" xr:uid="{00000000-0005-0000-0000-000073160000}"/>
    <cellStyle name="Normal 4 6 3 5 3 2" xfId="14455" xr:uid="{3F755440-A8C9-432E-AFB9-A9068450E96D}"/>
    <cellStyle name="Normal 4 6 3 5 4" xfId="10237" xr:uid="{B887FD31-7D69-433E-8FA0-015EC1731977}"/>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560858FD-F903-4638-9532-EA8A90A0FE12}"/>
    <cellStyle name="Normal 4 6 3 6 2 3" xfId="12795" xr:uid="{1509B996-EB16-40C3-8742-1796A6DC6E41}"/>
    <cellStyle name="Normal 4 6 3 6 3" xfId="6426" xr:uid="{00000000-0005-0000-0000-000077160000}"/>
    <cellStyle name="Normal 4 6 3 6 3 2" xfId="14868" xr:uid="{8517788D-B92C-4075-96A2-06F3214DB083}"/>
    <cellStyle name="Normal 4 6 3 6 4" xfId="10650" xr:uid="{8C3B6114-0DDF-442A-B9A7-9F236160CB85}"/>
    <cellStyle name="Normal 4 6 3 7" xfId="2555" xr:uid="{00000000-0005-0000-0000-000078160000}"/>
    <cellStyle name="Normal 4 6 3 7 2" xfId="6839" xr:uid="{00000000-0005-0000-0000-000079160000}"/>
    <cellStyle name="Normal 4 6 3 7 2 2" xfId="15281" xr:uid="{8464A414-78D6-4F22-9A79-3184FA4834AA}"/>
    <cellStyle name="Normal 4 6 3 7 3" xfId="11063" xr:uid="{8BD265CF-8BB2-4372-992B-04305C69F305}"/>
    <cellStyle name="Normal 4 6 3 8" xfId="4774" xr:uid="{00000000-0005-0000-0000-00007A160000}"/>
    <cellStyle name="Normal 4 6 3 8 2" xfId="13216" xr:uid="{E880965B-CABB-4BE5-9CE8-FA44553D5661}"/>
    <cellStyle name="Normal 4 6 3 9" xfId="8998" xr:uid="{D8BAFE54-4CAD-4A19-823C-DCF112A76101}"/>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A09FADFD-691E-4B68-836D-740B86687B94}"/>
    <cellStyle name="Normal 4 6 4 2 2 3" xfId="11558" xr:uid="{2AAD5F90-1579-4D07-949E-B1D0B395CD9D}"/>
    <cellStyle name="Normal 4 6 4 2 3" xfId="5189" xr:uid="{00000000-0005-0000-0000-00007F160000}"/>
    <cellStyle name="Normal 4 6 4 2 3 2" xfId="13631" xr:uid="{63BCCDCA-EA08-4B4F-8131-41AB06738511}"/>
    <cellStyle name="Normal 4 6 4 2 4" xfId="9413" xr:uid="{997AAD09-BA75-4841-80FB-86105A7A5BB2}"/>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5F34F6CB-8B75-4032-B330-63101EC9D7A6}"/>
    <cellStyle name="Normal 4 6 4 3 2 3" xfId="11971" xr:uid="{E788C815-B9FF-4724-BC4B-260036346EF5}"/>
    <cellStyle name="Normal 4 6 4 3 3" xfId="5602" xr:uid="{00000000-0005-0000-0000-000083160000}"/>
    <cellStyle name="Normal 4 6 4 3 3 2" xfId="14044" xr:uid="{318EF66A-51A1-43A5-8867-46D5E34CADFB}"/>
    <cellStyle name="Normal 4 6 4 3 4" xfId="9826" xr:uid="{A98C8D3F-FF83-4805-9FF8-0583AB522EAB}"/>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F4C00FA0-E031-4324-A7EC-119C61184467}"/>
    <cellStyle name="Normal 4 6 4 4 2 3" xfId="12384" xr:uid="{1D2048FF-B4C7-4E29-AE5F-1000D3E4D350}"/>
    <cellStyle name="Normal 4 6 4 4 3" xfId="6015" xr:uid="{00000000-0005-0000-0000-000087160000}"/>
    <cellStyle name="Normal 4 6 4 4 3 2" xfId="14457" xr:uid="{203DA2C0-4D4E-4B2C-BBEB-B89F1332F861}"/>
    <cellStyle name="Normal 4 6 4 4 4" xfId="10239" xr:uid="{11CDAC55-5352-41BB-98F6-C30573D8E65C}"/>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EDC3779C-15CD-484E-9A7F-49FD384BDEA2}"/>
    <cellStyle name="Normal 4 6 4 5 2 3" xfId="12797" xr:uid="{68948B1F-7BE1-4F7A-85E5-25238469BEBC}"/>
    <cellStyle name="Normal 4 6 4 5 3" xfId="6428" xr:uid="{00000000-0005-0000-0000-00008B160000}"/>
    <cellStyle name="Normal 4 6 4 5 3 2" xfId="14870" xr:uid="{EFB3AFF8-EB43-4ED4-8882-197BB2E1257E}"/>
    <cellStyle name="Normal 4 6 4 5 4" xfId="10652" xr:uid="{6F42B508-A22C-47BB-A54B-7571D9B910A0}"/>
    <cellStyle name="Normal 4 6 4 6" xfId="2557" xr:uid="{00000000-0005-0000-0000-00008C160000}"/>
    <cellStyle name="Normal 4 6 4 6 2" xfId="6841" xr:uid="{00000000-0005-0000-0000-00008D160000}"/>
    <cellStyle name="Normal 4 6 4 6 2 2" xfId="15283" xr:uid="{3AADD5C1-47D8-4C04-A38E-7D8F43FD7188}"/>
    <cellStyle name="Normal 4 6 4 6 3" xfId="11065" xr:uid="{9AB2814F-4031-46EB-8C09-D2A3F0CDA235}"/>
    <cellStyle name="Normal 4 6 4 7" xfId="4776" xr:uid="{00000000-0005-0000-0000-00008E160000}"/>
    <cellStyle name="Normal 4 6 4 7 2" xfId="13218" xr:uid="{1C0FD611-D3D6-4581-AA00-B62CEA6DBBB0}"/>
    <cellStyle name="Normal 4 6 4 8" xfId="9000" xr:uid="{DF2D2DB2-4528-43BE-BF4D-C3BBBB975D43}"/>
    <cellStyle name="Normal 4 6 5" xfId="869" xr:uid="{00000000-0005-0000-0000-00008F160000}"/>
    <cellStyle name="Normal 4 6 5 2" xfId="3104" xr:uid="{00000000-0005-0000-0000-000090160000}"/>
    <cellStyle name="Normal 4 6 5 2 2" xfId="7327" xr:uid="{00000000-0005-0000-0000-000091160000}"/>
    <cellStyle name="Normal 4 6 5 2 2 2" xfId="15769" xr:uid="{1888C443-0E8F-4B0C-BE5B-0E835442C82A}"/>
    <cellStyle name="Normal 4 6 5 2 3" xfId="11551" xr:uid="{A660C54E-CBBA-426F-ADE2-3383D7A2195D}"/>
    <cellStyle name="Normal 4 6 5 3" xfId="5182" xr:uid="{00000000-0005-0000-0000-000092160000}"/>
    <cellStyle name="Normal 4 6 5 3 2" xfId="13624" xr:uid="{A898E75C-C131-4D0B-AB82-EADC7CBBE7AD}"/>
    <cellStyle name="Normal 4 6 5 4" xfId="9406" xr:uid="{CFF9FEEE-13B0-41EB-9E4F-084F7A264D32}"/>
    <cellStyle name="Normal 4 6 6" xfId="1287" xr:uid="{00000000-0005-0000-0000-000093160000}"/>
    <cellStyle name="Normal 4 6 6 2" xfId="3517" xr:uid="{00000000-0005-0000-0000-000094160000}"/>
    <cellStyle name="Normal 4 6 6 2 2" xfId="7740" xr:uid="{00000000-0005-0000-0000-000095160000}"/>
    <cellStyle name="Normal 4 6 6 2 2 2" xfId="16182" xr:uid="{2D3FFD1E-EB61-4C2C-9782-67E9F599ED3B}"/>
    <cellStyle name="Normal 4 6 6 2 3" xfId="11964" xr:uid="{5419B445-1838-47C5-BC2E-297A6DEE4BCA}"/>
    <cellStyle name="Normal 4 6 6 3" xfId="5595" xr:uid="{00000000-0005-0000-0000-000096160000}"/>
    <cellStyle name="Normal 4 6 6 3 2" xfId="14037" xr:uid="{8B3676DA-7860-4467-91A8-B284CD7338A5}"/>
    <cellStyle name="Normal 4 6 6 4" xfId="9819" xr:uid="{94BD98B2-C411-41F1-A5DF-B29E7032468D}"/>
    <cellStyle name="Normal 4 6 7" xfId="1700" xr:uid="{00000000-0005-0000-0000-000097160000}"/>
    <cellStyle name="Normal 4 6 7 2" xfId="3930" xr:uid="{00000000-0005-0000-0000-000098160000}"/>
    <cellStyle name="Normal 4 6 7 2 2" xfId="8153" xr:uid="{00000000-0005-0000-0000-000099160000}"/>
    <cellStyle name="Normal 4 6 7 2 2 2" xfId="16595" xr:uid="{F48D119D-B235-4066-A0D0-03D6D7BB6DDF}"/>
    <cellStyle name="Normal 4 6 7 2 3" xfId="12377" xr:uid="{E791C769-4B9C-4FAB-9112-FE28E6006C9F}"/>
    <cellStyle name="Normal 4 6 7 3" xfId="6008" xr:uid="{00000000-0005-0000-0000-00009A160000}"/>
    <cellStyle name="Normal 4 6 7 3 2" xfId="14450" xr:uid="{CED3800E-0B66-416B-9962-D616A7B3EC2C}"/>
    <cellStyle name="Normal 4 6 7 4" xfId="10232" xr:uid="{34AF553C-928B-40CB-8A40-A6F54E4215EC}"/>
    <cellStyle name="Normal 4 6 8" xfId="2114" xr:uid="{00000000-0005-0000-0000-00009B160000}"/>
    <cellStyle name="Normal 4 6 8 2" xfId="4343" xr:uid="{00000000-0005-0000-0000-00009C160000}"/>
    <cellStyle name="Normal 4 6 8 2 2" xfId="8566" xr:uid="{00000000-0005-0000-0000-00009D160000}"/>
    <cellStyle name="Normal 4 6 8 2 2 2" xfId="17008" xr:uid="{DECD9C3A-6312-41E1-BEBC-80E93FEC74BA}"/>
    <cellStyle name="Normal 4 6 8 2 3" xfId="12790" xr:uid="{A4444AF9-2231-4B3B-B9AB-8778BBAC6194}"/>
    <cellStyle name="Normal 4 6 8 3" xfId="6421" xr:uid="{00000000-0005-0000-0000-00009E160000}"/>
    <cellStyle name="Normal 4 6 8 3 2" xfId="14863" xr:uid="{6B108D3C-E11D-4AA0-8C7A-9F39B2290953}"/>
    <cellStyle name="Normal 4 6 8 4" xfId="10645" xr:uid="{8CE4BC1A-2BF8-4697-8F3C-4072DEE6341C}"/>
    <cellStyle name="Normal 4 6 9" xfId="2550" xr:uid="{00000000-0005-0000-0000-00009F160000}"/>
    <cellStyle name="Normal 4 6 9 2" xfId="6834" xr:uid="{00000000-0005-0000-0000-0000A0160000}"/>
    <cellStyle name="Normal 4 6 9 2 2" xfId="15276" xr:uid="{077338C9-E0B0-420D-817A-E3B4C47B7524}"/>
    <cellStyle name="Normal 4 6 9 3" xfId="11058" xr:uid="{1215CB76-C81B-44CC-82F9-162F312C013D}"/>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9E2D88A8-0B00-4AC1-AC27-332406305131}"/>
    <cellStyle name="Normal 4 7 2 2 2 3" xfId="11560" xr:uid="{B2AC0EB2-1FBE-454E-8D74-27B1C2189428}"/>
    <cellStyle name="Normal 4 7 2 2 3" xfId="5191" xr:uid="{00000000-0005-0000-0000-0000A6160000}"/>
    <cellStyle name="Normal 4 7 2 2 3 2" xfId="13633" xr:uid="{D71DFE39-16BE-46EC-A4BD-3D6F14B77DDA}"/>
    <cellStyle name="Normal 4 7 2 2 4" xfId="9415" xr:uid="{FAA14B6B-620D-4A41-852F-F99F62B29D65}"/>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9ADB600E-AAED-485E-A2BF-0B8C196BB210}"/>
    <cellStyle name="Normal 4 7 2 3 2 3" xfId="11973" xr:uid="{FA96AC6B-DF72-4ADB-A0C4-0B7A7DD3DDB0}"/>
    <cellStyle name="Normal 4 7 2 3 3" xfId="5604" xr:uid="{00000000-0005-0000-0000-0000AA160000}"/>
    <cellStyle name="Normal 4 7 2 3 3 2" xfId="14046" xr:uid="{8416F03F-C05A-4EE9-9418-CD2EF1F4FE7B}"/>
    <cellStyle name="Normal 4 7 2 3 4" xfId="9828" xr:uid="{0EA06A35-3A9D-4C61-8B51-34D018CEB553}"/>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CAE67796-BFC4-4B26-83CE-14761FF92699}"/>
    <cellStyle name="Normal 4 7 2 4 2 3" xfId="12386" xr:uid="{DE860A14-134C-473C-9133-C3F995B6AA48}"/>
    <cellStyle name="Normal 4 7 2 4 3" xfId="6017" xr:uid="{00000000-0005-0000-0000-0000AE160000}"/>
    <cellStyle name="Normal 4 7 2 4 3 2" xfId="14459" xr:uid="{2F661B5D-0E34-4A8F-B152-D6E5FA400C5A}"/>
    <cellStyle name="Normal 4 7 2 4 4" xfId="10241" xr:uid="{2CC976CD-61D5-4057-B354-789E207813F2}"/>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52E47977-8497-4F21-8F12-A0C03CB5DDFA}"/>
    <cellStyle name="Normal 4 7 2 5 2 3" xfId="12799" xr:uid="{AE7298E6-153F-4925-B101-EDEEDE975F73}"/>
    <cellStyle name="Normal 4 7 2 5 3" xfId="6430" xr:uid="{00000000-0005-0000-0000-0000B2160000}"/>
    <cellStyle name="Normal 4 7 2 5 3 2" xfId="14872" xr:uid="{ACF9B0D8-9D2B-4C34-A22C-F98589165476}"/>
    <cellStyle name="Normal 4 7 2 5 4" xfId="10654" xr:uid="{EC3D3BF3-8B80-42AC-9B3D-678EC941807C}"/>
    <cellStyle name="Normal 4 7 2 6" xfId="2559" xr:uid="{00000000-0005-0000-0000-0000B3160000}"/>
    <cellStyle name="Normal 4 7 2 6 2" xfId="6843" xr:uid="{00000000-0005-0000-0000-0000B4160000}"/>
    <cellStyle name="Normal 4 7 2 6 2 2" xfId="15285" xr:uid="{25D0F1CF-FC5B-402A-8B08-C456C3843B83}"/>
    <cellStyle name="Normal 4 7 2 6 3" xfId="11067" xr:uid="{02306A71-57E7-4B76-82F2-CEDEAB31503D}"/>
    <cellStyle name="Normal 4 7 2 7" xfId="4778" xr:uid="{00000000-0005-0000-0000-0000B5160000}"/>
    <cellStyle name="Normal 4 7 2 7 2" xfId="13220" xr:uid="{57A530F0-965C-4AFF-9AED-9EB533A278EB}"/>
    <cellStyle name="Normal 4 7 2 8" xfId="9002" xr:uid="{C829C547-A0B9-4A4A-BC83-49B4EB3B0E5D}"/>
    <cellStyle name="Normal 4 7 3" xfId="877" xr:uid="{00000000-0005-0000-0000-0000B6160000}"/>
    <cellStyle name="Normal 4 7 3 2" xfId="3112" xr:uid="{00000000-0005-0000-0000-0000B7160000}"/>
    <cellStyle name="Normal 4 7 3 2 2" xfId="7335" xr:uid="{00000000-0005-0000-0000-0000B8160000}"/>
    <cellStyle name="Normal 4 7 3 2 2 2" xfId="15777" xr:uid="{F2DE06F4-3E0A-4D84-9E7B-B36263682C1D}"/>
    <cellStyle name="Normal 4 7 3 2 3" xfId="11559" xr:uid="{D49DB8F2-78CC-46F2-8A5A-0BBA65E751F1}"/>
    <cellStyle name="Normal 4 7 3 3" xfId="5190" xr:uid="{00000000-0005-0000-0000-0000B9160000}"/>
    <cellStyle name="Normal 4 7 3 3 2" xfId="13632" xr:uid="{93A90445-26FE-4FE7-AD0C-012DEF0979B7}"/>
    <cellStyle name="Normal 4 7 3 4" xfId="9414" xr:uid="{8A3355EA-1C0F-488A-B408-70D70C9AD24A}"/>
    <cellStyle name="Normal 4 7 4" xfId="1295" xr:uid="{00000000-0005-0000-0000-0000BA160000}"/>
    <cellStyle name="Normal 4 7 4 2" xfId="3525" xr:uid="{00000000-0005-0000-0000-0000BB160000}"/>
    <cellStyle name="Normal 4 7 4 2 2" xfId="7748" xr:uid="{00000000-0005-0000-0000-0000BC160000}"/>
    <cellStyle name="Normal 4 7 4 2 2 2" xfId="16190" xr:uid="{20C3CDFE-44FF-4152-BBFF-9D6DEF7C6794}"/>
    <cellStyle name="Normal 4 7 4 2 3" xfId="11972" xr:uid="{9412B3CB-2B02-4A71-BCD8-D7E13E5599D5}"/>
    <cellStyle name="Normal 4 7 4 3" xfId="5603" xr:uid="{00000000-0005-0000-0000-0000BD160000}"/>
    <cellStyle name="Normal 4 7 4 3 2" xfId="14045" xr:uid="{86C5B920-0AA2-4624-B804-44A33DD601BA}"/>
    <cellStyle name="Normal 4 7 4 4" xfId="9827" xr:uid="{B9C92200-09D4-424B-AE7C-660BC0EF4B5C}"/>
    <cellStyle name="Normal 4 7 5" xfId="1708" xr:uid="{00000000-0005-0000-0000-0000BE160000}"/>
    <cellStyle name="Normal 4 7 5 2" xfId="3938" xr:uid="{00000000-0005-0000-0000-0000BF160000}"/>
    <cellStyle name="Normal 4 7 5 2 2" xfId="8161" xr:uid="{00000000-0005-0000-0000-0000C0160000}"/>
    <cellStyle name="Normal 4 7 5 2 2 2" xfId="16603" xr:uid="{446411C9-689F-4FC4-A7A9-D08BFC89FA7F}"/>
    <cellStyle name="Normal 4 7 5 2 3" xfId="12385" xr:uid="{F2A03170-6B43-4D59-BD42-7704A143C261}"/>
    <cellStyle name="Normal 4 7 5 3" xfId="6016" xr:uid="{00000000-0005-0000-0000-0000C1160000}"/>
    <cellStyle name="Normal 4 7 5 3 2" xfId="14458" xr:uid="{8A6FF1E7-2A7A-4651-92E4-FBB0A5349161}"/>
    <cellStyle name="Normal 4 7 5 4" xfId="10240" xr:uid="{1E41C17E-8B40-4751-962F-152B1F787653}"/>
    <cellStyle name="Normal 4 7 6" xfId="2122" xr:uid="{00000000-0005-0000-0000-0000C2160000}"/>
    <cellStyle name="Normal 4 7 6 2" xfId="4351" xr:uid="{00000000-0005-0000-0000-0000C3160000}"/>
    <cellStyle name="Normal 4 7 6 2 2" xfId="8574" xr:uid="{00000000-0005-0000-0000-0000C4160000}"/>
    <cellStyle name="Normal 4 7 6 2 2 2" xfId="17016" xr:uid="{46B9EBF8-D141-48AC-8FF2-422AD539BDBC}"/>
    <cellStyle name="Normal 4 7 6 2 3" xfId="12798" xr:uid="{3D310B22-8C9F-4889-B4D4-2309D55C4B1E}"/>
    <cellStyle name="Normal 4 7 6 3" xfId="6429" xr:uid="{00000000-0005-0000-0000-0000C5160000}"/>
    <cellStyle name="Normal 4 7 6 3 2" xfId="14871" xr:uid="{B6CA2262-8783-46D5-BA5D-4B8CAA162374}"/>
    <cellStyle name="Normal 4 7 6 4" xfId="10653" xr:uid="{E72CCCA1-B88F-4267-8197-388A2742EBA9}"/>
    <cellStyle name="Normal 4 7 7" xfId="2558" xr:uid="{00000000-0005-0000-0000-0000C6160000}"/>
    <cellStyle name="Normal 4 7 7 2" xfId="6842" xr:uid="{00000000-0005-0000-0000-0000C7160000}"/>
    <cellStyle name="Normal 4 7 7 2 2" xfId="15284" xr:uid="{FDDBA1DA-341E-4AC6-8144-9B7888FB46AF}"/>
    <cellStyle name="Normal 4 7 7 3" xfId="11066" xr:uid="{142E7281-6DC0-4F24-9713-94E9427F4FAD}"/>
    <cellStyle name="Normal 4 7 8" xfId="4777" xr:uid="{00000000-0005-0000-0000-0000C8160000}"/>
    <cellStyle name="Normal 4 7 8 2" xfId="13219" xr:uid="{867CB5ED-91E4-4FC0-AE1B-E064D3B65BE2}"/>
    <cellStyle name="Normal 4 7 9" xfId="9001" xr:uid="{64EBF249-DD11-4D62-958D-7B60C3F7C195}"/>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E23F61A9-C4E1-4604-A766-7A505BE7F739}"/>
    <cellStyle name="Normal 4 8 2 2 3" xfId="11561" xr:uid="{85B999B1-6945-4555-804B-7808710B5D35}"/>
    <cellStyle name="Normal 4 8 2 3" xfId="5192" xr:uid="{00000000-0005-0000-0000-0000CD160000}"/>
    <cellStyle name="Normal 4 8 2 3 2" xfId="13634" xr:uid="{17E13FE5-20A3-4D05-A86F-745D618F5D42}"/>
    <cellStyle name="Normal 4 8 2 4" xfId="9416" xr:uid="{4ACA4E38-FD8C-4523-B308-F075AD40053E}"/>
    <cellStyle name="Normal 4 8 3" xfId="1297" xr:uid="{00000000-0005-0000-0000-0000CE160000}"/>
    <cellStyle name="Normal 4 8 3 2" xfId="3527" xr:uid="{00000000-0005-0000-0000-0000CF160000}"/>
    <cellStyle name="Normal 4 8 3 2 2" xfId="7750" xr:uid="{00000000-0005-0000-0000-0000D0160000}"/>
    <cellStyle name="Normal 4 8 3 2 2 2" xfId="16192" xr:uid="{3B27C0A6-C329-46FA-9197-D970D8F88739}"/>
    <cellStyle name="Normal 4 8 3 2 3" xfId="11974" xr:uid="{CF293077-5E39-4367-B59E-A86C3D7081DE}"/>
    <cellStyle name="Normal 4 8 3 3" xfId="5605" xr:uid="{00000000-0005-0000-0000-0000D1160000}"/>
    <cellStyle name="Normal 4 8 3 3 2" xfId="14047" xr:uid="{23C7E65E-4F7B-4723-A853-62920D75B560}"/>
    <cellStyle name="Normal 4 8 3 4" xfId="9829" xr:uid="{24F814F5-3FD2-4DAB-89C5-CC46A800D0DD}"/>
    <cellStyle name="Normal 4 8 4" xfId="1710" xr:uid="{00000000-0005-0000-0000-0000D2160000}"/>
    <cellStyle name="Normal 4 8 4 2" xfId="3940" xr:uid="{00000000-0005-0000-0000-0000D3160000}"/>
    <cellStyle name="Normal 4 8 4 2 2" xfId="8163" xr:uid="{00000000-0005-0000-0000-0000D4160000}"/>
    <cellStyle name="Normal 4 8 4 2 2 2" xfId="16605" xr:uid="{DF2EED7F-C37C-4BA1-AA44-7A4CE1D92ADE}"/>
    <cellStyle name="Normal 4 8 4 2 3" xfId="12387" xr:uid="{B895CF0E-7CB5-4B3E-9CBA-3AD8C8F68944}"/>
    <cellStyle name="Normal 4 8 4 3" xfId="6018" xr:uid="{00000000-0005-0000-0000-0000D5160000}"/>
    <cellStyle name="Normal 4 8 4 3 2" xfId="14460" xr:uid="{AA67C874-0F37-4680-BD72-2E149CCD4387}"/>
    <cellStyle name="Normal 4 8 4 4" xfId="10242" xr:uid="{BF8B682F-63D8-472F-BBD2-5F1CF0B64958}"/>
    <cellStyle name="Normal 4 8 5" xfId="2124" xr:uid="{00000000-0005-0000-0000-0000D6160000}"/>
    <cellStyle name="Normal 4 8 5 2" xfId="4353" xr:uid="{00000000-0005-0000-0000-0000D7160000}"/>
    <cellStyle name="Normal 4 8 5 2 2" xfId="8576" xr:uid="{00000000-0005-0000-0000-0000D8160000}"/>
    <cellStyle name="Normal 4 8 5 2 2 2" xfId="17018" xr:uid="{2740E414-A162-436C-808E-8F5117E93159}"/>
    <cellStyle name="Normal 4 8 5 2 3" xfId="12800" xr:uid="{898B87EA-775A-4EF9-886E-3646D7BF13A7}"/>
    <cellStyle name="Normal 4 8 5 3" xfId="6431" xr:uid="{00000000-0005-0000-0000-0000D9160000}"/>
    <cellStyle name="Normal 4 8 5 3 2" xfId="14873" xr:uid="{802D389A-31D4-4BAC-B8E3-2C1EF0B687A4}"/>
    <cellStyle name="Normal 4 8 5 4" xfId="10655" xr:uid="{EE5D096F-CABD-4FCD-B575-4932F7E4833E}"/>
    <cellStyle name="Normal 4 8 6" xfId="2560" xr:uid="{00000000-0005-0000-0000-0000DA160000}"/>
    <cellStyle name="Normal 4 8 6 2" xfId="6844" xr:uid="{00000000-0005-0000-0000-0000DB160000}"/>
    <cellStyle name="Normal 4 8 6 2 2" xfId="15286" xr:uid="{F07ECAC1-93C6-4CD9-A435-52525887A4DA}"/>
    <cellStyle name="Normal 4 8 6 3" xfId="11068" xr:uid="{6A6946B1-B0A7-47DD-A401-5972EA317B23}"/>
    <cellStyle name="Normal 4 8 7" xfId="4779" xr:uid="{00000000-0005-0000-0000-0000DC160000}"/>
    <cellStyle name="Normal 4 8 7 2" xfId="13221" xr:uid="{3EC28CE2-87CE-4B03-B4D5-537A295151BB}"/>
    <cellStyle name="Normal 4 8 8" xfId="9003" xr:uid="{03BB2F85-D474-4B9B-B118-BC60FFE08687}"/>
    <cellStyle name="Normal 4 9" xfId="4716" xr:uid="{00000000-0005-0000-0000-0000DD160000}"/>
    <cellStyle name="Normal 4 9 2" xfId="13158" xr:uid="{9A64EFF3-5939-419B-9B63-A1467F7AD14A}"/>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1CE74D42-796E-4FBA-A780-1FE7824C1D5C}"/>
    <cellStyle name="Normal 5 10 2 3" xfId="12388" xr:uid="{97743E50-C9DC-4913-A329-15031425A39A}"/>
    <cellStyle name="Normal 5 10 3" xfId="6019" xr:uid="{00000000-0005-0000-0000-0000E2160000}"/>
    <cellStyle name="Normal 5 10 3 2" xfId="14461" xr:uid="{AB450A8D-80F9-4B25-B80C-DEAEF26F0352}"/>
    <cellStyle name="Normal 5 10 4" xfId="10243" xr:uid="{D774FC08-7955-4EB8-ADA6-DE1E276515CD}"/>
    <cellStyle name="Normal 5 11" xfId="2125" xr:uid="{00000000-0005-0000-0000-0000E3160000}"/>
    <cellStyle name="Normal 5 11 2" xfId="4354" xr:uid="{00000000-0005-0000-0000-0000E4160000}"/>
    <cellStyle name="Normal 5 11 2 2" xfId="8577" xr:uid="{00000000-0005-0000-0000-0000E5160000}"/>
    <cellStyle name="Normal 5 11 2 2 2" xfId="17019" xr:uid="{9F15DBD8-07F0-4499-8122-D92F74E12850}"/>
    <cellStyle name="Normal 5 11 2 3" xfId="12801" xr:uid="{8B964B68-C20C-42F3-B6C0-26C1425CBE29}"/>
    <cellStyle name="Normal 5 11 3" xfId="6432" xr:uid="{00000000-0005-0000-0000-0000E6160000}"/>
    <cellStyle name="Normal 5 11 3 2" xfId="14874" xr:uid="{59A8A0BB-481E-4A3E-A494-CB5CBDA0FF25}"/>
    <cellStyle name="Normal 5 11 4" xfId="10656" xr:uid="{C2292F3E-D87D-41FB-A0EE-863FB48E1F33}"/>
    <cellStyle name="Normal 5 12" xfId="2561" xr:uid="{00000000-0005-0000-0000-0000E7160000}"/>
    <cellStyle name="Normal 5 12 2" xfId="6845" xr:uid="{00000000-0005-0000-0000-0000E8160000}"/>
    <cellStyle name="Normal 5 12 2 2" xfId="15287" xr:uid="{3080E682-1601-4CF1-80B4-2D47E13116AE}"/>
    <cellStyle name="Normal 5 12 3" xfId="11069" xr:uid="{BABDC0CA-0267-4C84-A060-68F2D18D7C69}"/>
    <cellStyle name="Normal 5 13" xfId="4780" xr:uid="{00000000-0005-0000-0000-0000E9160000}"/>
    <cellStyle name="Normal 5 13 2" xfId="13222" xr:uid="{17639DC0-D394-4DF0-8006-D81ED4510109}"/>
    <cellStyle name="Normal 5 14" xfId="9004" xr:uid="{B2CAE5A5-F640-4F03-96E5-371420B9807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688A22B0-AE5B-42F8-ABDA-94B5BC8FB1A9}"/>
    <cellStyle name="Normal 5 2 10 2 3" xfId="12802" xr:uid="{2FE64293-10DC-47FF-BE9F-78DC65E6E47E}"/>
    <cellStyle name="Normal 5 2 10 3" xfId="6433" xr:uid="{00000000-0005-0000-0000-0000EE160000}"/>
    <cellStyle name="Normal 5 2 10 3 2" xfId="14875" xr:uid="{5FBA6C07-8F49-4299-BBF1-D95AFC38F89D}"/>
    <cellStyle name="Normal 5 2 10 4" xfId="10657" xr:uid="{A274AB0E-BA0F-4F47-9BE1-7B75E187016C}"/>
    <cellStyle name="Normal 5 2 11" xfId="2562" xr:uid="{00000000-0005-0000-0000-0000EF160000}"/>
    <cellStyle name="Normal 5 2 11 2" xfId="6846" xr:uid="{00000000-0005-0000-0000-0000F0160000}"/>
    <cellStyle name="Normal 5 2 11 2 2" xfId="15288" xr:uid="{96E6AFFB-E0F7-4878-BF51-A75EA454020F}"/>
    <cellStyle name="Normal 5 2 11 3" xfId="11070" xr:uid="{7B94734C-EC88-4641-86B7-629006A1BD2B}"/>
    <cellStyle name="Normal 5 2 12" xfId="4781" xr:uid="{00000000-0005-0000-0000-0000F1160000}"/>
    <cellStyle name="Normal 5 2 12 2" xfId="13223" xr:uid="{767B779B-727A-4737-8140-77E5C047F7F6}"/>
    <cellStyle name="Normal 5 2 13" xfId="9005" xr:uid="{8C25DFAC-803A-4C72-B915-6F586A2AE29F}"/>
    <cellStyle name="Normal 5 2 2" xfId="408" xr:uid="{00000000-0005-0000-0000-0000F2160000}"/>
    <cellStyle name="Normal 5 2 2 10" xfId="2563" xr:uid="{00000000-0005-0000-0000-0000F3160000}"/>
    <cellStyle name="Normal 5 2 2 10 2" xfId="6847" xr:uid="{00000000-0005-0000-0000-0000F4160000}"/>
    <cellStyle name="Normal 5 2 2 10 2 2" xfId="15289" xr:uid="{C6883F30-228F-429F-9417-3B19E34D7D62}"/>
    <cellStyle name="Normal 5 2 2 10 3" xfId="11071" xr:uid="{17B8187B-6913-45B7-97BB-B6233D5B407D}"/>
    <cellStyle name="Normal 5 2 2 11" xfId="4782" xr:uid="{00000000-0005-0000-0000-0000F5160000}"/>
    <cellStyle name="Normal 5 2 2 11 2" xfId="13224" xr:uid="{A8E8445B-BDAC-4474-8ABE-BE4FB2A97431}"/>
    <cellStyle name="Normal 5 2 2 12" xfId="9006" xr:uid="{A59DA1E0-97A6-4A5A-9A72-4A13BB514967}"/>
    <cellStyle name="Normal 5 2 2 2" xfId="409" xr:uid="{00000000-0005-0000-0000-0000F6160000}"/>
    <cellStyle name="Normal 5 2 2 2 10" xfId="4783" xr:uid="{00000000-0005-0000-0000-0000F7160000}"/>
    <cellStyle name="Normal 5 2 2 2 10 2" xfId="13225" xr:uid="{0F8E7A5E-2987-495E-BC1F-9C93BEADB891}"/>
    <cellStyle name="Normal 5 2 2 2 11" xfId="9007" xr:uid="{96C36FE4-64DF-401A-A301-7BE28FF2FC2E}"/>
    <cellStyle name="Normal 5 2 2 2 2" xfId="410" xr:uid="{00000000-0005-0000-0000-0000F8160000}"/>
    <cellStyle name="Normal 5 2 2 2 2 10" xfId="9008" xr:uid="{94776DA9-18DD-4319-9F63-2422B529B884}"/>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0799D042-61C3-4D54-B7D2-D62B9DF0DFEB}"/>
    <cellStyle name="Normal 5 2 2 2 2 2 2 2 2 3" xfId="11568" xr:uid="{7DDE20C2-ACD4-43F0-9F0F-71DD64749C38}"/>
    <cellStyle name="Normal 5 2 2 2 2 2 2 2 3" xfId="5199" xr:uid="{00000000-0005-0000-0000-0000FE160000}"/>
    <cellStyle name="Normal 5 2 2 2 2 2 2 2 3 2" xfId="13641" xr:uid="{64EFB5BE-3382-4746-8D95-A943DA729ED3}"/>
    <cellStyle name="Normal 5 2 2 2 2 2 2 2 4" xfId="9423" xr:uid="{D1257CF0-D59A-433B-B9EA-7BA5B13E4D91}"/>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C9DF8976-61C1-4DCC-BB3A-B0BF7344DC5E}"/>
    <cellStyle name="Normal 5 2 2 2 2 2 2 3 2 3" xfId="11981" xr:uid="{49B21C48-FD67-4622-8986-B7570FA0D18D}"/>
    <cellStyle name="Normal 5 2 2 2 2 2 2 3 3" xfId="5612" xr:uid="{00000000-0005-0000-0000-000002170000}"/>
    <cellStyle name="Normal 5 2 2 2 2 2 2 3 3 2" xfId="14054" xr:uid="{1A8F03B7-344F-4C67-8FF6-8220A9B14848}"/>
    <cellStyle name="Normal 5 2 2 2 2 2 2 3 4" xfId="9836" xr:uid="{4D2B57EA-4C67-4350-8D86-97AB082D006A}"/>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2619BBD8-22D6-4D18-97F5-8348BB0B485E}"/>
    <cellStyle name="Normal 5 2 2 2 2 2 2 4 2 3" xfId="12394" xr:uid="{56F453EA-6964-44FD-8BB2-2CB775EFBF51}"/>
    <cellStyle name="Normal 5 2 2 2 2 2 2 4 3" xfId="6025" xr:uid="{00000000-0005-0000-0000-000006170000}"/>
    <cellStyle name="Normal 5 2 2 2 2 2 2 4 3 2" xfId="14467" xr:uid="{A4A637CD-FA8E-4449-A7A1-ED461F30F485}"/>
    <cellStyle name="Normal 5 2 2 2 2 2 2 4 4" xfId="10249" xr:uid="{8E07AF0F-64A6-4640-8E3B-46B787619D7C}"/>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DF8B544B-ABFD-4942-B6BC-3FFB84B8057F}"/>
    <cellStyle name="Normal 5 2 2 2 2 2 2 5 2 3" xfId="12807" xr:uid="{C53AD091-9D66-4143-864E-FAF1081F518E}"/>
    <cellStyle name="Normal 5 2 2 2 2 2 2 5 3" xfId="6438" xr:uid="{00000000-0005-0000-0000-00000A170000}"/>
    <cellStyle name="Normal 5 2 2 2 2 2 2 5 3 2" xfId="14880" xr:uid="{15296DC3-498B-47E4-9677-01739F665E11}"/>
    <cellStyle name="Normal 5 2 2 2 2 2 2 5 4" xfId="10662" xr:uid="{F6F061F2-47B0-4982-A370-290A1AF89B34}"/>
    <cellStyle name="Normal 5 2 2 2 2 2 2 6" xfId="2567" xr:uid="{00000000-0005-0000-0000-00000B170000}"/>
    <cellStyle name="Normal 5 2 2 2 2 2 2 6 2" xfId="6851" xr:uid="{00000000-0005-0000-0000-00000C170000}"/>
    <cellStyle name="Normal 5 2 2 2 2 2 2 6 2 2" xfId="15293" xr:uid="{BD7EC559-8CF9-48A0-B077-FAD0BB52290C}"/>
    <cellStyle name="Normal 5 2 2 2 2 2 2 6 3" xfId="11075" xr:uid="{4ACE06C7-D51B-403B-8EBA-22253F224B7A}"/>
    <cellStyle name="Normal 5 2 2 2 2 2 2 7" xfId="4786" xr:uid="{00000000-0005-0000-0000-00000D170000}"/>
    <cellStyle name="Normal 5 2 2 2 2 2 2 7 2" xfId="13228" xr:uid="{4078ACF7-F9B4-47A9-8993-E48D865670FE}"/>
    <cellStyle name="Normal 5 2 2 2 2 2 2 8" xfId="9010" xr:uid="{9FD34245-F96D-42D5-873E-B6B8B5AD32C4}"/>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5C7321AE-F0AD-4D3A-9405-F5651784F518}"/>
    <cellStyle name="Normal 5 2 2 2 2 2 3 2 3" xfId="11567" xr:uid="{96A0F279-DCAB-4C78-9895-7E8935B4E4D6}"/>
    <cellStyle name="Normal 5 2 2 2 2 2 3 3" xfId="5198" xr:uid="{00000000-0005-0000-0000-000011170000}"/>
    <cellStyle name="Normal 5 2 2 2 2 2 3 3 2" xfId="13640" xr:uid="{206A4064-E2AA-4B08-84EA-C322178E9DD1}"/>
    <cellStyle name="Normal 5 2 2 2 2 2 3 4" xfId="9422" xr:uid="{74C1F3B0-8158-4B58-9168-C55B585F76BF}"/>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14496734-E815-427F-BB22-0F14E0479791}"/>
    <cellStyle name="Normal 5 2 2 2 2 2 4 2 3" xfId="11980" xr:uid="{C17E6B12-1DBF-4D0F-8E8A-4098191F6B99}"/>
    <cellStyle name="Normal 5 2 2 2 2 2 4 3" xfId="5611" xr:uid="{00000000-0005-0000-0000-000015170000}"/>
    <cellStyle name="Normal 5 2 2 2 2 2 4 3 2" xfId="14053" xr:uid="{D20BAFFB-BE56-481E-AA95-2603994C5CF5}"/>
    <cellStyle name="Normal 5 2 2 2 2 2 4 4" xfId="9835" xr:uid="{489C9777-35AC-4BE7-A15C-B5CE777D8CA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DDF9FC9A-C920-47D4-9B4E-DD453DE81E03}"/>
    <cellStyle name="Normal 5 2 2 2 2 2 5 2 3" xfId="12393" xr:uid="{93B36257-9D0B-48AA-AD4D-1BA371B2487E}"/>
    <cellStyle name="Normal 5 2 2 2 2 2 5 3" xfId="6024" xr:uid="{00000000-0005-0000-0000-000019170000}"/>
    <cellStyle name="Normal 5 2 2 2 2 2 5 3 2" xfId="14466" xr:uid="{DE84CF59-AA0F-4E58-981F-34F350ED9E23}"/>
    <cellStyle name="Normal 5 2 2 2 2 2 5 4" xfId="10248" xr:uid="{C0E40B2B-5FE8-42D9-A88D-72A7A0F0490F}"/>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AC9B3B36-834C-48E5-A07D-3A881B1E13D4}"/>
    <cellStyle name="Normal 5 2 2 2 2 2 6 2 3" xfId="12806" xr:uid="{9041AE46-59D7-4DFA-B332-D3F76718C54E}"/>
    <cellStyle name="Normal 5 2 2 2 2 2 6 3" xfId="6437" xr:uid="{00000000-0005-0000-0000-00001D170000}"/>
    <cellStyle name="Normal 5 2 2 2 2 2 6 3 2" xfId="14879" xr:uid="{E8A430E5-6A32-4685-A021-86FFCD1B0A63}"/>
    <cellStyle name="Normal 5 2 2 2 2 2 6 4" xfId="10661" xr:uid="{353A9FE2-B8F7-4432-ABF0-D68536E2D83E}"/>
    <cellStyle name="Normal 5 2 2 2 2 2 7" xfId="2566" xr:uid="{00000000-0005-0000-0000-00001E170000}"/>
    <cellStyle name="Normal 5 2 2 2 2 2 7 2" xfId="6850" xr:uid="{00000000-0005-0000-0000-00001F170000}"/>
    <cellStyle name="Normal 5 2 2 2 2 2 7 2 2" xfId="15292" xr:uid="{337EE0D5-F4FE-4DAC-9530-074C073B1504}"/>
    <cellStyle name="Normal 5 2 2 2 2 2 7 3" xfId="11074" xr:uid="{DBBF77BF-17B1-406A-AC56-84B505AE4A28}"/>
    <cellStyle name="Normal 5 2 2 2 2 2 8" xfId="4785" xr:uid="{00000000-0005-0000-0000-000020170000}"/>
    <cellStyle name="Normal 5 2 2 2 2 2 8 2" xfId="13227" xr:uid="{9535F8F3-9A85-4E58-9ACA-4CF01E5EEBBF}"/>
    <cellStyle name="Normal 5 2 2 2 2 2 9" xfId="9009" xr:uid="{10B569C7-BD4A-46BA-89DB-68E79E33EFF1}"/>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ECF732BA-5D46-4A79-AEA3-B881B9094A1A}"/>
    <cellStyle name="Normal 5 2 2 2 2 3 2 2 3" xfId="11569" xr:uid="{F88A329C-C6C5-4F50-B6BA-5427C8173F78}"/>
    <cellStyle name="Normal 5 2 2 2 2 3 2 3" xfId="5200" xr:uid="{00000000-0005-0000-0000-000025170000}"/>
    <cellStyle name="Normal 5 2 2 2 2 3 2 3 2" xfId="13642" xr:uid="{0AB77A1C-F98A-4A9E-8F7D-99D1D6C8770F}"/>
    <cellStyle name="Normal 5 2 2 2 2 3 2 4" xfId="9424" xr:uid="{5A58680E-4F32-4740-A657-6D3C93E8E4B5}"/>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0CA79CC8-378A-4CC8-8257-1ED6E41282E9}"/>
    <cellStyle name="Normal 5 2 2 2 2 3 3 2 3" xfId="11982" xr:uid="{1A40F02E-0897-4AE1-92E1-6AE4A43C91A8}"/>
    <cellStyle name="Normal 5 2 2 2 2 3 3 3" xfId="5613" xr:uid="{00000000-0005-0000-0000-000029170000}"/>
    <cellStyle name="Normal 5 2 2 2 2 3 3 3 2" xfId="14055" xr:uid="{9B47489F-85BF-4E80-9643-FDB55521CA59}"/>
    <cellStyle name="Normal 5 2 2 2 2 3 3 4" xfId="9837" xr:uid="{4D68D7FB-5465-4459-9418-B458F08CE5B6}"/>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867C2946-7EEF-4964-A02A-13B369F6DBA0}"/>
    <cellStyle name="Normal 5 2 2 2 2 3 4 2 3" xfId="12395" xr:uid="{48A1BBA2-726A-4530-ADD2-92BE95B7036C}"/>
    <cellStyle name="Normal 5 2 2 2 2 3 4 3" xfId="6026" xr:uid="{00000000-0005-0000-0000-00002D170000}"/>
    <cellStyle name="Normal 5 2 2 2 2 3 4 3 2" xfId="14468" xr:uid="{668687F2-0BB8-4C37-AF9B-C9F9D3E5C126}"/>
    <cellStyle name="Normal 5 2 2 2 2 3 4 4" xfId="10250" xr:uid="{ECCC7CC8-F792-4237-AF75-97212586780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99612BD6-D6EE-4174-B346-D344F4EBA76E}"/>
    <cellStyle name="Normal 5 2 2 2 2 3 5 2 3" xfId="12808" xr:uid="{1C08F014-1D69-4860-B23F-CDF040E5D506}"/>
    <cellStyle name="Normal 5 2 2 2 2 3 5 3" xfId="6439" xr:uid="{00000000-0005-0000-0000-000031170000}"/>
    <cellStyle name="Normal 5 2 2 2 2 3 5 3 2" xfId="14881" xr:uid="{BF6022E9-6297-40D8-8429-1947D41F560B}"/>
    <cellStyle name="Normal 5 2 2 2 2 3 5 4" xfId="10663" xr:uid="{0D674A8D-006D-4377-9D25-E6B63ABEB403}"/>
    <cellStyle name="Normal 5 2 2 2 2 3 6" xfId="2568" xr:uid="{00000000-0005-0000-0000-000032170000}"/>
    <cellStyle name="Normal 5 2 2 2 2 3 6 2" xfId="6852" xr:uid="{00000000-0005-0000-0000-000033170000}"/>
    <cellStyle name="Normal 5 2 2 2 2 3 6 2 2" xfId="15294" xr:uid="{D7D4DA3B-AAC3-4ED6-9E6C-E95C10475715}"/>
    <cellStyle name="Normal 5 2 2 2 2 3 6 3" xfId="11076" xr:uid="{E77B6E79-3171-405E-8155-9743D4DFBDF7}"/>
    <cellStyle name="Normal 5 2 2 2 2 3 7" xfId="4787" xr:uid="{00000000-0005-0000-0000-000034170000}"/>
    <cellStyle name="Normal 5 2 2 2 2 3 7 2" xfId="13229" xr:uid="{4AAD54DF-8838-4E2F-A429-B3F050EEC192}"/>
    <cellStyle name="Normal 5 2 2 2 2 3 8" xfId="9011" xr:uid="{1DC7DFB3-3CFF-4BAC-B7F3-DE44A0847047}"/>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A6EC95EE-92C9-4874-A844-9365A2BE53EC}"/>
    <cellStyle name="Normal 5 2 2 2 2 4 2 3" xfId="11566" xr:uid="{4670F637-A654-4CA9-9147-E7D440B401C5}"/>
    <cellStyle name="Normal 5 2 2 2 2 4 3" xfId="5197" xr:uid="{00000000-0005-0000-0000-000038170000}"/>
    <cellStyle name="Normal 5 2 2 2 2 4 3 2" xfId="13639" xr:uid="{655A6011-BEA5-456D-A91E-1C73E0B7DBFB}"/>
    <cellStyle name="Normal 5 2 2 2 2 4 4" xfId="9421" xr:uid="{5F322DD6-FE59-48B3-8506-E43ADE40CB16}"/>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AF170B5B-5DC1-4164-88C7-D1E2925DE6C4}"/>
    <cellStyle name="Normal 5 2 2 2 2 5 2 3" xfId="11979" xr:uid="{7E2F7532-2149-447C-B82A-D89E264CB740}"/>
    <cellStyle name="Normal 5 2 2 2 2 5 3" xfId="5610" xr:uid="{00000000-0005-0000-0000-00003C170000}"/>
    <cellStyle name="Normal 5 2 2 2 2 5 3 2" xfId="14052" xr:uid="{FBAC15C4-07E0-4C60-B33A-4C47D1026529}"/>
    <cellStyle name="Normal 5 2 2 2 2 5 4" xfId="9834" xr:uid="{47FF794D-232F-4202-B0D0-B8E578528BE3}"/>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7C76AF2F-37A4-4728-91F1-89DEA003116E}"/>
    <cellStyle name="Normal 5 2 2 2 2 6 2 3" xfId="12392" xr:uid="{51AAC6E8-92D3-4776-B733-98110A664B6F}"/>
    <cellStyle name="Normal 5 2 2 2 2 6 3" xfId="6023" xr:uid="{00000000-0005-0000-0000-000040170000}"/>
    <cellStyle name="Normal 5 2 2 2 2 6 3 2" xfId="14465" xr:uid="{F3E77257-48B0-4020-B72A-DC6B5429B9FF}"/>
    <cellStyle name="Normal 5 2 2 2 2 6 4" xfId="10247" xr:uid="{150993E9-F537-4122-BFDC-0ACDFE4FC88F}"/>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D8E70039-6BA0-490A-8119-C64893C07EFB}"/>
    <cellStyle name="Normal 5 2 2 2 2 7 2 3" xfId="12805" xr:uid="{041E901B-294D-4515-AE51-30679109AF13}"/>
    <cellStyle name="Normal 5 2 2 2 2 7 3" xfId="6436" xr:uid="{00000000-0005-0000-0000-000044170000}"/>
    <cellStyle name="Normal 5 2 2 2 2 7 3 2" xfId="14878" xr:uid="{A6AD73CE-556F-4090-8359-2F6F6875CF42}"/>
    <cellStyle name="Normal 5 2 2 2 2 7 4" xfId="10660" xr:uid="{5BF21B55-819A-4643-B1AF-374B6AFEFEDA}"/>
    <cellStyle name="Normal 5 2 2 2 2 8" xfId="2565" xr:uid="{00000000-0005-0000-0000-000045170000}"/>
    <cellStyle name="Normal 5 2 2 2 2 8 2" xfId="6849" xr:uid="{00000000-0005-0000-0000-000046170000}"/>
    <cellStyle name="Normal 5 2 2 2 2 8 2 2" xfId="15291" xr:uid="{7D16A5CA-711B-4EEE-8917-06FD8E748238}"/>
    <cellStyle name="Normal 5 2 2 2 2 8 3" xfId="11073" xr:uid="{B11177EA-743A-418D-886F-BA3E554EA0D4}"/>
    <cellStyle name="Normal 5 2 2 2 2 9" xfId="4784" xr:uid="{00000000-0005-0000-0000-000047170000}"/>
    <cellStyle name="Normal 5 2 2 2 2 9 2" xfId="13226" xr:uid="{7F815DDF-15EC-42C6-A75D-A7BE935857CF}"/>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C7B0B1C8-24A4-4C9E-864F-24E02A7FB13B}"/>
    <cellStyle name="Normal 5 2 2 2 3 2 2 2 3" xfId="11571" xr:uid="{38CD9B29-9CF0-45B1-8A29-6DF7BC5F5415}"/>
    <cellStyle name="Normal 5 2 2 2 3 2 2 3" xfId="5202" xr:uid="{00000000-0005-0000-0000-00004D170000}"/>
    <cellStyle name="Normal 5 2 2 2 3 2 2 3 2" xfId="13644" xr:uid="{2047E793-1E8E-424A-8769-A8C4FC51E8B6}"/>
    <cellStyle name="Normal 5 2 2 2 3 2 2 4" xfId="9426" xr:uid="{A626E674-F7A3-4FEC-8C48-675F632A2DA5}"/>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E07CC116-C855-4E02-9E24-C85267D17537}"/>
    <cellStyle name="Normal 5 2 2 2 3 2 3 2 3" xfId="11984" xr:uid="{77B596DA-DC95-4D0E-AFBB-FE3D0140B2D8}"/>
    <cellStyle name="Normal 5 2 2 2 3 2 3 3" xfId="5615" xr:uid="{00000000-0005-0000-0000-000051170000}"/>
    <cellStyle name="Normal 5 2 2 2 3 2 3 3 2" xfId="14057" xr:uid="{E96E03D9-4841-4D48-A354-04D889B296CE}"/>
    <cellStyle name="Normal 5 2 2 2 3 2 3 4" xfId="9839" xr:uid="{A331351F-3E58-4BD0-8214-431E16C97836}"/>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247A53E8-375F-459B-B8A7-BCD2C0BE84B1}"/>
    <cellStyle name="Normal 5 2 2 2 3 2 4 2 3" xfId="12397" xr:uid="{E3FBA69A-2024-4E65-8CF7-0F66D3F5A877}"/>
    <cellStyle name="Normal 5 2 2 2 3 2 4 3" xfId="6028" xr:uid="{00000000-0005-0000-0000-000055170000}"/>
    <cellStyle name="Normal 5 2 2 2 3 2 4 3 2" xfId="14470" xr:uid="{0AC3C849-826F-462D-9B87-86DD3FA844E2}"/>
    <cellStyle name="Normal 5 2 2 2 3 2 4 4" xfId="10252" xr:uid="{7D9A1FDB-3DBD-4C76-908C-B1EE960D9DC5}"/>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6B3CAD37-E19F-4774-9DFF-A5DF8788EB2A}"/>
    <cellStyle name="Normal 5 2 2 2 3 2 5 2 3" xfId="12810" xr:uid="{A1418CAE-3C7C-42AD-9CD5-B9A9C3F5809F}"/>
    <cellStyle name="Normal 5 2 2 2 3 2 5 3" xfId="6441" xr:uid="{00000000-0005-0000-0000-000059170000}"/>
    <cellStyle name="Normal 5 2 2 2 3 2 5 3 2" xfId="14883" xr:uid="{35B1451E-E0B9-40B0-B5D5-CA87110C2AD9}"/>
    <cellStyle name="Normal 5 2 2 2 3 2 5 4" xfId="10665" xr:uid="{1F22FC1D-83E0-4D90-B7DC-57AF7271AAFF}"/>
    <cellStyle name="Normal 5 2 2 2 3 2 6" xfId="2570" xr:uid="{00000000-0005-0000-0000-00005A170000}"/>
    <cellStyle name="Normal 5 2 2 2 3 2 6 2" xfId="6854" xr:uid="{00000000-0005-0000-0000-00005B170000}"/>
    <cellStyle name="Normal 5 2 2 2 3 2 6 2 2" xfId="15296" xr:uid="{168189C5-C8ED-4F3F-BAFB-BC9586C3FAC5}"/>
    <cellStyle name="Normal 5 2 2 2 3 2 6 3" xfId="11078" xr:uid="{8EDCFF94-9E3B-4AD8-9A2F-C1A251EE6ED6}"/>
    <cellStyle name="Normal 5 2 2 2 3 2 7" xfId="4789" xr:uid="{00000000-0005-0000-0000-00005C170000}"/>
    <cellStyle name="Normal 5 2 2 2 3 2 7 2" xfId="13231" xr:uid="{88815B5A-01FF-43C6-B43D-12C8F7136600}"/>
    <cellStyle name="Normal 5 2 2 2 3 2 8" xfId="9013" xr:uid="{A8444E22-BBAC-45C6-BBC0-7EFF430619AB}"/>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5ED4AB8A-E689-4EA6-AB2A-F744B00A4FDE}"/>
    <cellStyle name="Normal 5 2 2 2 3 3 2 3" xfId="11570" xr:uid="{0FECE677-D70D-40BF-99CB-76698F5D9E1B}"/>
    <cellStyle name="Normal 5 2 2 2 3 3 3" xfId="5201" xr:uid="{00000000-0005-0000-0000-000060170000}"/>
    <cellStyle name="Normal 5 2 2 2 3 3 3 2" xfId="13643" xr:uid="{7CF34A9B-7DEC-4D23-BC70-0215EBD57450}"/>
    <cellStyle name="Normal 5 2 2 2 3 3 4" xfId="9425" xr:uid="{BF4E8C41-826D-412C-94E8-3EEA01CD2F32}"/>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0E9EA8A4-4405-4084-9F12-9E6B40B0AD1E}"/>
    <cellStyle name="Normal 5 2 2 2 3 4 2 3" xfId="11983" xr:uid="{1CEDCE53-B01C-4723-9E10-F1A5D46BDDBA}"/>
    <cellStyle name="Normal 5 2 2 2 3 4 3" xfId="5614" xr:uid="{00000000-0005-0000-0000-000064170000}"/>
    <cellStyle name="Normal 5 2 2 2 3 4 3 2" xfId="14056" xr:uid="{1B4B730E-7D1F-4A2B-8C56-C2DACC7BAE6D}"/>
    <cellStyle name="Normal 5 2 2 2 3 4 4" xfId="9838" xr:uid="{2187FDC4-C581-46FC-9281-C1C1B43F8778}"/>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02F236F6-40FA-422B-8806-48474103C728}"/>
    <cellStyle name="Normal 5 2 2 2 3 5 2 3" xfId="12396" xr:uid="{7B3ED557-A194-4CED-A12F-580F0E7D6682}"/>
    <cellStyle name="Normal 5 2 2 2 3 5 3" xfId="6027" xr:uid="{00000000-0005-0000-0000-000068170000}"/>
    <cellStyle name="Normal 5 2 2 2 3 5 3 2" xfId="14469" xr:uid="{482D6F18-6826-48E8-8497-FF98A440CE22}"/>
    <cellStyle name="Normal 5 2 2 2 3 5 4" xfId="10251" xr:uid="{C84A5915-04CB-48A3-820C-84462F0E4AE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A0AEC9F3-D3E8-4161-83E6-2ECE0D04681C}"/>
    <cellStyle name="Normal 5 2 2 2 3 6 2 3" xfId="12809" xr:uid="{DC7FD050-272D-4A7C-B0A5-0D05206D36E0}"/>
    <cellStyle name="Normal 5 2 2 2 3 6 3" xfId="6440" xr:uid="{00000000-0005-0000-0000-00006C170000}"/>
    <cellStyle name="Normal 5 2 2 2 3 6 3 2" xfId="14882" xr:uid="{6B3EC995-CB59-42E3-8B43-99C05A8ED914}"/>
    <cellStyle name="Normal 5 2 2 2 3 6 4" xfId="10664" xr:uid="{CC890075-4038-4E9A-839D-B13B0570C468}"/>
    <cellStyle name="Normal 5 2 2 2 3 7" xfId="2569" xr:uid="{00000000-0005-0000-0000-00006D170000}"/>
    <cellStyle name="Normal 5 2 2 2 3 7 2" xfId="6853" xr:uid="{00000000-0005-0000-0000-00006E170000}"/>
    <cellStyle name="Normal 5 2 2 2 3 7 2 2" xfId="15295" xr:uid="{E50EE340-E85C-46CD-B806-BA2B3B583D50}"/>
    <cellStyle name="Normal 5 2 2 2 3 7 3" xfId="11077" xr:uid="{2499C749-B38A-4412-B2C3-4CDC086C25B5}"/>
    <cellStyle name="Normal 5 2 2 2 3 8" xfId="4788" xr:uid="{00000000-0005-0000-0000-00006F170000}"/>
    <cellStyle name="Normal 5 2 2 2 3 8 2" xfId="13230" xr:uid="{01AEDF7F-B9A5-41BE-8300-82712BA24819}"/>
    <cellStyle name="Normal 5 2 2 2 3 9" xfId="9012" xr:uid="{6012CD8E-3F5B-4622-B2F3-4317F069FEBB}"/>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FDBA6EF8-791A-409E-BC36-34D0D95E985C}"/>
    <cellStyle name="Normal 5 2 2 2 4 2 2 3" xfId="11572" xr:uid="{E6801DDC-6540-4ABB-AA45-4B5FA95B68C9}"/>
    <cellStyle name="Normal 5 2 2 2 4 2 3" xfId="5203" xr:uid="{00000000-0005-0000-0000-000074170000}"/>
    <cellStyle name="Normal 5 2 2 2 4 2 3 2" xfId="13645" xr:uid="{C2FA7078-DB4C-450F-B288-CBE38D541859}"/>
    <cellStyle name="Normal 5 2 2 2 4 2 4" xfId="9427" xr:uid="{821912CD-AAA4-4804-8E47-D4811EE27A16}"/>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137E8324-7E7C-4625-8DDD-E4173293F395}"/>
    <cellStyle name="Normal 5 2 2 2 4 3 2 3" xfId="11985" xr:uid="{52520851-8EFD-4DAE-B622-014C12FFD1C6}"/>
    <cellStyle name="Normal 5 2 2 2 4 3 3" xfId="5616" xr:uid="{00000000-0005-0000-0000-000078170000}"/>
    <cellStyle name="Normal 5 2 2 2 4 3 3 2" xfId="14058" xr:uid="{6968760C-7F7D-4ED0-9A1D-B353A90D5AD4}"/>
    <cellStyle name="Normal 5 2 2 2 4 3 4" xfId="9840" xr:uid="{2A55031D-B056-4CBA-880A-D5D5AAAF5F6D}"/>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A6FAB21B-F76D-4874-B066-01E223062725}"/>
    <cellStyle name="Normal 5 2 2 2 4 4 2 3" xfId="12398" xr:uid="{7EDEC598-DDA0-4F25-9C4D-D6DAAE5D2E50}"/>
    <cellStyle name="Normal 5 2 2 2 4 4 3" xfId="6029" xr:uid="{00000000-0005-0000-0000-00007C170000}"/>
    <cellStyle name="Normal 5 2 2 2 4 4 3 2" xfId="14471" xr:uid="{9C89E842-2142-4158-88CF-7057FC9C8B61}"/>
    <cellStyle name="Normal 5 2 2 2 4 4 4" xfId="10253" xr:uid="{82599C88-0EA9-491C-8C8F-6DD16DA3412C}"/>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6D4B594B-EEA2-4859-82C2-DB5DFDA1E5A8}"/>
    <cellStyle name="Normal 5 2 2 2 4 5 2 3" xfId="12811" xr:uid="{ED990CCC-E017-4F58-A538-6B89EA3A1EAA}"/>
    <cellStyle name="Normal 5 2 2 2 4 5 3" xfId="6442" xr:uid="{00000000-0005-0000-0000-000080170000}"/>
    <cellStyle name="Normal 5 2 2 2 4 5 3 2" xfId="14884" xr:uid="{A46B4C7A-AC73-40BD-916D-52FE0CF57C56}"/>
    <cellStyle name="Normal 5 2 2 2 4 5 4" xfId="10666" xr:uid="{A72626F3-76FB-4D6A-876E-FE88E2E4F381}"/>
    <cellStyle name="Normal 5 2 2 2 4 6" xfId="2571" xr:uid="{00000000-0005-0000-0000-000081170000}"/>
    <cellStyle name="Normal 5 2 2 2 4 6 2" xfId="6855" xr:uid="{00000000-0005-0000-0000-000082170000}"/>
    <cellStyle name="Normal 5 2 2 2 4 6 2 2" xfId="15297" xr:uid="{CE35B130-EC82-4F92-B4A1-B79045494E57}"/>
    <cellStyle name="Normal 5 2 2 2 4 6 3" xfId="11079" xr:uid="{B029127F-59EF-4B5D-8EC8-81EEC9F3EB06}"/>
    <cellStyle name="Normal 5 2 2 2 4 7" xfId="4790" xr:uid="{00000000-0005-0000-0000-000083170000}"/>
    <cellStyle name="Normal 5 2 2 2 4 7 2" xfId="13232" xr:uid="{3F5F0756-558C-46AF-9CE6-53D8CD78231C}"/>
    <cellStyle name="Normal 5 2 2 2 4 8" xfId="9014" xr:uid="{99B0EEF0-9659-470A-8D4A-CF841A222266}"/>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D8FBB981-05AF-449E-8B2C-86C42A93B2E3}"/>
    <cellStyle name="Normal 5 2 2 2 5 2 3" xfId="11565" xr:uid="{4CAE8074-3331-482D-9E3A-08916C71D552}"/>
    <cellStyle name="Normal 5 2 2 2 5 3" xfId="5196" xr:uid="{00000000-0005-0000-0000-000087170000}"/>
    <cellStyle name="Normal 5 2 2 2 5 3 2" xfId="13638" xr:uid="{1395D3CF-DD7E-48EA-9D78-E110F7035A30}"/>
    <cellStyle name="Normal 5 2 2 2 5 4" xfId="9420" xr:uid="{C8774ADE-0D4A-47A2-AFB3-6E1622EFB25E}"/>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F8ADCB07-EB02-49A7-8F6A-E71D3C62FD06}"/>
    <cellStyle name="Normal 5 2 2 2 6 2 3" xfId="11978" xr:uid="{0DD4BD6B-6AD2-465C-9719-EBA2EC387C81}"/>
    <cellStyle name="Normal 5 2 2 2 6 3" xfId="5609" xr:uid="{00000000-0005-0000-0000-00008B170000}"/>
    <cellStyle name="Normal 5 2 2 2 6 3 2" xfId="14051" xr:uid="{BD523C3F-EC87-4197-B2A6-1D29152CDE10}"/>
    <cellStyle name="Normal 5 2 2 2 6 4" xfId="9833" xr:uid="{275DF4F3-590D-4F53-B26F-4057570AD416}"/>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976BE754-864A-45E2-BF68-B200BE9F6B52}"/>
    <cellStyle name="Normal 5 2 2 2 7 2 3" xfId="12391" xr:uid="{AA1F74E6-2BF7-4104-A0FA-84106E93DE9E}"/>
    <cellStyle name="Normal 5 2 2 2 7 3" xfId="6022" xr:uid="{00000000-0005-0000-0000-00008F170000}"/>
    <cellStyle name="Normal 5 2 2 2 7 3 2" xfId="14464" xr:uid="{5AE2E8FA-4D36-47EE-ADA6-CD5A6C5A8725}"/>
    <cellStyle name="Normal 5 2 2 2 7 4" xfId="10246" xr:uid="{ACBD7134-7536-4E9C-AF19-60F4D9857DFA}"/>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80127C20-3479-4D4E-BF67-3C60FA9A79E5}"/>
    <cellStyle name="Normal 5 2 2 2 8 2 3" xfId="12804" xr:uid="{F31A1F47-67D1-46C5-99CA-D6ED7470FC20}"/>
    <cellStyle name="Normal 5 2 2 2 8 3" xfId="6435" xr:uid="{00000000-0005-0000-0000-000093170000}"/>
    <cellStyle name="Normal 5 2 2 2 8 3 2" xfId="14877" xr:uid="{5F927214-309A-47E6-90EA-C8069A8E4833}"/>
    <cellStyle name="Normal 5 2 2 2 8 4" xfId="10659" xr:uid="{4D5FBC61-2897-4B44-A950-3229E732C585}"/>
    <cellStyle name="Normal 5 2 2 2 9" xfId="2564" xr:uid="{00000000-0005-0000-0000-000094170000}"/>
    <cellStyle name="Normal 5 2 2 2 9 2" xfId="6848" xr:uid="{00000000-0005-0000-0000-000095170000}"/>
    <cellStyle name="Normal 5 2 2 2 9 2 2" xfId="15290" xr:uid="{1C22A3D1-0D5F-49A1-B2FD-AEA7EF85DB68}"/>
    <cellStyle name="Normal 5 2 2 2 9 3" xfId="11072" xr:uid="{4BB3D4C3-4315-462C-8F33-9F068DBB6361}"/>
    <cellStyle name="Normal 5 2 2 3" xfId="417" xr:uid="{00000000-0005-0000-0000-000096170000}"/>
    <cellStyle name="Normal 5 2 2 3 10" xfId="9015" xr:uid="{BD83BB1C-804D-4D8F-B900-0A881C29473D}"/>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8018EC01-929A-4110-8555-085C79B8FE3D}"/>
    <cellStyle name="Normal 5 2 2 3 2 2 2 2 3" xfId="11575" xr:uid="{21830B02-C5FF-4D90-AAD2-1B1432A23DAC}"/>
    <cellStyle name="Normal 5 2 2 3 2 2 2 3" xfId="5206" xr:uid="{00000000-0005-0000-0000-00009C170000}"/>
    <cellStyle name="Normal 5 2 2 3 2 2 2 3 2" xfId="13648" xr:uid="{1E1589D0-8E71-4B8F-990E-3E80B26D206E}"/>
    <cellStyle name="Normal 5 2 2 3 2 2 2 4" xfId="9430" xr:uid="{7970504B-F507-470E-821F-4A6306EDD15D}"/>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35379D39-866E-468C-B709-9EED86586B05}"/>
    <cellStyle name="Normal 5 2 2 3 2 2 3 2 3" xfId="11988" xr:uid="{A6798BD3-86EF-4000-91D1-4BBB8E02647C}"/>
    <cellStyle name="Normal 5 2 2 3 2 2 3 3" xfId="5619" xr:uid="{00000000-0005-0000-0000-0000A0170000}"/>
    <cellStyle name="Normal 5 2 2 3 2 2 3 3 2" xfId="14061" xr:uid="{96B9B732-37C8-46DC-9A00-AD3F3B719719}"/>
    <cellStyle name="Normal 5 2 2 3 2 2 3 4" xfId="9843" xr:uid="{53CDAAB0-5E4A-4777-83B9-82AAFA4E5FAF}"/>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0227D9D6-EC64-41B2-8E7F-9876FF1D6B14}"/>
    <cellStyle name="Normal 5 2 2 3 2 2 4 2 3" xfId="12401" xr:uid="{F7B74569-6B56-4BDE-8783-4AA4A14A405E}"/>
    <cellStyle name="Normal 5 2 2 3 2 2 4 3" xfId="6032" xr:uid="{00000000-0005-0000-0000-0000A4170000}"/>
    <cellStyle name="Normal 5 2 2 3 2 2 4 3 2" xfId="14474" xr:uid="{26D2BD53-28C3-40A3-A7F2-B0ECA085C4E9}"/>
    <cellStyle name="Normal 5 2 2 3 2 2 4 4" xfId="10256" xr:uid="{BC8218D0-810D-464E-8A4B-3BF2F339D284}"/>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8696D171-494B-4EE5-A32E-5D1C61250FCA}"/>
    <cellStyle name="Normal 5 2 2 3 2 2 5 2 3" xfId="12814" xr:uid="{0A31D11B-F22A-4CD6-BF8B-44FE6B9CC1B9}"/>
    <cellStyle name="Normal 5 2 2 3 2 2 5 3" xfId="6445" xr:uid="{00000000-0005-0000-0000-0000A8170000}"/>
    <cellStyle name="Normal 5 2 2 3 2 2 5 3 2" xfId="14887" xr:uid="{43CB0C74-2599-48EE-B11E-73BFE9F2C9C0}"/>
    <cellStyle name="Normal 5 2 2 3 2 2 5 4" xfId="10669" xr:uid="{34339E0A-5610-428E-8DD8-D641BCAB4410}"/>
    <cellStyle name="Normal 5 2 2 3 2 2 6" xfId="2574" xr:uid="{00000000-0005-0000-0000-0000A9170000}"/>
    <cellStyle name="Normal 5 2 2 3 2 2 6 2" xfId="6858" xr:uid="{00000000-0005-0000-0000-0000AA170000}"/>
    <cellStyle name="Normal 5 2 2 3 2 2 6 2 2" xfId="15300" xr:uid="{83C14ED7-5E9F-4355-AE45-947EEBF5C0AC}"/>
    <cellStyle name="Normal 5 2 2 3 2 2 6 3" xfId="11082" xr:uid="{026A4932-BA6E-492A-8155-879036B39464}"/>
    <cellStyle name="Normal 5 2 2 3 2 2 7" xfId="4793" xr:uid="{00000000-0005-0000-0000-0000AB170000}"/>
    <cellStyle name="Normal 5 2 2 3 2 2 7 2" xfId="13235" xr:uid="{CB702417-4017-4B2A-AFFB-D9555FA8736C}"/>
    <cellStyle name="Normal 5 2 2 3 2 2 8" xfId="9017" xr:uid="{3A4FBA8D-EDFA-467C-98F9-D755204C8CDA}"/>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0F689323-14EF-41B8-8579-3BE314AC275D}"/>
    <cellStyle name="Normal 5 2 2 3 2 3 2 3" xfId="11574" xr:uid="{49D1EB4E-517E-44D8-99FF-5F4E4CA0802D}"/>
    <cellStyle name="Normal 5 2 2 3 2 3 3" xfId="5205" xr:uid="{00000000-0005-0000-0000-0000AF170000}"/>
    <cellStyle name="Normal 5 2 2 3 2 3 3 2" xfId="13647" xr:uid="{BC47219C-D0DD-46FE-81AF-6D1D0CF336D3}"/>
    <cellStyle name="Normal 5 2 2 3 2 3 4" xfId="9429" xr:uid="{94C91F87-E56B-47B4-9957-911835A7ABC3}"/>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6DCD1086-8B7F-4E22-9FE4-C1C186244AA7}"/>
    <cellStyle name="Normal 5 2 2 3 2 4 2 3" xfId="11987" xr:uid="{C6A32D2B-E8A7-4B07-84D5-A459D497FBD0}"/>
    <cellStyle name="Normal 5 2 2 3 2 4 3" xfId="5618" xr:uid="{00000000-0005-0000-0000-0000B3170000}"/>
    <cellStyle name="Normal 5 2 2 3 2 4 3 2" xfId="14060" xr:uid="{1D285D14-9C0B-4D61-908E-F873BD1C5837}"/>
    <cellStyle name="Normal 5 2 2 3 2 4 4" xfId="9842" xr:uid="{F5D225C9-E350-42B9-B854-80569B7B9896}"/>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3BEE7BD3-80A2-40D3-A2DC-66CA2CA3C684}"/>
    <cellStyle name="Normal 5 2 2 3 2 5 2 3" xfId="12400" xr:uid="{7797B610-71F9-4A61-AC47-471A36364F00}"/>
    <cellStyle name="Normal 5 2 2 3 2 5 3" xfId="6031" xr:uid="{00000000-0005-0000-0000-0000B7170000}"/>
    <cellStyle name="Normal 5 2 2 3 2 5 3 2" xfId="14473" xr:uid="{AE33189F-599C-465C-A53F-B71F777C3761}"/>
    <cellStyle name="Normal 5 2 2 3 2 5 4" xfId="10255" xr:uid="{B4040B87-0969-41D0-8A2E-1259D5019449}"/>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F03BC786-747E-41CC-AB53-A4992757D4B4}"/>
    <cellStyle name="Normal 5 2 2 3 2 6 2 3" xfId="12813" xr:uid="{CC5EE38F-93AE-4FDC-BDA0-A40C45A6C118}"/>
    <cellStyle name="Normal 5 2 2 3 2 6 3" xfId="6444" xr:uid="{00000000-0005-0000-0000-0000BB170000}"/>
    <cellStyle name="Normal 5 2 2 3 2 6 3 2" xfId="14886" xr:uid="{B1F41FE8-2C3C-4378-8C52-2537639DB886}"/>
    <cellStyle name="Normal 5 2 2 3 2 6 4" xfId="10668" xr:uid="{B0C0102D-65D8-41A8-8B1C-ED451491AE89}"/>
    <cellStyle name="Normal 5 2 2 3 2 7" xfId="2573" xr:uid="{00000000-0005-0000-0000-0000BC170000}"/>
    <cellStyle name="Normal 5 2 2 3 2 7 2" xfId="6857" xr:uid="{00000000-0005-0000-0000-0000BD170000}"/>
    <cellStyle name="Normal 5 2 2 3 2 7 2 2" xfId="15299" xr:uid="{1EB8B8D4-3016-4DC8-9C86-23611900B6EC}"/>
    <cellStyle name="Normal 5 2 2 3 2 7 3" xfId="11081" xr:uid="{3882D475-7540-470E-B4C0-4339824D87C4}"/>
    <cellStyle name="Normal 5 2 2 3 2 8" xfId="4792" xr:uid="{00000000-0005-0000-0000-0000BE170000}"/>
    <cellStyle name="Normal 5 2 2 3 2 8 2" xfId="13234" xr:uid="{17D7AADC-E1DD-482B-A8FD-DC1F85096757}"/>
    <cellStyle name="Normal 5 2 2 3 2 9" xfId="9016" xr:uid="{2EC64F88-DC92-4064-8429-93A0742C1722}"/>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2110BE7E-D062-4E6A-891F-5C82CCF992C8}"/>
    <cellStyle name="Normal 5 2 2 3 3 2 2 3" xfId="11576" xr:uid="{16EE8248-FB9A-4908-A28C-828CFA2A3D96}"/>
    <cellStyle name="Normal 5 2 2 3 3 2 3" xfId="5207" xr:uid="{00000000-0005-0000-0000-0000C3170000}"/>
    <cellStyle name="Normal 5 2 2 3 3 2 3 2" xfId="13649" xr:uid="{E0C48410-4044-4F22-8E52-D2E64D609D39}"/>
    <cellStyle name="Normal 5 2 2 3 3 2 4" xfId="9431" xr:uid="{6ABCE6E7-84F8-4706-A785-47390643FFC8}"/>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8DD026CC-7532-43F1-B877-F5FA51FFBDFC}"/>
    <cellStyle name="Normal 5 2 2 3 3 3 2 3" xfId="11989" xr:uid="{C6C9746A-DE20-450C-AD35-57135F7363C3}"/>
    <cellStyle name="Normal 5 2 2 3 3 3 3" xfId="5620" xr:uid="{00000000-0005-0000-0000-0000C7170000}"/>
    <cellStyle name="Normal 5 2 2 3 3 3 3 2" xfId="14062" xr:uid="{80C047FA-D1E3-4572-BE11-D915E86A7E50}"/>
    <cellStyle name="Normal 5 2 2 3 3 3 4" xfId="9844" xr:uid="{FBEFC8B7-07C5-4854-A395-13ABCF7EFDA2}"/>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C85146BC-2EC3-4C70-9528-675D3F9616C5}"/>
    <cellStyle name="Normal 5 2 2 3 3 4 2 3" xfId="12402" xr:uid="{04AD5A00-2C7F-4508-B196-F02DCB78C43B}"/>
    <cellStyle name="Normal 5 2 2 3 3 4 3" xfId="6033" xr:uid="{00000000-0005-0000-0000-0000CB170000}"/>
    <cellStyle name="Normal 5 2 2 3 3 4 3 2" xfId="14475" xr:uid="{D4078E7A-63A8-45D7-BF5A-20D92FA62AFC}"/>
    <cellStyle name="Normal 5 2 2 3 3 4 4" xfId="10257" xr:uid="{68686EAC-7C6C-40FB-896B-25079C1A3849}"/>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2066D6EA-4F7E-48F9-8E26-D778785BBF6B}"/>
    <cellStyle name="Normal 5 2 2 3 3 5 2 3" xfId="12815" xr:uid="{668A8BD0-800E-42A4-94E5-600F04E079E8}"/>
    <cellStyle name="Normal 5 2 2 3 3 5 3" xfId="6446" xr:uid="{00000000-0005-0000-0000-0000CF170000}"/>
    <cellStyle name="Normal 5 2 2 3 3 5 3 2" xfId="14888" xr:uid="{431831D9-0F72-4746-AD29-E9DBCC1C5C67}"/>
    <cellStyle name="Normal 5 2 2 3 3 5 4" xfId="10670" xr:uid="{84AF2355-0990-47B7-ACC4-91FF0AAEF1C7}"/>
    <cellStyle name="Normal 5 2 2 3 3 6" xfId="2575" xr:uid="{00000000-0005-0000-0000-0000D0170000}"/>
    <cellStyle name="Normal 5 2 2 3 3 6 2" xfId="6859" xr:uid="{00000000-0005-0000-0000-0000D1170000}"/>
    <cellStyle name="Normal 5 2 2 3 3 6 2 2" xfId="15301" xr:uid="{F05A580B-E7AC-4F03-82E2-67B031B6956B}"/>
    <cellStyle name="Normal 5 2 2 3 3 6 3" xfId="11083" xr:uid="{5400378B-423E-445D-A2E9-34A6B4B79DFF}"/>
    <cellStyle name="Normal 5 2 2 3 3 7" xfId="4794" xr:uid="{00000000-0005-0000-0000-0000D2170000}"/>
    <cellStyle name="Normal 5 2 2 3 3 7 2" xfId="13236" xr:uid="{875421ED-28FB-40AF-8C19-0B3F10837A40}"/>
    <cellStyle name="Normal 5 2 2 3 3 8" xfId="9018" xr:uid="{B399D191-04F0-4489-A02A-FE56A3BCCF0F}"/>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F97426BA-70AE-43FF-AE3E-D6318537B713}"/>
    <cellStyle name="Normal 5 2 2 3 4 2 3" xfId="11573" xr:uid="{991DF705-5DA0-4C53-A3BE-59B310E64D51}"/>
    <cellStyle name="Normal 5 2 2 3 4 3" xfId="5204" xr:uid="{00000000-0005-0000-0000-0000D6170000}"/>
    <cellStyle name="Normal 5 2 2 3 4 3 2" xfId="13646" xr:uid="{9936614F-C184-4C1A-9CE5-DED1A9FFADDE}"/>
    <cellStyle name="Normal 5 2 2 3 4 4" xfId="9428" xr:uid="{261A4846-2D80-4D33-83AC-28FD4A556A12}"/>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E15D25A6-5E36-4898-A11D-4B27154B7E67}"/>
    <cellStyle name="Normal 5 2 2 3 5 2 3" xfId="11986" xr:uid="{DBC414B7-62AC-4610-AB37-77087EB7C36F}"/>
    <cellStyle name="Normal 5 2 2 3 5 3" xfId="5617" xr:uid="{00000000-0005-0000-0000-0000DA170000}"/>
    <cellStyle name="Normal 5 2 2 3 5 3 2" xfId="14059" xr:uid="{268F6231-FE8F-4BBE-B59A-4A81847B4CCF}"/>
    <cellStyle name="Normal 5 2 2 3 5 4" xfId="9841" xr:uid="{0D73E8B0-8ADE-42F2-BC80-4AFA7EE1A730}"/>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472530E7-02C1-4F66-8E4F-25543CE13E0B}"/>
    <cellStyle name="Normal 5 2 2 3 6 2 3" xfId="12399" xr:uid="{DF4C498D-BD19-465A-9CB0-22E6826C5FC5}"/>
    <cellStyle name="Normal 5 2 2 3 6 3" xfId="6030" xr:uid="{00000000-0005-0000-0000-0000DE170000}"/>
    <cellStyle name="Normal 5 2 2 3 6 3 2" xfId="14472" xr:uid="{CE4C95FE-536E-44A7-BCF4-4CC2E843B358}"/>
    <cellStyle name="Normal 5 2 2 3 6 4" xfId="10254" xr:uid="{6ED7BAE6-47A3-45B5-89FF-6776FD7A9EC0}"/>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85BDA502-2E1E-45D4-B35F-584359659F89}"/>
    <cellStyle name="Normal 5 2 2 3 7 2 3" xfId="12812" xr:uid="{B9E8A102-CF9F-4B60-A8D3-1E8F746088E1}"/>
    <cellStyle name="Normal 5 2 2 3 7 3" xfId="6443" xr:uid="{00000000-0005-0000-0000-0000E2170000}"/>
    <cellStyle name="Normal 5 2 2 3 7 3 2" xfId="14885" xr:uid="{FF92AE1D-99F0-4999-BE8E-E0F4C8EC4522}"/>
    <cellStyle name="Normal 5 2 2 3 7 4" xfId="10667" xr:uid="{A863770D-D3DD-41A6-B63D-4124146F541E}"/>
    <cellStyle name="Normal 5 2 2 3 8" xfId="2572" xr:uid="{00000000-0005-0000-0000-0000E3170000}"/>
    <cellStyle name="Normal 5 2 2 3 8 2" xfId="6856" xr:uid="{00000000-0005-0000-0000-0000E4170000}"/>
    <cellStyle name="Normal 5 2 2 3 8 2 2" xfId="15298" xr:uid="{93772AC4-3ADD-44EB-9717-B59B1A4A74C5}"/>
    <cellStyle name="Normal 5 2 2 3 8 3" xfId="11080" xr:uid="{A8A776F7-73A9-41CF-BAEC-CD6714B23698}"/>
    <cellStyle name="Normal 5 2 2 3 9" xfId="4791" xr:uid="{00000000-0005-0000-0000-0000E5170000}"/>
    <cellStyle name="Normal 5 2 2 3 9 2" xfId="13233" xr:uid="{54214FCB-7A66-45F1-9A09-2DA17413A87F}"/>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FB1FCD27-0A74-4D50-A560-F8A608E43DA1}"/>
    <cellStyle name="Normal 5 2 2 4 2 2 2 3" xfId="11578" xr:uid="{A6CDC834-F3E4-41FA-B10D-AD936E586F84}"/>
    <cellStyle name="Normal 5 2 2 4 2 2 3" xfId="5209" xr:uid="{00000000-0005-0000-0000-0000EB170000}"/>
    <cellStyle name="Normal 5 2 2 4 2 2 3 2" xfId="13651" xr:uid="{A127299D-1EED-440A-88CC-192023012D61}"/>
    <cellStyle name="Normal 5 2 2 4 2 2 4" xfId="9433" xr:uid="{B463D1EB-79E8-48AD-8FC4-B2A6B07A0F6E}"/>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153646CD-D55B-434E-9760-6E5097C95180}"/>
    <cellStyle name="Normal 5 2 2 4 2 3 2 3" xfId="11991" xr:uid="{B5C40AF1-E431-42E7-B70F-3CAD4A7BF3BB}"/>
    <cellStyle name="Normal 5 2 2 4 2 3 3" xfId="5622" xr:uid="{00000000-0005-0000-0000-0000EF170000}"/>
    <cellStyle name="Normal 5 2 2 4 2 3 3 2" xfId="14064" xr:uid="{4D7B4605-A9E5-40B9-9597-BEFCE3799C8D}"/>
    <cellStyle name="Normal 5 2 2 4 2 3 4" xfId="9846" xr:uid="{7DA65645-EBCF-4192-BE08-147A347AF9B8}"/>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0C9DE62F-E7E7-4233-B099-75E004836A1A}"/>
    <cellStyle name="Normal 5 2 2 4 2 4 2 3" xfId="12404" xr:uid="{A736C1C4-9B0D-48DA-AC6E-740B5B1E1016}"/>
    <cellStyle name="Normal 5 2 2 4 2 4 3" xfId="6035" xr:uid="{00000000-0005-0000-0000-0000F3170000}"/>
    <cellStyle name="Normal 5 2 2 4 2 4 3 2" xfId="14477" xr:uid="{F55B586F-30F6-4AE7-9B9F-426E39987DE1}"/>
    <cellStyle name="Normal 5 2 2 4 2 4 4" xfId="10259" xr:uid="{961EC5FC-3AE4-448A-81FD-7C709D0F8A0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1EDF9F3A-178F-4EEE-98F0-76E6AC45413F}"/>
    <cellStyle name="Normal 5 2 2 4 2 5 2 3" xfId="12817" xr:uid="{F642A3BE-B9D5-458F-9F9E-77016C161A9F}"/>
    <cellStyle name="Normal 5 2 2 4 2 5 3" xfId="6448" xr:uid="{00000000-0005-0000-0000-0000F7170000}"/>
    <cellStyle name="Normal 5 2 2 4 2 5 3 2" xfId="14890" xr:uid="{6E773390-DB50-4669-A893-C1B6ACD52001}"/>
    <cellStyle name="Normal 5 2 2 4 2 5 4" xfId="10672" xr:uid="{5E735E71-8C57-4FC2-92FE-82B223BD4BCA}"/>
    <cellStyle name="Normal 5 2 2 4 2 6" xfId="2577" xr:uid="{00000000-0005-0000-0000-0000F8170000}"/>
    <cellStyle name="Normal 5 2 2 4 2 6 2" xfId="6861" xr:uid="{00000000-0005-0000-0000-0000F9170000}"/>
    <cellStyle name="Normal 5 2 2 4 2 6 2 2" xfId="15303" xr:uid="{5A49C688-284F-4815-9562-5B79905CD0B6}"/>
    <cellStyle name="Normal 5 2 2 4 2 6 3" xfId="11085" xr:uid="{0F48FE9C-949B-4E43-AE04-F15AFF270C06}"/>
    <cellStyle name="Normal 5 2 2 4 2 7" xfId="4796" xr:uid="{00000000-0005-0000-0000-0000FA170000}"/>
    <cellStyle name="Normal 5 2 2 4 2 7 2" xfId="13238" xr:uid="{58E8A5A7-4EBB-4E8B-B84A-A2F3B2AA928E}"/>
    <cellStyle name="Normal 5 2 2 4 2 8" xfId="9020" xr:uid="{28351CA5-42FD-4BEA-8F7A-FAB1B5AF8D19}"/>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2697FB81-3439-42CD-A885-DD2FC1D3653F}"/>
    <cellStyle name="Normal 5 2 2 4 3 2 3" xfId="11577" xr:uid="{D7152F1C-AD07-4F94-B0FD-EB7985C3AE5F}"/>
    <cellStyle name="Normal 5 2 2 4 3 3" xfId="5208" xr:uid="{00000000-0005-0000-0000-0000FE170000}"/>
    <cellStyle name="Normal 5 2 2 4 3 3 2" xfId="13650" xr:uid="{5CCC6A70-B493-4FD7-ADE6-1428F2078EBD}"/>
    <cellStyle name="Normal 5 2 2 4 3 4" xfId="9432" xr:uid="{8589B34C-B5EA-41B9-AEAE-A9412A07B0A2}"/>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61C36AA4-5784-4DA3-B506-51CD423BC112}"/>
    <cellStyle name="Normal 5 2 2 4 4 2 3" xfId="11990" xr:uid="{53573852-50F4-4B81-915B-606C8A90B61A}"/>
    <cellStyle name="Normal 5 2 2 4 4 3" xfId="5621" xr:uid="{00000000-0005-0000-0000-000002180000}"/>
    <cellStyle name="Normal 5 2 2 4 4 3 2" xfId="14063" xr:uid="{7F5E1666-AE11-426E-B078-15BE5F2833BD}"/>
    <cellStyle name="Normal 5 2 2 4 4 4" xfId="9845" xr:uid="{0402B4B2-6968-4F5C-84C5-B3AA4C7C1A1A}"/>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C38C9C2E-A0D6-4934-8F53-48870189482D}"/>
    <cellStyle name="Normal 5 2 2 4 5 2 3" xfId="12403" xr:uid="{161F88EE-35F0-4C18-A97A-A4DBDA45253B}"/>
    <cellStyle name="Normal 5 2 2 4 5 3" xfId="6034" xr:uid="{00000000-0005-0000-0000-000006180000}"/>
    <cellStyle name="Normal 5 2 2 4 5 3 2" xfId="14476" xr:uid="{53AFF69A-C271-4D73-A94B-F2EB3FB5320E}"/>
    <cellStyle name="Normal 5 2 2 4 5 4" xfId="10258" xr:uid="{657AF9C8-AA23-44BD-BE9A-B1A41723718F}"/>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865DB184-BA7E-4466-A5F4-4C9F37DBE37E}"/>
    <cellStyle name="Normal 5 2 2 4 6 2 3" xfId="12816" xr:uid="{35CF855F-5E82-41EB-96D3-1838E81FFCD9}"/>
    <cellStyle name="Normal 5 2 2 4 6 3" xfId="6447" xr:uid="{00000000-0005-0000-0000-00000A180000}"/>
    <cellStyle name="Normal 5 2 2 4 6 3 2" xfId="14889" xr:uid="{8A486C8D-74DA-4307-B44B-77B8E4300B37}"/>
    <cellStyle name="Normal 5 2 2 4 6 4" xfId="10671" xr:uid="{D16C588F-FD67-4D4D-86B9-6075374D7D5B}"/>
    <cellStyle name="Normal 5 2 2 4 7" xfId="2576" xr:uid="{00000000-0005-0000-0000-00000B180000}"/>
    <cellStyle name="Normal 5 2 2 4 7 2" xfId="6860" xr:uid="{00000000-0005-0000-0000-00000C180000}"/>
    <cellStyle name="Normal 5 2 2 4 7 2 2" xfId="15302" xr:uid="{F1F25705-809E-4B7B-8C11-6A454CF2484D}"/>
    <cellStyle name="Normal 5 2 2 4 7 3" xfId="11084" xr:uid="{F9994EAF-5CD8-452E-B869-BD6E9174A8DD}"/>
    <cellStyle name="Normal 5 2 2 4 8" xfId="4795" xr:uid="{00000000-0005-0000-0000-00000D180000}"/>
    <cellStyle name="Normal 5 2 2 4 8 2" xfId="13237" xr:uid="{61A520B9-85A9-4EE4-90B0-1CF5C82DD35E}"/>
    <cellStyle name="Normal 5 2 2 4 9" xfId="9019" xr:uid="{1DD271AD-6201-4F17-9B26-F2E46A08D3EE}"/>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5C07555D-EE5D-4B34-AA17-CFAE53E9B66D}"/>
    <cellStyle name="Normal 5 2 2 5 2 2 3" xfId="11579" xr:uid="{80F06A2B-4A0B-49E6-AAFB-B30774A95613}"/>
    <cellStyle name="Normal 5 2 2 5 2 3" xfId="5210" xr:uid="{00000000-0005-0000-0000-000012180000}"/>
    <cellStyle name="Normal 5 2 2 5 2 3 2" xfId="13652" xr:uid="{ABAFEB4B-1EBB-48F7-A892-60DDEF6F0E9D}"/>
    <cellStyle name="Normal 5 2 2 5 2 4" xfId="9434" xr:uid="{DA213D6A-C7F0-41F6-A0DC-C94520A00AFE}"/>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C4C01659-0EE2-40B1-AE51-8784068DE7DF}"/>
    <cellStyle name="Normal 5 2 2 5 3 2 3" xfId="11992" xr:uid="{4E532E1C-30F4-4CFC-B3B1-1B66C33CDBC2}"/>
    <cellStyle name="Normal 5 2 2 5 3 3" xfId="5623" xr:uid="{00000000-0005-0000-0000-000016180000}"/>
    <cellStyle name="Normal 5 2 2 5 3 3 2" xfId="14065" xr:uid="{801BE44A-38C0-4C93-AF6C-CF4E4D779A8C}"/>
    <cellStyle name="Normal 5 2 2 5 3 4" xfId="9847" xr:uid="{CC48915E-3DBB-45B2-86E3-3ED6C66F0366}"/>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871A3A34-FF40-4360-8AFA-5696A901D8E8}"/>
    <cellStyle name="Normal 5 2 2 5 4 2 3" xfId="12405" xr:uid="{3A4E86D5-9CED-4E55-84D5-0BC72B5AE59D}"/>
    <cellStyle name="Normal 5 2 2 5 4 3" xfId="6036" xr:uid="{00000000-0005-0000-0000-00001A180000}"/>
    <cellStyle name="Normal 5 2 2 5 4 3 2" xfId="14478" xr:uid="{33C9A699-8E76-42A3-A7CA-1139B991B148}"/>
    <cellStyle name="Normal 5 2 2 5 4 4" xfId="10260" xr:uid="{9C707EA9-5EC5-4939-AD61-115A3B319842}"/>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79DE69AC-8872-4101-BE4D-81BF588CFD5E}"/>
    <cellStyle name="Normal 5 2 2 5 5 2 3" xfId="12818" xr:uid="{705583D1-D30E-4E3E-B060-39C246F4F4CC}"/>
    <cellStyle name="Normal 5 2 2 5 5 3" xfId="6449" xr:uid="{00000000-0005-0000-0000-00001E180000}"/>
    <cellStyle name="Normal 5 2 2 5 5 3 2" xfId="14891" xr:uid="{0C47F2E4-2E1D-4A8A-A914-A40C495DA5AE}"/>
    <cellStyle name="Normal 5 2 2 5 5 4" xfId="10673" xr:uid="{9317E054-8113-4650-80C9-978B72F674E2}"/>
    <cellStyle name="Normal 5 2 2 5 6" xfId="2578" xr:uid="{00000000-0005-0000-0000-00001F180000}"/>
    <cellStyle name="Normal 5 2 2 5 6 2" xfId="6862" xr:uid="{00000000-0005-0000-0000-000020180000}"/>
    <cellStyle name="Normal 5 2 2 5 6 2 2" xfId="15304" xr:uid="{AE31307A-D18F-467B-B139-2F36330BE7F9}"/>
    <cellStyle name="Normal 5 2 2 5 6 3" xfId="11086" xr:uid="{18C1C0D8-7B29-43D9-A070-5578C4DE649F}"/>
    <cellStyle name="Normal 5 2 2 5 7" xfId="4797" xr:uid="{00000000-0005-0000-0000-000021180000}"/>
    <cellStyle name="Normal 5 2 2 5 7 2" xfId="13239" xr:uid="{040144E0-A6F1-47D1-BA2B-A3A6EE79A726}"/>
    <cellStyle name="Normal 5 2 2 5 8" xfId="9021" xr:uid="{1EF191E3-0E5D-4DD3-9506-B492FB4A55DC}"/>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9F09518F-D626-48B6-B4AA-570F858734DB}"/>
    <cellStyle name="Normal 5 2 2 6 2 3" xfId="11564" xr:uid="{4CBAFF6D-8FE1-4A8B-909B-E227A504836F}"/>
    <cellStyle name="Normal 5 2 2 6 3" xfId="5195" xr:uid="{00000000-0005-0000-0000-000025180000}"/>
    <cellStyle name="Normal 5 2 2 6 3 2" xfId="13637" xr:uid="{15BB5A3E-74CB-43BC-827C-6D4D6BEDBCC0}"/>
    <cellStyle name="Normal 5 2 2 6 4" xfId="9419" xr:uid="{69B2FF32-4EDA-4F45-B016-28E544C72261}"/>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768CE963-1E01-44FD-854A-8141F4F54D31}"/>
    <cellStyle name="Normal 5 2 2 7 2 3" xfId="11977" xr:uid="{B0DB8F2C-1957-4F9E-A669-04AEE4158AA8}"/>
    <cellStyle name="Normal 5 2 2 7 3" xfId="5608" xr:uid="{00000000-0005-0000-0000-000029180000}"/>
    <cellStyle name="Normal 5 2 2 7 3 2" xfId="14050" xr:uid="{5C1E2E87-AD17-44FE-880D-289AED584B7B}"/>
    <cellStyle name="Normal 5 2 2 7 4" xfId="9832" xr:uid="{36DE8CF8-E2CF-4F2A-9B7B-24E90056A256}"/>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859D16C5-18D5-4DA9-83E8-4B7B048D2DF5}"/>
    <cellStyle name="Normal 5 2 2 8 2 3" xfId="12390" xr:uid="{A918CB9D-7914-4F76-90C7-D3388F41267E}"/>
    <cellStyle name="Normal 5 2 2 8 3" xfId="6021" xr:uid="{00000000-0005-0000-0000-00002D180000}"/>
    <cellStyle name="Normal 5 2 2 8 3 2" xfId="14463" xr:uid="{08579250-6D76-41B3-B4F5-7FC4008FAF4C}"/>
    <cellStyle name="Normal 5 2 2 8 4" xfId="10245" xr:uid="{A78C34F4-1967-4511-ABCF-D044E31C3BEA}"/>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17EC4D79-0B3C-42F3-9E67-4C45DA64565F}"/>
    <cellStyle name="Normal 5 2 2 9 2 3" xfId="12803" xr:uid="{4356EEF9-1393-4DEE-9B50-6F3D116A39F8}"/>
    <cellStyle name="Normal 5 2 2 9 3" xfId="6434" xr:uid="{00000000-0005-0000-0000-000031180000}"/>
    <cellStyle name="Normal 5 2 2 9 3 2" xfId="14876" xr:uid="{F5F5A5B2-58E3-47F7-8681-4A5C193F1137}"/>
    <cellStyle name="Normal 5 2 2 9 4" xfId="10658" xr:uid="{7C64A3F0-B67A-4556-99FD-E4A294FA6A6D}"/>
    <cellStyle name="Normal 5 2 3" xfId="424" xr:uid="{00000000-0005-0000-0000-000032180000}"/>
    <cellStyle name="Normal 5 2 3 10" xfId="4798" xr:uid="{00000000-0005-0000-0000-000033180000}"/>
    <cellStyle name="Normal 5 2 3 10 2" xfId="13240" xr:uid="{461ED08B-0329-4BE7-8ED0-0256008C2275}"/>
    <cellStyle name="Normal 5 2 3 11" xfId="9022" xr:uid="{95808723-8728-4834-BE4D-231BE0CD2FC1}"/>
    <cellStyle name="Normal 5 2 3 2" xfId="425" xr:uid="{00000000-0005-0000-0000-000034180000}"/>
    <cellStyle name="Normal 5 2 3 2 10" xfId="9023" xr:uid="{4F1F7108-3A9F-4F49-ADA8-C5BEB7FC5EEB}"/>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B548E5DF-7754-4978-8FEE-9B9A6BA6336B}"/>
    <cellStyle name="Normal 5 2 3 2 2 2 2 2 3" xfId="11583" xr:uid="{3D308ADB-E268-45B7-BD63-22AACBE41602}"/>
    <cellStyle name="Normal 5 2 3 2 2 2 2 3" xfId="5214" xr:uid="{00000000-0005-0000-0000-00003A180000}"/>
    <cellStyle name="Normal 5 2 3 2 2 2 2 3 2" xfId="13656" xr:uid="{28CC0877-D957-49A1-B691-310DB98F4BF4}"/>
    <cellStyle name="Normal 5 2 3 2 2 2 2 4" xfId="9438" xr:uid="{E651411A-4F7F-4F11-847A-1EC5E69E88DA}"/>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E59B958D-A403-4C7C-9B11-4889B706868E}"/>
    <cellStyle name="Normal 5 2 3 2 2 2 3 2 3" xfId="11996" xr:uid="{1AABBAEB-8BAC-4F7E-B97D-AFAD077105A6}"/>
    <cellStyle name="Normal 5 2 3 2 2 2 3 3" xfId="5627" xr:uid="{00000000-0005-0000-0000-00003E180000}"/>
    <cellStyle name="Normal 5 2 3 2 2 2 3 3 2" xfId="14069" xr:uid="{6D34BE2A-A010-439F-B7C5-7774B0F8AFC5}"/>
    <cellStyle name="Normal 5 2 3 2 2 2 3 4" xfId="9851" xr:uid="{CAF6444A-AFBF-48D2-B941-21DAC913722D}"/>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39345D36-B7DE-444B-BB7E-E068400DA6DE}"/>
    <cellStyle name="Normal 5 2 3 2 2 2 4 2 3" xfId="12409" xr:uid="{2DBBD60B-B576-4B08-82E8-B2B284E162B7}"/>
    <cellStyle name="Normal 5 2 3 2 2 2 4 3" xfId="6040" xr:uid="{00000000-0005-0000-0000-000042180000}"/>
    <cellStyle name="Normal 5 2 3 2 2 2 4 3 2" xfId="14482" xr:uid="{D4250075-C5F1-4CEB-81AA-649C2B95E5BF}"/>
    <cellStyle name="Normal 5 2 3 2 2 2 4 4" xfId="10264" xr:uid="{2B19E944-2A28-477D-986B-3ED3C1FD5B9E}"/>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7254F643-4443-44B5-94A6-676AE5F3F464}"/>
    <cellStyle name="Normal 5 2 3 2 2 2 5 2 3" xfId="12822" xr:uid="{D5099B19-AB35-430C-8354-334D5F0E045F}"/>
    <cellStyle name="Normal 5 2 3 2 2 2 5 3" xfId="6453" xr:uid="{00000000-0005-0000-0000-000046180000}"/>
    <cellStyle name="Normal 5 2 3 2 2 2 5 3 2" xfId="14895" xr:uid="{09F8AE95-E267-4579-8412-4ADE97E2F29D}"/>
    <cellStyle name="Normal 5 2 3 2 2 2 5 4" xfId="10677" xr:uid="{AFD0E00D-C4F0-4D9F-9AFE-BA4F608A8090}"/>
    <cellStyle name="Normal 5 2 3 2 2 2 6" xfId="2582" xr:uid="{00000000-0005-0000-0000-000047180000}"/>
    <cellStyle name="Normal 5 2 3 2 2 2 6 2" xfId="6866" xr:uid="{00000000-0005-0000-0000-000048180000}"/>
    <cellStyle name="Normal 5 2 3 2 2 2 6 2 2" xfId="15308" xr:uid="{A9F30CE4-30CB-4FD1-9590-8C195F3770A6}"/>
    <cellStyle name="Normal 5 2 3 2 2 2 6 3" xfId="11090" xr:uid="{663EB7DF-3851-423C-BC4D-CCA34B7BCC8F}"/>
    <cellStyle name="Normal 5 2 3 2 2 2 7" xfId="4801" xr:uid="{00000000-0005-0000-0000-000049180000}"/>
    <cellStyle name="Normal 5 2 3 2 2 2 7 2" xfId="13243" xr:uid="{4FCE5056-C499-4117-A572-FAF322329D52}"/>
    <cellStyle name="Normal 5 2 3 2 2 2 8" xfId="9025" xr:uid="{9D9D8741-FC81-4535-8C80-2FE5C200191B}"/>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9D226A80-C0D5-446D-93ED-95A94D9642B8}"/>
    <cellStyle name="Normal 5 2 3 2 2 3 2 3" xfId="11582" xr:uid="{62D96145-25E4-4C73-994E-B09CCA8C2F83}"/>
    <cellStyle name="Normal 5 2 3 2 2 3 3" xfId="5213" xr:uid="{00000000-0005-0000-0000-00004D180000}"/>
    <cellStyle name="Normal 5 2 3 2 2 3 3 2" xfId="13655" xr:uid="{FD604A3A-C8B8-4FAE-BD0C-4D8840CB3D32}"/>
    <cellStyle name="Normal 5 2 3 2 2 3 4" xfId="9437" xr:uid="{36E6A232-4EE4-4669-BE82-F3D1F25E2681}"/>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850C5A88-1E66-49BC-83B9-865F44B49CB5}"/>
    <cellStyle name="Normal 5 2 3 2 2 4 2 3" xfId="11995" xr:uid="{E16B200A-990B-47CF-8370-9949D213536A}"/>
    <cellStyle name="Normal 5 2 3 2 2 4 3" xfId="5626" xr:uid="{00000000-0005-0000-0000-000051180000}"/>
    <cellStyle name="Normal 5 2 3 2 2 4 3 2" xfId="14068" xr:uid="{309ACD54-CB21-4A30-B55F-6BDC3605E620}"/>
    <cellStyle name="Normal 5 2 3 2 2 4 4" xfId="9850" xr:uid="{ED8EF7BA-C267-453D-BD2E-228D9EFDCD35}"/>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6BA01322-32C6-4295-B04D-C4510C7DEBB6}"/>
    <cellStyle name="Normal 5 2 3 2 2 5 2 3" xfId="12408" xr:uid="{850CE6A4-07A5-4BB6-AA04-A9A26F57B43C}"/>
    <cellStyle name="Normal 5 2 3 2 2 5 3" xfId="6039" xr:uid="{00000000-0005-0000-0000-000055180000}"/>
    <cellStyle name="Normal 5 2 3 2 2 5 3 2" xfId="14481" xr:uid="{51DD3E28-2831-43A4-AAB4-FBEBC338B01A}"/>
    <cellStyle name="Normal 5 2 3 2 2 5 4" xfId="10263" xr:uid="{3A7D7D5A-1692-47FD-8B46-71EAC881A193}"/>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001167E6-E5FD-4104-B2AD-C8DEAB887D54}"/>
    <cellStyle name="Normal 5 2 3 2 2 6 2 3" xfId="12821" xr:uid="{B15F5A1D-FD84-41CB-A83C-4AD49C54343F}"/>
    <cellStyle name="Normal 5 2 3 2 2 6 3" xfId="6452" xr:uid="{00000000-0005-0000-0000-000059180000}"/>
    <cellStyle name="Normal 5 2 3 2 2 6 3 2" xfId="14894" xr:uid="{671EF159-0B42-44A3-A7C0-0EE2A7097BA4}"/>
    <cellStyle name="Normal 5 2 3 2 2 6 4" xfId="10676" xr:uid="{8DE38D4C-27A6-429C-945D-0CC3672A611E}"/>
    <cellStyle name="Normal 5 2 3 2 2 7" xfId="2581" xr:uid="{00000000-0005-0000-0000-00005A180000}"/>
    <cellStyle name="Normal 5 2 3 2 2 7 2" xfId="6865" xr:uid="{00000000-0005-0000-0000-00005B180000}"/>
    <cellStyle name="Normal 5 2 3 2 2 7 2 2" xfId="15307" xr:uid="{DF9DF226-765A-4394-8D46-E96E1C7ECCDD}"/>
    <cellStyle name="Normal 5 2 3 2 2 7 3" xfId="11089" xr:uid="{EB3743E6-D3C9-4CDC-974C-835BA2FD1CCA}"/>
    <cellStyle name="Normal 5 2 3 2 2 8" xfId="4800" xr:uid="{00000000-0005-0000-0000-00005C180000}"/>
    <cellStyle name="Normal 5 2 3 2 2 8 2" xfId="13242" xr:uid="{0A23C708-C4FD-4FE5-B687-3578279656FE}"/>
    <cellStyle name="Normal 5 2 3 2 2 9" xfId="9024" xr:uid="{E76CFB1F-E971-4286-A545-747696AF21C8}"/>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3C01BF83-7ADF-4279-815D-B94AD2EF0262}"/>
    <cellStyle name="Normal 5 2 3 2 3 2 2 3" xfId="11584" xr:uid="{308C841A-C173-40AC-A97B-7532AAF1D6BF}"/>
    <cellStyle name="Normal 5 2 3 2 3 2 3" xfId="5215" xr:uid="{00000000-0005-0000-0000-000061180000}"/>
    <cellStyle name="Normal 5 2 3 2 3 2 3 2" xfId="13657" xr:uid="{830FA477-31B5-4DBD-B8ED-2FA16FBFDB0A}"/>
    <cellStyle name="Normal 5 2 3 2 3 2 4" xfId="9439" xr:uid="{B556AD6E-9DA8-45A5-BA86-3193328CEABF}"/>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1E785D3A-EBCB-41B1-A338-0006A158440E}"/>
    <cellStyle name="Normal 5 2 3 2 3 3 2 3" xfId="11997" xr:uid="{15717F26-8B62-4535-939F-A07CB591C80C}"/>
    <cellStyle name="Normal 5 2 3 2 3 3 3" xfId="5628" xr:uid="{00000000-0005-0000-0000-000065180000}"/>
    <cellStyle name="Normal 5 2 3 2 3 3 3 2" xfId="14070" xr:uid="{B64FB897-D019-46BC-ACB8-71C456256B5F}"/>
    <cellStyle name="Normal 5 2 3 2 3 3 4" xfId="9852" xr:uid="{CE4CCE5C-8203-4B31-B842-2B5722AB221E}"/>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4857C477-588B-49DC-94D6-64D7E4F29B64}"/>
    <cellStyle name="Normal 5 2 3 2 3 4 2 3" xfId="12410" xr:uid="{BCAB8EFD-D9BF-4929-8EDC-64C239F5285B}"/>
    <cellStyle name="Normal 5 2 3 2 3 4 3" xfId="6041" xr:uid="{00000000-0005-0000-0000-000069180000}"/>
    <cellStyle name="Normal 5 2 3 2 3 4 3 2" xfId="14483" xr:uid="{B4AB397A-6904-47A6-B5A9-484966A65D25}"/>
    <cellStyle name="Normal 5 2 3 2 3 4 4" xfId="10265" xr:uid="{0E3D5AFB-BE4E-4CE3-B8D5-E40DD9BA66D6}"/>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4814EBF3-B8EC-4397-A7BF-5C182A3FFB10}"/>
    <cellStyle name="Normal 5 2 3 2 3 5 2 3" xfId="12823" xr:uid="{35C3C7A3-79DE-410D-A3BB-56DC2A8D6E74}"/>
    <cellStyle name="Normal 5 2 3 2 3 5 3" xfId="6454" xr:uid="{00000000-0005-0000-0000-00006D180000}"/>
    <cellStyle name="Normal 5 2 3 2 3 5 3 2" xfId="14896" xr:uid="{AA863879-1C6F-468C-8A91-31626C8AC96B}"/>
    <cellStyle name="Normal 5 2 3 2 3 5 4" xfId="10678" xr:uid="{E7F8FFB1-2B72-41D0-90C2-4981876EAC18}"/>
    <cellStyle name="Normal 5 2 3 2 3 6" xfId="2583" xr:uid="{00000000-0005-0000-0000-00006E180000}"/>
    <cellStyle name="Normal 5 2 3 2 3 6 2" xfId="6867" xr:uid="{00000000-0005-0000-0000-00006F180000}"/>
    <cellStyle name="Normal 5 2 3 2 3 6 2 2" xfId="15309" xr:uid="{18CDA469-D350-4428-98FD-5E2997D4D6B1}"/>
    <cellStyle name="Normal 5 2 3 2 3 6 3" xfId="11091" xr:uid="{4FE36246-0C35-46E1-BC63-19865406B273}"/>
    <cellStyle name="Normal 5 2 3 2 3 7" xfId="4802" xr:uid="{00000000-0005-0000-0000-000070180000}"/>
    <cellStyle name="Normal 5 2 3 2 3 7 2" xfId="13244" xr:uid="{EBCC5E87-A0F8-4334-B4CC-DA960CAA58D9}"/>
    <cellStyle name="Normal 5 2 3 2 3 8" xfId="9026" xr:uid="{8DB95887-680D-43CC-9309-B2A450C89F3E}"/>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E95C4573-6B69-44BB-8C01-7B7C9DEF7638}"/>
    <cellStyle name="Normal 5 2 3 2 4 2 3" xfId="11581" xr:uid="{07A2D6BD-4E9C-41D8-8768-9F0C60313690}"/>
    <cellStyle name="Normal 5 2 3 2 4 3" xfId="5212" xr:uid="{00000000-0005-0000-0000-000074180000}"/>
    <cellStyle name="Normal 5 2 3 2 4 3 2" xfId="13654" xr:uid="{87615ADF-76DE-4C24-8697-F215646916A3}"/>
    <cellStyle name="Normal 5 2 3 2 4 4" xfId="9436" xr:uid="{E64A9AD8-7A6C-4B8C-9051-6A3A43951D63}"/>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BE2D9EFE-8390-4B37-81B7-ABCCF1A5887E}"/>
    <cellStyle name="Normal 5 2 3 2 5 2 3" xfId="11994" xr:uid="{9A142C1D-5045-49BC-9861-86790EC8B5A9}"/>
    <cellStyle name="Normal 5 2 3 2 5 3" xfId="5625" xr:uid="{00000000-0005-0000-0000-000078180000}"/>
    <cellStyle name="Normal 5 2 3 2 5 3 2" xfId="14067" xr:uid="{6AED723C-8C1C-4553-911E-6558C9AE34F8}"/>
    <cellStyle name="Normal 5 2 3 2 5 4" xfId="9849" xr:uid="{FAF088A4-833A-4A33-B468-BACEF6EFF941}"/>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B182879F-3825-43BD-A3A9-6A509739AEAB}"/>
    <cellStyle name="Normal 5 2 3 2 6 2 3" xfId="12407" xr:uid="{1DA3E282-05A7-44A5-8F60-D6418C5782CF}"/>
    <cellStyle name="Normal 5 2 3 2 6 3" xfId="6038" xr:uid="{00000000-0005-0000-0000-00007C180000}"/>
    <cellStyle name="Normal 5 2 3 2 6 3 2" xfId="14480" xr:uid="{3F3DE611-303D-4FAF-8370-D6C7A4880F4A}"/>
    <cellStyle name="Normal 5 2 3 2 6 4" xfId="10262" xr:uid="{112949BA-23EA-4750-BE4E-63B41EF5A1E0}"/>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D4CAA6FD-FEE5-4348-9699-3F6E76EA7E96}"/>
    <cellStyle name="Normal 5 2 3 2 7 2 3" xfId="12820" xr:uid="{DE9F31D4-DDA3-4DF7-8E7C-D84E010DEF84}"/>
    <cellStyle name="Normal 5 2 3 2 7 3" xfId="6451" xr:uid="{00000000-0005-0000-0000-000080180000}"/>
    <cellStyle name="Normal 5 2 3 2 7 3 2" xfId="14893" xr:uid="{7219EA52-AF0C-47AB-9E2E-20F5DB59D95E}"/>
    <cellStyle name="Normal 5 2 3 2 7 4" xfId="10675" xr:uid="{F03C35B0-5427-4265-9096-0112FA217230}"/>
    <cellStyle name="Normal 5 2 3 2 8" xfId="2580" xr:uid="{00000000-0005-0000-0000-000081180000}"/>
    <cellStyle name="Normal 5 2 3 2 8 2" xfId="6864" xr:uid="{00000000-0005-0000-0000-000082180000}"/>
    <cellStyle name="Normal 5 2 3 2 8 2 2" xfId="15306" xr:uid="{296A0A41-7E45-49EE-9FE2-DC6D5DC4FB3F}"/>
    <cellStyle name="Normal 5 2 3 2 8 3" xfId="11088" xr:uid="{0F3EE075-E3F4-4D1E-8662-90AF25718ED1}"/>
    <cellStyle name="Normal 5 2 3 2 9" xfId="4799" xr:uid="{00000000-0005-0000-0000-000083180000}"/>
    <cellStyle name="Normal 5 2 3 2 9 2" xfId="13241" xr:uid="{43D09DDE-2BE4-4879-B400-211AC987A803}"/>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FBA2AD23-D625-427E-B049-2AE78D6F3077}"/>
    <cellStyle name="Normal 5 2 3 3 2 2 2 3" xfId="11586" xr:uid="{AD91E55A-A455-4A7E-84DD-6F9F46B241FC}"/>
    <cellStyle name="Normal 5 2 3 3 2 2 3" xfId="5217" xr:uid="{00000000-0005-0000-0000-000089180000}"/>
    <cellStyle name="Normal 5 2 3 3 2 2 3 2" xfId="13659" xr:uid="{174FE3BD-00F3-40EE-A9EC-CEB42D4ECAD2}"/>
    <cellStyle name="Normal 5 2 3 3 2 2 4" xfId="9441" xr:uid="{8C7DC895-412A-4F95-BDB8-42358D68E041}"/>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39ED49F5-F3A3-4936-B86A-5DB78B77B968}"/>
    <cellStyle name="Normal 5 2 3 3 2 3 2 3" xfId="11999" xr:uid="{F7819629-1099-4B01-9C79-73016EA2B083}"/>
    <cellStyle name="Normal 5 2 3 3 2 3 3" xfId="5630" xr:uid="{00000000-0005-0000-0000-00008D180000}"/>
    <cellStyle name="Normal 5 2 3 3 2 3 3 2" xfId="14072" xr:uid="{EEF8A274-DB11-4876-9DC8-0583F689ECAA}"/>
    <cellStyle name="Normal 5 2 3 3 2 3 4" xfId="9854" xr:uid="{E5B38CFD-6602-44F9-9874-AC983EAE2B85}"/>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48BFC83C-4940-41B7-94E7-684D6B29D4C5}"/>
    <cellStyle name="Normal 5 2 3 3 2 4 2 3" xfId="12412" xr:uid="{CAF352AF-B3D9-4506-8BE1-35FCAEA5F74B}"/>
    <cellStyle name="Normal 5 2 3 3 2 4 3" xfId="6043" xr:uid="{00000000-0005-0000-0000-000091180000}"/>
    <cellStyle name="Normal 5 2 3 3 2 4 3 2" xfId="14485" xr:uid="{90339A47-A1F7-4651-8B6F-BDBDD7606CA7}"/>
    <cellStyle name="Normal 5 2 3 3 2 4 4" xfId="10267" xr:uid="{98E54206-88B6-407C-A980-6262163321E2}"/>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C956D79D-A674-4960-BA37-F17049DCD055}"/>
    <cellStyle name="Normal 5 2 3 3 2 5 2 3" xfId="12825" xr:uid="{64712915-C5C8-49EE-B32D-1CF37EA5FD24}"/>
    <cellStyle name="Normal 5 2 3 3 2 5 3" xfId="6456" xr:uid="{00000000-0005-0000-0000-000095180000}"/>
    <cellStyle name="Normal 5 2 3 3 2 5 3 2" xfId="14898" xr:uid="{CEB88619-0D50-419E-93DD-CC8BB053EE1B}"/>
    <cellStyle name="Normal 5 2 3 3 2 5 4" xfId="10680" xr:uid="{5CAAD4C6-35A1-412E-88DD-DEE8E8956315}"/>
    <cellStyle name="Normal 5 2 3 3 2 6" xfId="2585" xr:uid="{00000000-0005-0000-0000-000096180000}"/>
    <cellStyle name="Normal 5 2 3 3 2 6 2" xfId="6869" xr:uid="{00000000-0005-0000-0000-000097180000}"/>
    <cellStyle name="Normal 5 2 3 3 2 6 2 2" xfId="15311" xr:uid="{C2FD642E-CB2D-4E18-BDAC-5D97C4B3512F}"/>
    <cellStyle name="Normal 5 2 3 3 2 6 3" xfId="11093" xr:uid="{A91E5329-3B54-4B9E-94C7-116162AFECBC}"/>
    <cellStyle name="Normal 5 2 3 3 2 7" xfId="4804" xr:uid="{00000000-0005-0000-0000-000098180000}"/>
    <cellStyle name="Normal 5 2 3 3 2 7 2" xfId="13246" xr:uid="{CFCA20EA-7F84-4768-BE60-A66CFAE5E206}"/>
    <cellStyle name="Normal 5 2 3 3 2 8" xfId="9028" xr:uid="{83191695-F1EF-4667-8EA7-0D8FE78BAE76}"/>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189BEE00-32FC-49F6-B5D3-302A5035FA57}"/>
    <cellStyle name="Normal 5 2 3 3 3 2 3" xfId="11585" xr:uid="{7E633E16-0870-416C-86FB-821556AC8246}"/>
    <cellStyle name="Normal 5 2 3 3 3 3" xfId="5216" xr:uid="{00000000-0005-0000-0000-00009C180000}"/>
    <cellStyle name="Normal 5 2 3 3 3 3 2" xfId="13658" xr:uid="{D77DA394-9F52-4243-BA13-F7C7E5C52956}"/>
    <cellStyle name="Normal 5 2 3 3 3 4" xfId="9440" xr:uid="{AD955FC5-DEB9-4CA4-8121-918D4AB8C80E}"/>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FD09D9FA-F024-4CA8-9DE2-00012ABB96B4}"/>
    <cellStyle name="Normal 5 2 3 3 4 2 3" xfId="11998" xr:uid="{E4EE69FB-AAF1-4315-B666-143E24C6B8F3}"/>
    <cellStyle name="Normal 5 2 3 3 4 3" xfId="5629" xr:uid="{00000000-0005-0000-0000-0000A0180000}"/>
    <cellStyle name="Normal 5 2 3 3 4 3 2" xfId="14071" xr:uid="{D63D4A77-2A73-4EB6-876B-6498DEB27EBA}"/>
    <cellStyle name="Normal 5 2 3 3 4 4" xfId="9853" xr:uid="{54D08CD8-5E89-4AB0-B02E-0AFD180E0E26}"/>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A0E3C71F-8182-424E-B822-59C30529B8B9}"/>
    <cellStyle name="Normal 5 2 3 3 5 2 3" xfId="12411" xr:uid="{94CDB518-1CAF-4D55-9F96-5AFAC220FD34}"/>
    <cellStyle name="Normal 5 2 3 3 5 3" xfId="6042" xr:uid="{00000000-0005-0000-0000-0000A4180000}"/>
    <cellStyle name="Normal 5 2 3 3 5 3 2" xfId="14484" xr:uid="{DD9774EB-CE54-42E5-BAA8-3ACB64727293}"/>
    <cellStyle name="Normal 5 2 3 3 5 4" xfId="10266" xr:uid="{71CF7AE2-D54B-47E4-98D6-BF74D02F60D6}"/>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07D1C104-548F-4C95-9D3B-A55EC99C349F}"/>
    <cellStyle name="Normal 5 2 3 3 6 2 3" xfId="12824" xr:uid="{9EACF31A-3889-43BD-AE41-69EF71FD534F}"/>
    <cellStyle name="Normal 5 2 3 3 6 3" xfId="6455" xr:uid="{00000000-0005-0000-0000-0000A8180000}"/>
    <cellStyle name="Normal 5 2 3 3 6 3 2" xfId="14897" xr:uid="{79F267C3-31D2-4CC1-B637-C5C24F967C94}"/>
    <cellStyle name="Normal 5 2 3 3 6 4" xfId="10679" xr:uid="{37747F15-073D-4804-B68F-7569F5B68211}"/>
    <cellStyle name="Normal 5 2 3 3 7" xfId="2584" xr:uid="{00000000-0005-0000-0000-0000A9180000}"/>
    <cellStyle name="Normal 5 2 3 3 7 2" xfId="6868" xr:uid="{00000000-0005-0000-0000-0000AA180000}"/>
    <cellStyle name="Normal 5 2 3 3 7 2 2" xfId="15310" xr:uid="{C93CDF45-A6F0-4719-8F1C-67B2CE65176C}"/>
    <cellStyle name="Normal 5 2 3 3 7 3" xfId="11092" xr:uid="{57F725BE-6DBC-48F1-BE07-D23923962734}"/>
    <cellStyle name="Normal 5 2 3 3 8" xfId="4803" xr:uid="{00000000-0005-0000-0000-0000AB180000}"/>
    <cellStyle name="Normal 5 2 3 3 8 2" xfId="13245" xr:uid="{620810C4-D53F-41EE-910D-FFD0F5684262}"/>
    <cellStyle name="Normal 5 2 3 3 9" xfId="9027" xr:uid="{B0795949-19A0-4918-A22C-48A8D67ACCB9}"/>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674F8E4E-CFFE-480E-A2F2-A39E24550EC0}"/>
    <cellStyle name="Normal 5 2 3 4 2 2 3" xfId="11587" xr:uid="{D9CC5C1C-53FA-4577-B1EC-3D4CFCD9EBC2}"/>
    <cellStyle name="Normal 5 2 3 4 2 3" xfId="5218" xr:uid="{00000000-0005-0000-0000-0000B0180000}"/>
    <cellStyle name="Normal 5 2 3 4 2 3 2" xfId="13660" xr:uid="{7FD314F5-E18E-46A0-B142-293F58303DFC}"/>
    <cellStyle name="Normal 5 2 3 4 2 4" xfId="9442" xr:uid="{4E293340-920C-4679-9E74-A32BC9017FD0}"/>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2CA3378F-EEF9-4CF8-A46F-A1E1B9677C2E}"/>
    <cellStyle name="Normal 5 2 3 4 3 2 3" xfId="12000" xr:uid="{525608D6-069F-4D69-B372-31421C854311}"/>
    <cellStyle name="Normal 5 2 3 4 3 3" xfId="5631" xr:uid="{00000000-0005-0000-0000-0000B4180000}"/>
    <cellStyle name="Normal 5 2 3 4 3 3 2" xfId="14073" xr:uid="{B8DD2C24-B762-491D-AE61-84B77EFA54AE}"/>
    <cellStyle name="Normal 5 2 3 4 3 4" xfId="9855" xr:uid="{B83EBA34-8390-42E5-B732-DD9F3CB51395}"/>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E0C135D9-C656-4345-96D4-1DF36A60CBA2}"/>
    <cellStyle name="Normal 5 2 3 4 4 2 3" xfId="12413" xr:uid="{81434186-5073-446C-A148-8F49C680AA9C}"/>
    <cellStyle name="Normal 5 2 3 4 4 3" xfId="6044" xr:uid="{00000000-0005-0000-0000-0000B8180000}"/>
    <cellStyle name="Normal 5 2 3 4 4 3 2" xfId="14486" xr:uid="{4F4964C3-204A-429B-B89B-BFE8B73F3FAD}"/>
    <cellStyle name="Normal 5 2 3 4 4 4" xfId="10268" xr:uid="{5DF5BF83-DCEB-45FE-B665-6A9D913FF140}"/>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E7B1034C-3A17-4422-8684-9565CF853C0B}"/>
    <cellStyle name="Normal 5 2 3 4 5 2 3" xfId="12826" xr:uid="{6B57F29C-8060-4EB3-A41F-440ECE8FC6C0}"/>
    <cellStyle name="Normal 5 2 3 4 5 3" xfId="6457" xr:uid="{00000000-0005-0000-0000-0000BC180000}"/>
    <cellStyle name="Normal 5 2 3 4 5 3 2" xfId="14899" xr:uid="{75559E67-40B0-4828-93D7-249EB116E675}"/>
    <cellStyle name="Normal 5 2 3 4 5 4" xfId="10681" xr:uid="{C325538A-BD99-4F7F-8F2A-6D35B47542EC}"/>
    <cellStyle name="Normal 5 2 3 4 6" xfId="2586" xr:uid="{00000000-0005-0000-0000-0000BD180000}"/>
    <cellStyle name="Normal 5 2 3 4 6 2" xfId="6870" xr:uid="{00000000-0005-0000-0000-0000BE180000}"/>
    <cellStyle name="Normal 5 2 3 4 6 2 2" xfId="15312" xr:uid="{DFC47C1A-B43A-4482-8356-2E4816413420}"/>
    <cellStyle name="Normal 5 2 3 4 6 3" xfId="11094" xr:uid="{908FC2FA-CCC3-4CB6-A6F4-E740DF86FA46}"/>
    <cellStyle name="Normal 5 2 3 4 7" xfId="4805" xr:uid="{00000000-0005-0000-0000-0000BF180000}"/>
    <cellStyle name="Normal 5 2 3 4 7 2" xfId="13247" xr:uid="{33A626CE-7488-4072-850A-0FCB815E3F0E}"/>
    <cellStyle name="Normal 5 2 3 4 8" xfId="9029" xr:uid="{BEF0E09D-DA6A-4731-8562-9D69FC1A6C44}"/>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F8A1BD34-B18E-45C0-B297-6EAC97883893}"/>
    <cellStyle name="Normal 5 2 3 5 2 3" xfId="11580" xr:uid="{F9A90FC1-EBBE-491B-A4C9-39D6A626E74E}"/>
    <cellStyle name="Normal 5 2 3 5 3" xfId="5211" xr:uid="{00000000-0005-0000-0000-0000C3180000}"/>
    <cellStyle name="Normal 5 2 3 5 3 2" xfId="13653" xr:uid="{FAFB9375-94DC-4200-B64D-6BB829A55852}"/>
    <cellStyle name="Normal 5 2 3 5 4" xfId="9435" xr:uid="{94A6D5C0-5B5C-440E-A532-B28E6930D00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9AB104E7-48A8-4843-AD8D-1444AF2CDAC6}"/>
    <cellStyle name="Normal 5 2 3 6 2 3" xfId="11993" xr:uid="{D36570BA-EA05-4376-BB99-FE9345E80293}"/>
    <cellStyle name="Normal 5 2 3 6 3" xfId="5624" xr:uid="{00000000-0005-0000-0000-0000C7180000}"/>
    <cellStyle name="Normal 5 2 3 6 3 2" xfId="14066" xr:uid="{872F1874-720A-4F3B-9AC2-7A7FF4F4D915}"/>
    <cellStyle name="Normal 5 2 3 6 4" xfId="9848" xr:uid="{B73E3129-6C33-4F61-BB6D-536BED63A19A}"/>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AF067D2B-0EEC-49A8-855D-F5FAF5EFE086}"/>
    <cellStyle name="Normal 5 2 3 7 2 3" xfId="12406" xr:uid="{41FD3C57-1C00-44E7-9DA5-B3DBE831C633}"/>
    <cellStyle name="Normal 5 2 3 7 3" xfId="6037" xr:uid="{00000000-0005-0000-0000-0000CB180000}"/>
    <cellStyle name="Normal 5 2 3 7 3 2" xfId="14479" xr:uid="{2CAABDA2-388E-4669-97A0-5DA04140D491}"/>
    <cellStyle name="Normal 5 2 3 7 4" xfId="10261" xr:uid="{803E7CE3-66DB-42A5-B558-8C8500E3487A}"/>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2D4CE761-9F29-4221-B60A-0B644FA0FB4C}"/>
    <cellStyle name="Normal 5 2 3 8 2 3" xfId="12819" xr:uid="{289C4C92-BCB2-4B8A-A5D8-D0513143968A}"/>
    <cellStyle name="Normal 5 2 3 8 3" xfId="6450" xr:uid="{00000000-0005-0000-0000-0000CF180000}"/>
    <cellStyle name="Normal 5 2 3 8 3 2" xfId="14892" xr:uid="{FD793B11-71BD-4712-B5D4-1E2A6E91B058}"/>
    <cellStyle name="Normal 5 2 3 8 4" xfId="10674" xr:uid="{EC580D13-A23A-4702-8FCF-E7B556EF9062}"/>
    <cellStyle name="Normal 5 2 3 9" xfId="2579" xr:uid="{00000000-0005-0000-0000-0000D0180000}"/>
    <cellStyle name="Normal 5 2 3 9 2" xfId="6863" xr:uid="{00000000-0005-0000-0000-0000D1180000}"/>
    <cellStyle name="Normal 5 2 3 9 2 2" xfId="15305" xr:uid="{A7166C3D-C9BC-43B1-9E04-8694DFE5F1A6}"/>
    <cellStyle name="Normal 5 2 3 9 3" xfId="11087" xr:uid="{36250497-D15E-4D46-83B8-3D75F344158B}"/>
    <cellStyle name="Normal 5 2 4" xfId="432" xr:uid="{00000000-0005-0000-0000-0000D2180000}"/>
    <cellStyle name="Normal 5 2 4 10" xfId="9030" xr:uid="{FB58FF3E-CE0E-48A7-BB48-2BE58E2BD6BC}"/>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33A7720A-CAC0-4B21-9A87-0A8CFF079DB5}"/>
    <cellStyle name="Normal 5 2 4 2 2 2 2 3" xfId="11590" xr:uid="{5F4ADAEF-8688-4543-9AC9-92A8553F5FEA}"/>
    <cellStyle name="Normal 5 2 4 2 2 2 3" xfId="5221" xr:uid="{00000000-0005-0000-0000-0000D8180000}"/>
    <cellStyle name="Normal 5 2 4 2 2 2 3 2" xfId="13663" xr:uid="{0583407E-F5FF-4164-AE32-ABBB006C6E9B}"/>
    <cellStyle name="Normal 5 2 4 2 2 2 4" xfId="9445" xr:uid="{0462D226-0701-45F3-91E0-B1AB5D54E348}"/>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485BC203-AE86-4417-97D4-33C4D3550CB4}"/>
    <cellStyle name="Normal 5 2 4 2 2 3 2 3" xfId="12003" xr:uid="{42E9919F-1891-41F8-BBD0-8085563F7921}"/>
    <cellStyle name="Normal 5 2 4 2 2 3 3" xfId="5634" xr:uid="{00000000-0005-0000-0000-0000DC180000}"/>
    <cellStyle name="Normal 5 2 4 2 2 3 3 2" xfId="14076" xr:uid="{994C9BAF-0A74-41B0-BCBA-707B6C35A0AF}"/>
    <cellStyle name="Normal 5 2 4 2 2 3 4" xfId="9858" xr:uid="{48E93783-DD6A-4B7F-BD4C-514C6A13F5D9}"/>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217ECE76-FE35-4AA2-819B-BAE41DB42897}"/>
    <cellStyle name="Normal 5 2 4 2 2 4 2 3" xfId="12416" xr:uid="{71ADCABE-C1C0-42B6-BEC1-2B89A04ACD46}"/>
    <cellStyle name="Normal 5 2 4 2 2 4 3" xfId="6047" xr:uid="{00000000-0005-0000-0000-0000E0180000}"/>
    <cellStyle name="Normal 5 2 4 2 2 4 3 2" xfId="14489" xr:uid="{BDA6EEC1-5BEF-4E8D-9509-BD7DDC286D3F}"/>
    <cellStyle name="Normal 5 2 4 2 2 4 4" xfId="10271" xr:uid="{A129FD9C-9B53-4D5B-9CA9-F3B6820FA185}"/>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14E39590-B57B-4E3A-A9E4-6927F7554416}"/>
    <cellStyle name="Normal 5 2 4 2 2 5 2 3" xfId="12829" xr:uid="{A38A013C-9250-4991-9333-201603F7DC65}"/>
    <cellStyle name="Normal 5 2 4 2 2 5 3" xfId="6460" xr:uid="{00000000-0005-0000-0000-0000E4180000}"/>
    <cellStyle name="Normal 5 2 4 2 2 5 3 2" xfId="14902" xr:uid="{3A5D50BF-A679-4134-B74F-B7220F77E373}"/>
    <cellStyle name="Normal 5 2 4 2 2 5 4" xfId="10684" xr:uid="{3DF48CE2-F4C6-4697-A83F-0D2C63F20A4A}"/>
    <cellStyle name="Normal 5 2 4 2 2 6" xfId="2589" xr:uid="{00000000-0005-0000-0000-0000E5180000}"/>
    <cellStyle name="Normal 5 2 4 2 2 6 2" xfId="6873" xr:uid="{00000000-0005-0000-0000-0000E6180000}"/>
    <cellStyle name="Normal 5 2 4 2 2 6 2 2" xfId="15315" xr:uid="{836E9071-B06F-4FF4-81CF-3262BE705498}"/>
    <cellStyle name="Normal 5 2 4 2 2 6 3" xfId="11097" xr:uid="{7EC10BD3-1EB4-4B31-8295-3D9E02703133}"/>
    <cellStyle name="Normal 5 2 4 2 2 7" xfId="4808" xr:uid="{00000000-0005-0000-0000-0000E7180000}"/>
    <cellStyle name="Normal 5 2 4 2 2 7 2" xfId="13250" xr:uid="{AE4B3671-32CE-4383-B16E-72A8A819238C}"/>
    <cellStyle name="Normal 5 2 4 2 2 8" xfId="9032" xr:uid="{2FF3F1E4-3D81-4F12-AC89-0ECA3FBFE0E2}"/>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CE77EBA4-2841-4B81-BEB9-4563E45D43AE}"/>
    <cellStyle name="Normal 5 2 4 2 3 2 3" xfId="11589" xr:uid="{D46D935B-7E36-41B1-83D4-56EB73419AC0}"/>
    <cellStyle name="Normal 5 2 4 2 3 3" xfId="5220" xr:uid="{00000000-0005-0000-0000-0000EB180000}"/>
    <cellStyle name="Normal 5 2 4 2 3 3 2" xfId="13662" xr:uid="{BC1F8FE3-4614-4A11-896F-DBC144EFE508}"/>
    <cellStyle name="Normal 5 2 4 2 3 4" xfId="9444" xr:uid="{38DF7EAD-391F-43F6-9543-345B902340FD}"/>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AD387904-A542-4E19-A8A2-BC3C5D52E286}"/>
    <cellStyle name="Normal 5 2 4 2 4 2 3" xfId="12002" xr:uid="{8E110534-7D5D-4500-B3D6-72289630DD0A}"/>
    <cellStyle name="Normal 5 2 4 2 4 3" xfId="5633" xr:uid="{00000000-0005-0000-0000-0000EF180000}"/>
    <cellStyle name="Normal 5 2 4 2 4 3 2" xfId="14075" xr:uid="{D3204C8C-3DD0-45E6-949F-80D2B2838025}"/>
    <cellStyle name="Normal 5 2 4 2 4 4" xfId="9857" xr:uid="{A8183D97-52DF-4BF3-9C3F-7C1E958B4E6B}"/>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F029B137-60DE-4957-BA59-F067CDE7C374}"/>
    <cellStyle name="Normal 5 2 4 2 5 2 3" xfId="12415" xr:uid="{67FD00A2-47BB-41EE-91E1-5FCEA1279DCD}"/>
    <cellStyle name="Normal 5 2 4 2 5 3" xfId="6046" xr:uid="{00000000-0005-0000-0000-0000F3180000}"/>
    <cellStyle name="Normal 5 2 4 2 5 3 2" xfId="14488" xr:uid="{6CDA2994-3241-45ED-AAD9-5D5447016093}"/>
    <cellStyle name="Normal 5 2 4 2 5 4" xfId="10270" xr:uid="{1E271C97-357A-4DA0-A1D6-5DEEA7B72557}"/>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D71C4F9C-709A-46DC-9801-7ABF525D3EE1}"/>
    <cellStyle name="Normal 5 2 4 2 6 2 3" xfId="12828" xr:uid="{E83D91EC-6394-4168-8D19-5553E56858E6}"/>
    <cellStyle name="Normal 5 2 4 2 6 3" xfId="6459" xr:uid="{00000000-0005-0000-0000-0000F7180000}"/>
    <cellStyle name="Normal 5 2 4 2 6 3 2" xfId="14901" xr:uid="{45E015B8-FB1C-427C-A295-A15520D84D0C}"/>
    <cellStyle name="Normal 5 2 4 2 6 4" xfId="10683" xr:uid="{145B16BD-6396-4E93-8F95-86552CFA2F0D}"/>
    <cellStyle name="Normal 5 2 4 2 7" xfId="2588" xr:uid="{00000000-0005-0000-0000-0000F8180000}"/>
    <cellStyle name="Normal 5 2 4 2 7 2" xfId="6872" xr:uid="{00000000-0005-0000-0000-0000F9180000}"/>
    <cellStyle name="Normal 5 2 4 2 7 2 2" xfId="15314" xr:uid="{576D923B-9960-433F-89CF-1D9A74D4E95E}"/>
    <cellStyle name="Normal 5 2 4 2 7 3" xfId="11096" xr:uid="{71D5016E-805A-4736-90AE-B1DC2BA6FA5C}"/>
    <cellStyle name="Normal 5 2 4 2 8" xfId="4807" xr:uid="{00000000-0005-0000-0000-0000FA180000}"/>
    <cellStyle name="Normal 5 2 4 2 8 2" xfId="13249" xr:uid="{A263BC2D-233D-4075-94AA-C0C03BB0E7C5}"/>
    <cellStyle name="Normal 5 2 4 2 9" xfId="9031" xr:uid="{10802BD8-7904-4695-BBED-71139952F9BE}"/>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E7059A15-E3A3-4D4F-95C4-989956B5AEEF}"/>
    <cellStyle name="Normal 5 2 4 3 2 2 3" xfId="11591" xr:uid="{04DEC625-E713-4D39-BFD4-F23607F41860}"/>
    <cellStyle name="Normal 5 2 4 3 2 3" xfId="5222" xr:uid="{00000000-0005-0000-0000-0000FF180000}"/>
    <cellStyle name="Normal 5 2 4 3 2 3 2" xfId="13664" xr:uid="{FA83ADE1-C736-4A32-A93C-1090BC8C14F5}"/>
    <cellStyle name="Normal 5 2 4 3 2 4" xfId="9446" xr:uid="{C5C8B053-E052-4AA6-846D-0158FC4F16D7}"/>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C9DFCC3D-222A-4CE2-8E3C-7ED656BCFF2F}"/>
    <cellStyle name="Normal 5 2 4 3 3 2 3" xfId="12004" xr:uid="{A75D0EAD-93C0-465E-A962-9412A2E241C7}"/>
    <cellStyle name="Normal 5 2 4 3 3 3" xfId="5635" xr:uid="{00000000-0005-0000-0000-000003190000}"/>
    <cellStyle name="Normal 5 2 4 3 3 3 2" xfId="14077" xr:uid="{AD3CF2DA-7FB6-4159-AC97-003B6FFD4ACB}"/>
    <cellStyle name="Normal 5 2 4 3 3 4" xfId="9859" xr:uid="{7792E913-B01F-4F13-9FBE-62EE47E0C644}"/>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21D183A6-AAA8-4662-BBBB-096D14675919}"/>
    <cellStyle name="Normal 5 2 4 3 4 2 3" xfId="12417" xr:uid="{D26D5F32-B568-461D-9B22-C80AD66C44B4}"/>
    <cellStyle name="Normal 5 2 4 3 4 3" xfId="6048" xr:uid="{00000000-0005-0000-0000-000007190000}"/>
    <cellStyle name="Normal 5 2 4 3 4 3 2" xfId="14490" xr:uid="{52FD5E0A-AEBE-4844-901F-8D8566100570}"/>
    <cellStyle name="Normal 5 2 4 3 4 4" xfId="10272" xr:uid="{A6912807-DDB6-496A-B87D-7FA022E91A56}"/>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FB9F877B-F9F7-4C3F-A9B4-25FEEDE1A2A8}"/>
    <cellStyle name="Normal 5 2 4 3 5 2 3" xfId="12830" xr:uid="{23E423AF-0C8F-4CAA-98E4-AD662E5B95D5}"/>
    <cellStyle name="Normal 5 2 4 3 5 3" xfId="6461" xr:uid="{00000000-0005-0000-0000-00000B190000}"/>
    <cellStyle name="Normal 5 2 4 3 5 3 2" xfId="14903" xr:uid="{6450E54F-8BCD-45DE-9D65-2A7FF87C0BC2}"/>
    <cellStyle name="Normal 5 2 4 3 5 4" xfId="10685" xr:uid="{C517C0BE-9A59-432C-B86C-FF1A9BFDAE9C}"/>
    <cellStyle name="Normal 5 2 4 3 6" xfId="2590" xr:uid="{00000000-0005-0000-0000-00000C190000}"/>
    <cellStyle name="Normal 5 2 4 3 6 2" xfId="6874" xr:uid="{00000000-0005-0000-0000-00000D190000}"/>
    <cellStyle name="Normal 5 2 4 3 6 2 2" xfId="15316" xr:uid="{E2F6766A-C729-487E-8F44-0205A4561D96}"/>
    <cellStyle name="Normal 5 2 4 3 6 3" xfId="11098" xr:uid="{926629AA-D54A-4052-828F-86BE8580134A}"/>
    <cellStyle name="Normal 5 2 4 3 7" xfId="4809" xr:uid="{00000000-0005-0000-0000-00000E190000}"/>
    <cellStyle name="Normal 5 2 4 3 7 2" xfId="13251" xr:uid="{48C15495-6140-42A6-9F94-FD9B57886532}"/>
    <cellStyle name="Normal 5 2 4 3 8" xfId="9033" xr:uid="{D4A8A72F-A27F-49A0-B620-E32B06551305}"/>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0E058071-1E41-4498-ABE8-2D8BE9FBFB18}"/>
    <cellStyle name="Normal 5 2 4 4 2 3" xfId="11588" xr:uid="{15B59F3B-8FAE-4A3B-B49B-215481EC4011}"/>
    <cellStyle name="Normal 5 2 4 4 3" xfId="5219" xr:uid="{00000000-0005-0000-0000-000012190000}"/>
    <cellStyle name="Normal 5 2 4 4 3 2" xfId="13661" xr:uid="{0F0A1F3B-0FA1-4DD4-92CA-8FABA0A68EF9}"/>
    <cellStyle name="Normal 5 2 4 4 4" xfId="9443" xr:uid="{CD28D73F-44E7-43E2-B3CA-981A4AB02FF4}"/>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3CC97423-C06E-466E-B2A9-86F04EBB205B}"/>
    <cellStyle name="Normal 5 2 4 5 2 3" xfId="12001" xr:uid="{70319A6F-1247-4680-8C1C-44658642C923}"/>
    <cellStyle name="Normal 5 2 4 5 3" xfId="5632" xr:uid="{00000000-0005-0000-0000-000016190000}"/>
    <cellStyle name="Normal 5 2 4 5 3 2" xfId="14074" xr:uid="{B2CEC90E-645A-46B6-890F-7B51F297E8D9}"/>
    <cellStyle name="Normal 5 2 4 5 4" xfId="9856" xr:uid="{C9854196-A878-4688-A2A1-0B298D1B5ED7}"/>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AC1A2EF5-9B28-43F2-859A-F9E76F9E4596}"/>
    <cellStyle name="Normal 5 2 4 6 2 3" xfId="12414" xr:uid="{162708EF-374D-483E-81A3-29A54D32BE76}"/>
    <cellStyle name="Normal 5 2 4 6 3" xfId="6045" xr:uid="{00000000-0005-0000-0000-00001A190000}"/>
    <cellStyle name="Normal 5 2 4 6 3 2" xfId="14487" xr:uid="{AA92E9DB-D56F-4704-B707-F232E0FBE1D7}"/>
    <cellStyle name="Normal 5 2 4 6 4" xfId="10269" xr:uid="{DAD9F716-C190-40C5-BBC0-D39F14004C57}"/>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AD8DC85B-E7DE-470B-B2D7-3E65C031AE35}"/>
    <cellStyle name="Normal 5 2 4 7 2 3" xfId="12827" xr:uid="{71FB25AB-E76B-4BFC-8FA1-B6D4818E515F}"/>
    <cellStyle name="Normal 5 2 4 7 3" xfId="6458" xr:uid="{00000000-0005-0000-0000-00001E190000}"/>
    <cellStyle name="Normal 5 2 4 7 3 2" xfId="14900" xr:uid="{39A4B494-9E4F-47A0-9328-F0555E7C9262}"/>
    <cellStyle name="Normal 5 2 4 7 4" xfId="10682" xr:uid="{AF574A78-97DF-4529-8F36-A029886BBE19}"/>
    <cellStyle name="Normal 5 2 4 8" xfId="2587" xr:uid="{00000000-0005-0000-0000-00001F190000}"/>
    <cellStyle name="Normal 5 2 4 8 2" xfId="6871" xr:uid="{00000000-0005-0000-0000-000020190000}"/>
    <cellStyle name="Normal 5 2 4 8 2 2" xfId="15313" xr:uid="{7A501763-BF15-4269-B87E-CB7CC128CDAD}"/>
    <cellStyle name="Normal 5 2 4 8 3" xfId="11095" xr:uid="{E81F036C-F7BD-413E-BF8A-D7F55D323E80}"/>
    <cellStyle name="Normal 5 2 4 9" xfId="4806" xr:uid="{00000000-0005-0000-0000-000021190000}"/>
    <cellStyle name="Normal 5 2 4 9 2" xfId="13248" xr:uid="{37F4C04E-359D-478E-8688-8695E87C690B}"/>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598B16D3-63DD-46AA-B368-6E2E38863135}"/>
    <cellStyle name="Normal 5 2 5 2 2 2 3" xfId="11593" xr:uid="{A0798F49-F237-4312-AF6A-FAC3B1D86BD8}"/>
    <cellStyle name="Normal 5 2 5 2 2 3" xfId="5224" xr:uid="{00000000-0005-0000-0000-000027190000}"/>
    <cellStyle name="Normal 5 2 5 2 2 3 2" xfId="13666" xr:uid="{9C01FC86-9647-4E4D-9E41-E5FE93CEE113}"/>
    <cellStyle name="Normal 5 2 5 2 2 4" xfId="9448" xr:uid="{7D182F6C-9487-42E6-A67E-B8A7AFB439C4}"/>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E5303F96-03B4-4738-B2A3-D65BB1B05E8B}"/>
    <cellStyle name="Normal 5 2 5 2 3 2 3" xfId="12006" xr:uid="{EB8C2DE4-CB93-4AB0-8A8F-6630D238C4F9}"/>
    <cellStyle name="Normal 5 2 5 2 3 3" xfId="5637" xr:uid="{00000000-0005-0000-0000-00002B190000}"/>
    <cellStyle name="Normal 5 2 5 2 3 3 2" xfId="14079" xr:uid="{65C75CD5-8DA6-4EDA-8226-7E252174ECD3}"/>
    <cellStyle name="Normal 5 2 5 2 3 4" xfId="9861" xr:uid="{5776806E-A74B-43CB-834A-F384F5F9B2A3}"/>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2C43BC35-B487-4795-A17E-586267619CF4}"/>
    <cellStyle name="Normal 5 2 5 2 4 2 3" xfId="12419" xr:uid="{59D7DF27-1552-41E5-BCD2-FFB0F9FF7B18}"/>
    <cellStyle name="Normal 5 2 5 2 4 3" xfId="6050" xr:uid="{00000000-0005-0000-0000-00002F190000}"/>
    <cellStyle name="Normal 5 2 5 2 4 3 2" xfId="14492" xr:uid="{628F1092-D71D-4FF7-BDAF-088B00B50C77}"/>
    <cellStyle name="Normal 5 2 5 2 4 4" xfId="10274" xr:uid="{A370D0B5-74DD-4880-8D02-82B724105DE4}"/>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FB6B8D61-0A26-44E2-9EAE-1E04D7DE9FAD}"/>
    <cellStyle name="Normal 5 2 5 2 5 2 3" xfId="12832" xr:uid="{71EA1311-9BB5-4688-A66F-CDBAE4CEAB13}"/>
    <cellStyle name="Normal 5 2 5 2 5 3" xfId="6463" xr:uid="{00000000-0005-0000-0000-000033190000}"/>
    <cellStyle name="Normal 5 2 5 2 5 3 2" xfId="14905" xr:uid="{BC63AD86-B32E-4E1A-8428-EA94FDE91C0D}"/>
    <cellStyle name="Normal 5 2 5 2 5 4" xfId="10687" xr:uid="{7104AB29-EB1B-4349-8441-BFB1B229D4FA}"/>
    <cellStyle name="Normal 5 2 5 2 6" xfId="2592" xr:uid="{00000000-0005-0000-0000-000034190000}"/>
    <cellStyle name="Normal 5 2 5 2 6 2" xfId="6876" xr:uid="{00000000-0005-0000-0000-000035190000}"/>
    <cellStyle name="Normal 5 2 5 2 6 2 2" xfId="15318" xr:uid="{B1F2403A-FDFD-4535-A9DB-E7AC1D63B175}"/>
    <cellStyle name="Normal 5 2 5 2 6 3" xfId="11100" xr:uid="{83269F97-9786-4433-8633-6485071E268C}"/>
    <cellStyle name="Normal 5 2 5 2 7" xfId="4811" xr:uid="{00000000-0005-0000-0000-000036190000}"/>
    <cellStyle name="Normal 5 2 5 2 7 2" xfId="13253" xr:uid="{C3F463A6-1AE2-4DA9-8F2D-BB111526EC38}"/>
    <cellStyle name="Normal 5 2 5 2 8" xfId="9035" xr:uid="{BA8E6D80-4B69-4E08-A85B-44762A89BC81}"/>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192C7914-5E71-47D5-9F2E-DB43E8481C11}"/>
    <cellStyle name="Normal 5 2 5 3 2 3" xfId="11592" xr:uid="{55FDDDA1-64C0-45BF-8D03-074DC2249A05}"/>
    <cellStyle name="Normal 5 2 5 3 3" xfId="5223" xr:uid="{00000000-0005-0000-0000-00003A190000}"/>
    <cellStyle name="Normal 5 2 5 3 3 2" xfId="13665" xr:uid="{78936104-1B9F-4311-BE7C-431C7E66E419}"/>
    <cellStyle name="Normal 5 2 5 3 4" xfId="9447" xr:uid="{003104C9-B453-4A36-B831-82EF47CCF5BF}"/>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AD6CF55B-77B2-44D6-ABAE-B20031F1AA45}"/>
    <cellStyle name="Normal 5 2 5 4 2 3" xfId="12005" xr:uid="{FC7399DC-25B7-4DC0-BD57-8FB8863D4845}"/>
    <cellStyle name="Normal 5 2 5 4 3" xfId="5636" xr:uid="{00000000-0005-0000-0000-00003E190000}"/>
    <cellStyle name="Normal 5 2 5 4 3 2" xfId="14078" xr:uid="{EC3E53C0-D133-47FE-B95A-EF57D1D8EFE0}"/>
    <cellStyle name="Normal 5 2 5 4 4" xfId="9860" xr:uid="{DBE5923C-73DA-45E5-A28A-30F34963FD87}"/>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496FEC2D-997E-49A5-9EC8-412AF675305D}"/>
    <cellStyle name="Normal 5 2 5 5 2 3" xfId="12418" xr:uid="{58AE2640-E34E-427D-927D-9BA013DEB9DE}"/>
    <cellStyle name="Normal 5 2 5 5 3" xfId="6049" xr:uid="{00000000-0005-0000-0000-000042190000}"/>
    <cellStyle name="Normal 5 2 5 5 3 2" xfId="14491" xr:uid="{C6B3C702-DFCC-4742-972C-626EEC8F9A6C}"/>
    <cellStyle name="Normal 5 2 5 5 4" xfId="10273" xr:uid="{A2A50C82-1865-4D3C-9B0C-A2A1F4DD4755}"/>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A54234FF-8380-485C-9DA5-D0AAC25545F7}"/>
    <cellStyle name="Normal 5 2 5 6 2 3" xfId="12831" xr:uid="{9B3E7584-7FB0-4199-9C09-6F076858254F}"/>
    <cellStyle name="Normal 5 2 5 6 3" xfId="6462" xr:uid="{00000000-0005-0000-0000-000046190000}"/>
    <cellStyle name="Normal 5 2 5 6 3 2" xfId="14904" xr:uid="{EC582338-0825-422E-91E9-D5704AA2FC97}"/>
    <cellStyle name="Normal 5 2 5 6 4" xfId="10686" xr:uid="{D6693541-FF45-4720-82E2-759A03DD25E1}"/>
    <cellStyle name="Normal 5 2 5 7" xfId="2591" xr:uid="{00000000-0005-0000-0000-000047190000}"/>
    <cellStyle name="Normal 5 2 5 7 2" xfId="6875" xr:uid="{00000000-0005-0000-0000-000048190000}"/>
    <cellStyle name="Normal 5 2 5 7 2 2" xfId="15317" xr:uid="{221D0882-87B4-47B8-AF79-588B1E2A325E}"/>
    <cellStyle name="Normal 5 2 5 7 3" xfId="11099" xr:uid="{91CC3D6D-49E2-48D2-81F7-EB546D77201E}"/>
    <cellStyle name="Normal 5 2 5 8" xfId="4810" xr:uid="{00000000-0005-0000-0000-000049190000}"/>
    <cellStyle name="Normal 5 2 5 8 2" xfId="13252" xr:uid="{B809223D-024B-4B6B-93D6-E0992051AE1F}"/>
    <cellStyle name="Normal 5 2 5 9" xfId="9034" xr:uid="{FFAD7B4E-C4FB-49DA-B0D4-4FA7ED478456}"/>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F094D405-9FD8-4E57-921C-678497126263}"/>
    <cellStyle name="Normal 5 2 6 2 2 3" xfId="11594" xr:uid="{1428F8DC-E307-40CB-ACF8-0FE9F4A3AB1F}"/>
    <cellStyle name="Normal 5 2 6 2 3" xfId="5225" xr:uid="{00000000-0005-0000-0000-00004E190000}"/>
    <cellStyle name="Normal 5 2 6 2 3 2" xfId="13667" xr:uid="{561C372D-9247-4229-9A05-8C269F3677CD}"/>
    <cellStyle name="Normal 5 2 6 2 4" xfId="9449" xr:uid="{3910087A-4D14-4D17-92DF-2E7CC4CA605C}"/>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19F84BFD-2181-4716-AEE9-814BA703ECA4}"/>
    <cellStyle name="Normal 5 2 6 3 2 3" xfId="12007" xr:uid="{9525E981-A5AF-40E0-ACDD-44D1950ECF22}"/>
    <cellStyle name="Normal 5 2 6 3 3" xfId="5638" xr:uid="{00000000-0005-0000-0000-000052190000}"/>
    <cellStyle name="Normal 5 2 6 3 3 2" xfId="14080" xr:uid="{7BBE1104-50B7-4BF0-ACCF-406FE88A23DC}"/>
    <cellStyle name="Normal 5 2 6 3 4" xfId="9862" xr:uid="{80687757-DA92-433E-BD67-E57A32859DBF}"/>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94951FAE-DAB3-46E6-914F-FDD22C6635A2}"/>
    <cellStyle name="Normal 5 2 6 4 2 3" xfId="12420" xr:uid="{CBA1928F-D964-4400-83D4-9110F381E8EA}"/>
    <cellStyle name="Normal 5 2 6 4 3" xfId="6051" xr:uid="{00000000-0005-0000-0000-000056190000}"/>
    <cellStyle name="Normal 5 2 6 4 3 2" xfId="14493" xr:uid="{F0DC38E4-37F2-4B7F-8925-94027A180F80}"/>
    <cellStyle name="Normal 5 2 6 4 4" xfId="10275" xr:uid="{6607CAEA-EA7C-4A84-86D0-D888ED358741}"/>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9104C815-14CA-41FA-A42F-ECADA56CBB0D}"/>
    <cellStyle name="Normal 5 2 6 5 2 3" xfId="12833" xr:uid="{655856A3-E064-4577-9FD4-E3914EBD6546}"/>
    <cellStyle name="Normal 5 2 6 5 3" xfId="6464" xr:uid="{00000000-0005-0000-0000-00005A190000}"/>
    <cellStyle name="Normal 5 2 6 5 3 2" xfId="14906" xr:uid="{38308B73-76A6-470A-90CC-5F0EF9E1DF59}"/>
    <cellStyle name="Normal 5 2 6 5 4" xfId="10688" xr:uid="{E0D96AF6-5882-4F3C-BDC1-0B0638FEF11B}"/>
    <cellStyle name="Normal 5 2 6 6" xfId="2593" xr:uid="{00000000-0005-0000-0000-00005B190000}"/>
    <cellStyle name="Normal 5 2 6 6 2" xfId="6877" xr:uid="{00000000-0005-0000-0000-00005C190000}"/>
    <cellStyle name="Normal 5 2 6 6 2 2" xfId="15319" xr:uid="{96E0C03C-CAC0-433B-BFE5-B5BFFE7AD32C}"/>
    <cellStyle name="Normal 5 2 6 6 3" xfId="11101" xr:uid="{9E3175FB-F6DE-4B10-AC03-DEFC1159BCD3}"/>
    <cellStyle name="Normal 5 2 6 7" xfId="4812" xr:uid="{00000000-0005-0000-0000-00005D190000}"/>
    <cellStyle name="Normal 5 2 6 7 2" xfId="13254" xr:uid="{1C50CBA5-BC9D-432F-B66F-BE3855685F3E}"/>
    <cellStyle name="Normal 5 2 6 8" xfId="9036" xr:uid="{8FB581D9-7D6A-44CA-A745-30405352A1A0}"/>
    <cellStyle name="Normal 5 2 7" xfId="881" xr:uid="{00000000-0005-0000-0000-00005E190000}"/>
    <cellStyle name="Normal 5 2 7 2" xfId="3116" xr:uid="{00000000-0005-0000-0000-00005F190000}"/>
    <cellStyle name="Normal 5 2 7 2 2" xfId="7339" xr:uid="{00000000-0005-0000-0000-000060190000}"/>
    <cellStyle name="Normal 5 2 7 2 2 2" xfId="15781" xr:uid="{A3E91859-AEF0-45C8-B02F-A3A242FABF80}"/>
    <cellStyle name="Normal 5 2 7 2 3" xfId="11563" xr:uid="{34CCE7A5-C519-4CCA-84B3-12547C6E2EDB}"/>
    <cellStyle name="Normal 5 2 7 3" xfId="5194" xr:uid="{00000000-0005-0000-0000-000061190000}"/>
    <cellStyle name="Normal 5 2 7 3 2" xfId="13636" xr:uid="{8B1CA28D-A3B4-4F3E-949C-6B948FE709D5}"/>
    <cellStyle name="Normal 5 2 7 4" xfId="9418" xr:uid="{EBD9D050-B075-4CB5-9A74-EA9BFD947493}"/>
    <cellStyle name="Normal 5 2 8" xfId="1299" xr:uid="{00000000-0005-0000-0000-000062190000}"/>
    <cellStyle name="Normal 5 2 8 2" xfId="3529" xr:uid="{00000000-0005-0000-0000-000063190000}"/>
    <cellStyle name="Normal 5 2 8 2 2" xfId="7752" xr:uid="{00000000-0005-0000-0000-000064190000}"/>
    <cellStyle name="Normal 5 2 8 2 2 2" xfId="16194" xr:uid="{D8E230B3-F361-4911-844C-542315DB9D7A}"/>
    <cellStyle name="Normal 5 2 8 2 3" xfId="11976" xr:uid="{BC886C67-47BD-4D95-AEA2-1F5B369D5D70}"/>
    <cellStyle name="Normal 5 2 8 3" xfId="5607" xr:uid="{00000000-0005-0000-0000-000065190000}"/>
    <cellStyle name="Normal 5 2 8 3 2" xfId="14049" xr:uid="{F2A2CC93-4ADB-47D1-AB61-0B2316549E63}"/>
    <cellStyle name="Normal 5 2 8 4" xfId="9831" xr:uid="{C5915411-7E5D-46DE-A0B8-957D39CBFCD4}"/>
    <cellStyle name="Normal 5 2 9" xfId="1712" xr:uid="{00000000-0005-0000-0000-000066190000}"/>
    <cellStyle name="Normal 5 2 9 2" xfId="3942" xr:uid="{00000000-0005-0000-0000-000067190000}"/>
    <cellStyle name="Normal 5 2 9 2 2" xfId="8165" xr:uid="{00000000-0005-0000-0000-000068190000}"/>
    <cellStyle name="Normal 5 2 9 2 2 2" xfId="16607" xr:uid="{A39DFDED-2539-4920-AFA5-C0C07F1DC6BF}"/>
    <cellStyle name="Normal 5 2 9 2 3" xfId="12389" xr:uid="{F87243B2-87C0-4BE7-BE74-C385A9E52A81}"/>
    <cellStyle name="Normal 5 2 9 3" xfId="6020" xr:uid="{00000000-0005-0000-0000-000069190000}"/>
    <cellStyle name="Normal 5 2 9 3 2" xfId="14462" xr:uid="{4C3DF13E-8589-4EEA-BE9D-B01940F42AD3}"/>
    <cellStyle name="Normal 5 2 9 4" xfId="10244" xr:uid="{BBE387ED-25ED-4219-BDF1-A879CC7521EB}"/>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09D0D869-8082-463F-9DE6-C2EB83937446}"/>
    <cellStyle name="Normal 5 3 10 2 3" xfId="12834" xr:uid="{CB2560CB-A434-4F4D-B043-03EFE54C237B}"/>
    <cellStyle name="Normal 5 3 10 3" xfId="6465" xr:uid="{00000000-0005-0000-0000-00006E190000}"/>
    <cellStyle name="Normal 5 3 10 3 2" xfId="14907" xr:uid="{AA5DBBF3-6CB5-4BCB-815C-7983DD8BA6C4}"/>
    <cellStyle name="Normal 5 3 10 4" xfId="10689" xr:uid="{88833FE1-D27C-4683-BF4F-0EDFAF9134F2}"/>
    <cellStyle name="Normal 5 3 11" xfId="2594" xr:uid="{00000000-0005-0000-0000-00006F190000}"/>
    <cellStyle name="Normal 5 3 11 2" xfId="6878" xr:uid="{00000000-0005-0000-0000-000070190000}"/>
    <cellStyle name="Normal 5 3 11 2 2" xfId="15320" xr:uid="{1EE997FB-4C88-40CA-B8F2-523324129858}"/>
    <cellStyle name="Normal 5 3 11 3" xfId="11102" xr:uid="{31D5F9DA-745D-464A-A1B2-19A86523D63C}"/>
    <cellStyle name="Normal 5 3 12" xfId="4813" xr:uid="{00000000-0005-0000-0000-000071190000}"/>
    <cellStyle name="Normal 5 3 12 2" xfId="13255" xr:uid="{49C93A46-F653-4CA2-880F-5BF32A06A061}"/>
    <cellStyle name="Normal 5 3 13" xfId="9037" xr:uid="{FB7DCC95-45C6-4828-84FC-7A072B4AA0D6}"/>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84AB360C-4B5A-42E3-ADCA-BBDD9479C11E}"/>
    <cellStyle name="Normal 5 3 3 11" xfId="9038" xr:uid="{EDEB5C37-56EE-48FA-80BF-C0775505F255}"/>
    <cellStyle name="Normal 5 3 3 2" xfId="442" xr:uid="{00000000-0005-0000-0000-000076190000}"/>
    <cellStyle name="Normal 5 3 3 2 10" xfId="9039" xr:uid="{28849F97-06C4-46C0-B681-006A6D3CFA04}"/>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321D1B0E-0E49-4104-8364-39F463B895A1}"/>
    <cellStyle name="Normal 5 3 3 2 2 2 2 2 3" xfId="11599" xr:uid="{62A2E78C-34BA-4109-8D44-56C94C970304}"/>
    <cellStyle name="Normal 5 3 3 2 2 2 2 3" xfId="5230" xr:uid="{00000000-0005-0000-0000-00007C190000}"/>
    <cellStyle name="Normal 5 3 3 2 2 2 2 3 2" xfId="13672" xr:uid="{51A2DC8C-5EAF-4D42-8823-1D9BE6E78D8E}"/>
    <cellStyle name="Normal 5 3 3 2 2 2 2 4" xfId="9454" xr:uid="{3FA3930E-AC78-4621-9521-9E8CAD023ECA}"/>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2ABE9AB4-7208-4C16-BC01-069FA55F0A63}"/>
    <cellStyle name="Normal 5 3 3 2 2 2 3 2 3" xfId="12012" xr:uid="{17D4336E-B858-4BA5-884A-4AB89E78351E}"/>
    <cellStyle name="Normal 5 3 3 2 2 2 3 3" xfId="5643" xr:uid="{00000000-0005-0000-0000-000080190000}"/>
    <cellStyle name="Normal 5 3 3 2 2 2 3 3 2" xfId="14085" xr:uid="{EF0A5A97-7655-40F6-8C99-73BD9238AF25}"/>
    <cellStyle name="Normal 5 3 3 2 2 2 3 4" xfId="9867" xr:uid="{7B4820DF-8A3A-4587-91C6-015E5F820DFC}"/>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A9C2D830-A4EA-420F-87EA-C82ECD3458B0}"/>
    <cellStyle name="Normal 5 3 3 2 2 2 4 2 3" xfId="12425" xr:uid="{D4EE1716-97E7-4D84-A58A-80E9F6B956F0}"/>
    <cellStyle name="Normal 5 3 3 2 2 2 4 3" xfId="6056" xr:uid="{00000000-0005-0000-0000-000084190000}"/>
    <cellStyle name="Normal 5 3 3 2 2 2 4 3 2" xfId="14498" xr:uid="{979C552E-AFB0-487B-BE4C-B5A9B0A793C6}"/>
    <cellStyle name="Normal 5 3 3 2 2 2 4 4" xfId="10280" xr:uid="{5510E0B2-0D0C-40B9-AD46-DD36DA4E60BE}"/>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3A901AD9-3D97-47E7-ABA2-3F9C230C1983}"/>
    <cellStyle name="Normal 5 3 3 2 2 2 5 2 3" xfId="12838" xr:uid="{2300F62B-528F-4080-8FB6-C46114B74662}"/>
    <cellStyle name="Normal 5 3 3 2 2 2 5 3" xfId="6469" xr:uid="{00000000-0005-0000-0000-000088190000}"/>
    <cellStyle name="Normal 5 3 3 2 2 2 5 3 2" xfId="14911" xr:uid="{1A437F4F-1C00-4CA5-9599-9D833EBC65E1}"/>
    <cellStyle name="Normal 5 3 3 2 2 2 5 4" xfId="10693" xr:uid="{F1865229-7157-419F-9CC8-B807181BB78E}"/>
    <cellStyle name="Normal 5 3 3 2 2 2 6" xfId="2598" xr:uid="{00000000-0005-0000-0000-000089190000}"/>
    <cellStyle name="Normal 5 3 3 2 2 2 6 2" xfId="6882" xr:uid="{00000000-0005-0000-0000-00008A190000}"/>
    <cellStyle name="Normal 5 3 3 2 2 2 6 2 2" xfId="15324" xr:uid="{19ECB59D-9242-4531-8C9B-1CE677914BEB}"/>
    <cellStyle name="Normal 5 3 3 2 2 2 6 3" xfId="11106" xr:uid="{BBA38FBE-81D8-4783-84A5-036A8C8F5955}"/>
    <cellStyle name="Normal 5 3 3 2 2 2 7" xfId="4817" xr:uid="{00000000-0005-0000-0000-00008B190000}"/>
    <cellStyle name="Normal 5 3 3 2 2 2 7 2" xfId="13259" xr:uid="{9E9505E7-B5AC-4E76-91A9-9E62F27244A9}"/>
    <cellStyle name="Normal 5 3 3 2 2 2 8" xfId="9041" xr:uid="{BFD92B8B-CC12-42D3-BC34-DE855EA160DF}"/>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2C46FDA2-0A49-4971-80A3-99B93D6ACB75}"/>
    <cellStyle name="Normal 5 3 3 2 2 3 2 3" xfId="11598" xr:uid="{97A374CD-680D-4909-B290-E48CD755CD9B}"/>
    <cellStyle name="Normal 5 3 3 2 2 3 3" xfId="5229" xr:uid="{00000000-0005-0000-0000-00008F190000}"/>
    <cellStyle name="Normal 5 3 3 2 2 3 3 2" xfId="13671" xr:uid="{A3ED5BE3-D299-4CD9-97B3-DF76BB93FAE9}"/>
    <cellStyle name="Normal 5 3 3 2 2 3 4" xfId="9453" xr:uid="{3414FE2B-AC62-4202-929A-B39ACFD6CED8}"/>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A47F81B6-7FF6-4C29-B100-A35746CABF15}"/>
    <cellStyle name="Normal 5 3 3 2 2 4 2 3" xfId="12011" xr:uid="{5A73D164-6914-401B-B264-E9D8BD125CE2}"/>
    <cellStyle name="Normal 5 3 3 2 2 4 3" xfId="5642" xr:uid="{00000000-0005-0000-0000-000093190000}"/>
    <cellStyle name="Normal 5 3 3 2 2 4 3 2" xfId="14084" xr:uid="{DE620370-F783-4937-81DB-849A6BCC4E80}"/>
    <cellStyle name="Normal 5 3 3 2 2 4 4" xfId="9866" xr:uid="{EF6CD0DB-9CA2-498A-8DE6-0DF875B45A9C}"/>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7637CA4C-110C-4F31-9F52-436AF942B4AA}"/>
    <cellStyle name="Normal 5 3 3 2 2 5 2 3" xfId="12424" xr:uid="{99AF52FE-14DB-4C0F-9A62-CE9121883267}"/>
    <cellStyle name="Normal 5 3 3 2 2 5 3" xfId="6055" xr:uid="{00000000-0005-0000-0000-000097190000}"/>
    <cellStyle name="Normal 5 3 3 2 2 5 3 2" xfId="14497" xr:uid="{90AF7673-3761-4DCE-ACAD-88F16E3A0334}"/>
    <cellStyle name="Normal 5 3 3 2 2 5 4" xfId="10279" xr:uid="{863E0931-CB00-4854-9ED6-ADA16780B437}"/>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A9032F6D-0EE0-4E0A-959C-BD757D1054AD}"/>
    <cellStyle name="Normal 5 3 3 2 2 6 2 3" xfId="12837" xr:uid="{E12376D8-8107-46DB-8260-96A5D0F0889A}"/>
    <cellStyle name="Normal 5 3 3 2 2 6 3" xfId="6468" xr:uid="{00000000-0005-0000-0000-00009B190000}"/>
    <cellStyle name="Normal 5 3 3 2 2 6 3 2" xfId="14910" xr:uid="{0DAA3157-E652-48BB-AEEA-1378FFA57FF8}"/>
    <cellStyle name="Normal 5 3 3 2 2 6 4" xfId="10692" xr:uid="{F01EB961-4F4C-43C3-8F44-FA9619DCF443}"/>
    <cellStyle name="Normal 5 3 3 2 2 7" xfId="2597" xr:uid="{00000000-0005-0000-0000-00009C190000}"/>
    <cellStyle name="Normal 5 3 3 2 2 7 2" xfId="6881" xr:uid="{00000000-0005-0000-0000-00009D190000}"/>
    <cellStyle name="Normal 5 3 3 2 2 7 2 2" xfId="15323" xr:uid="{184DFE72-37A0-4584-9E88-0522431EADB2}"/>
    <cellStyle name="Normal 5 3 3 2 2 7 3" xfId="11105" xr:uid="{4CE295B0-8506-4EF0-945A-63FA4EF15EDC}"/>
    <cellStyle name="Normal 5 3 3 2 2 8" xfId="4816" xr:uid="{00000000-0005-0000-0000-00009E190000}"/>
    <cellStyle name="Normal 5 3 3 2 2 8 2" xfId="13258" xr:uid="{B37D573B-6A36-4275-BEC6-FD2BFCB9328B}"/>
    <cellStyle name="Normal 5 3 3 2 2 9" xfId="9040" xr:uid="{A3B3686F-29F3-4F6E-922A-FB5E3E987E75}"/>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927A6776-AF49-441E-9CE6-72011FC2A584}"/>
    <cellStyle name="Normal 5 3 3 2 3 2 2 3" xfId="11600" xr:uid="{486136E9-6A1C-4365-B9C9-B3DF0C2F484F}"/>
    <cellStyle name="Normal 5 3 3 2 3 2 3" xfId="5231" xr:uid="{00000000-0005-0000-0000-0000A3190000}"/>
    <cellStyle name="Normal 5 3 3 2 3 2 3 2" xfId="13673" xr:uid="{8D9CD659-4862-4C93-BED5-B99BB3B564E2}"/>
    <cellStyle name="Normal 5 3 3 2 3 2 4" xfId="9455" xr:uid="{B30F97A9-DCAB-4F59-8AC9-3B8366772698}"/>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5D1EA7DC-6697-4D1A-A64A-C0F1355E22E3}"/>
    <cellStyle name="Normal 5 3 3 2 3 3 2 3" xfId="12013" xr:uid="{434FB5A9-DE1E-4AED-B4A1-53833EF75A7D}"/>
    <cellStyle name="Normal 5 3 3 2 3 3 3" xfId="5644" xr:uid="{00000000-0005-0000-0000-0000A7190000}"/>
    <cellStyle name="Normal 5 3 3 2 3 3 3 2" xfId="14086" xr:uid="{533A498E-7BB7-46C6-A7C1-B4F796AA16C3}"/>
    <cellStyle name="Normal 5 3 3 2 3 3 4" xfId="9868" xr:uid="{A32AF218-205F-4D1C-9281-0297219D68CF}"/>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584369AD-8A1B-492A-BDAA-FE9B44ED9DA3}"/>
    <cellStyle name="Normal 5 3 3 2 3 4 2 3" xfId="12426" xr:uid="{C6395D7D-549E-459E-B4EE-0A89F1BC9789}"/>
    <cellStyle name="Normal 5 3 3 2 3 4 3" xfId="6057" xr:uid="{00000000-0005-0000-0000-0000AB190000}"/>
    <cellStyle name="Normal 5 3 3 2 3 4 3 2" xfId="14499" xr:uid="{D6175F6A-BC2D-4DF3-9E56-9768078643DB}"/>
    <cellStyle name="Normal 5 3 3 2 3 4 4" xfId="10281" xr:uid="{5F98B1E1-F3DC-4FB1-A3FA-5DCD252E5B86}"/>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9A2E61DC-8B1F-406D-B7F1-88DDDD6D18ED}"/>
    <cellStyle name="Normal 5 3 3 2 3 5 2 3" xfId="12839" xr:uid="{EB3F2A21-C17C-4A9E-892A-52318F3C1479}"/>
    <cellStyle name="Normal 5 3 3 2 3 5 3" xfId="6470" xr:uid="{00000000-0005-0000-0000-0000AF190000}"/>
    <cellStyle name="Normal 5 3 3 2 3 5 3 2" xfId="14912" xr:uid="{FB9B7B1D-51BD-472A-88F0-48D821A4D954}"/>
    <cellStyle name="Normal 5 3 3 2 3 5 4" xfId="10694" xr:uid="{AC88FC44-3A99-422A-A1EF-A63523C74AD0}"/>
    <cellStyle name="Normal 5 3 3 2 3 6" xfId="2599" xr:uid="{00000000-0005-0000-0000-0000B0190000}"/>
    <cellStyle name="Normal 5 3 3 2 3 6 2" xfId="6883" xr:uid="{00000000-0005-0000-0000-0000B1190000}"/>
    <cellStyle name="Normal 5 3 3 2 3 6 2 2" xfId="15325" xr:uid="{EDDFB4F9-AD7B-4005-8DB8-173F254229FB}"/>
    <cellStyle name="Normal 5 3 3 2 3 6 3" xfId="11107" xr:uid="{E0BB0D2C-FE86-4D9F-AA5F-EB7DCD89BA22}"/>
    <cellStyle name="Normal 5 3 3 2 3 7" xfId="4818" xr:uid="{00000000-0005-0000-0000-0000B2190000}"/>
    <cellStyle name="Normal 5 3 3 2 3 7 2" xfId="13260" xr:uid="{7A8CB36C-6234-45D5-929E-95750F64E2AB}"/>
    <cellStyle name="Normal 5 3 3 2 3 8" xfId="9042" xr:uid="{3D1853D0-099F-45CC-98AA-9127C7DB0F0C}"/>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5A823C66-ED57-4528-A976-CD811A4B1A8B}"/>
    <cellStyle name="Normal 5 3 3 2 4 2 3" xfId="11597" xr:uid="{60C9A6C1-3714-4096-A301-3FF955FA19B0}"/>
    <cellStyle name="Normal 5 3 3 2 4 3" xfId="5228" xr:uid="{00000000-0005-0000-0000-0000B6190000}"/>
    <cellStyle name="Normal 5 3 3 2 4 3 2" xfId="13670" xr:uid="{9EFFADF6-E6CE-42F4-9787-99092E74B6FF}"/>
    <cellStyle name="Normal 5 3 3 2 4 4" xfId="9452" xr:uid="{EA0B9114-CB27-4390-A23F-949C1FF75003}"/>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7837B52B-CCBA-4F8C-84AA-3739F31683D7}"/>
    <cellStyle name="Normal 5 3 3 2 5 2 3" xfId="12010" xr:uid="{CEA215E0-3141-499E-930F-83872C0A3D8B}"/>
    <cellStyle name="Normal 5 3 3 2 5 3" xfId="5641" xr:uid="{00000000-0005-0000-0000-0000BA190000}"/>
    <cellStyle name="Normal 5 3 3 2 5 3 2" xfId="14083" xr:uid="{5E3559FE-4F60-4D70-9C4D-D9F98DBAF4E3}"/>
    <cellStyle name="Normal 5 3 3 2 5 4" xfId="9865" xr:uid="{954464EB-B849-404B-855F-3AA1BAE2FCAD}"/>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E9A86D71-0108-48FD-8EC4-988C147C2B59}"/>
    <cellStyle name="Normal 5 3 3 2 6 2 3" xfId="12423" xr:uid="{D86C195C-DD56-4E1C-B752-3A1EF65576CA}"/>
    <cellStyle name="Normal 5 3 3 2 6 3" xfId="6054" xr:uid="{00000000-0005-0000-0000-0000BE190000}"/>
    <cellStyle name="Normal 5 3 3 2 6 3 2" xfId="14496" xr:uid="{9D2FF8AA-43E4-4A2A-A86E-B28A86AC2E7A}"/>
    <cellStyle name="Normal 5 3 3 2 6 4" xfId="10278" xr:uid="{68B5A28E-6677-4C21-B36F-1BB6B6EE1AFD}"/>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8433F344-2B23-4C6E-AE38-FEDF7BBC7964}"/>
    <cellStyle name="Normal 5 3 3 2 7 2 3" xfId="12836" xr:uid="{8AF2F3C6-5FF0-4873-9BD5-D58CE54B53E2}"/>
    <cellStyle name="Normal 5 3 3 2 7 3" xfId="6467" xr:uid="{00000000-0005-0000-0000-0000C2190000}"/>
    <cellStyle name="Normal 5 3 3 2 7 3 2" xfId="14909" xr:uid="{E661B0FE-13F5-4A27-8B8D-9780E73F4B0E}"/>
    <cellStyle name="Normal 5 3 3 2 7 4" xfId="10691" xr:uid="{8DA47843-D7B1-43F7-B7C2-2780CAC79FF4}"/>
    <cellStyle name="Normal 5 3 3 2 8" xfId="2596" xr:uid="{00000000-0005-0000-0000-0000C3190000}"/>
    <cellStyle name="Normal 5 3 3 2 8 2" xfId="6880" xr:uid="{00000000-0005-0000-0000-0000C4190000}"/>
    <cellStyle name="Normal 5 3 3 2 8 2 2" xfId="15322" xr:uid="{32F91C69-5ABD-4040-9F32-21A43F75BA1D}"/>
    <cellStyle name="Normal 5 3 3 2 8 3" xfId="11104" xr:uid="{438A8E2F-472A-4552-BC35-74C71774D990}"/>
    <cellStyle name="Normal 5 3 3 2 9" xfId="4815" xr:uid="{00000000-0005-0000-0000-0000C5190000}"/>
    <cellStyle name="Normal 5 3 3 2 9 2" xfId="13257" xr:uid="{260C9119-8AB3-45A4-84C7-FCC9406A9371}"/>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5B4B3813-8A9C-484C-8814-A38804769E69}"/>
    <cellStyle name="Normal 5 3 3 3 2 2 2 3" xfId="11602" xr:uid="{46BA47AA-461E-415A-A278-AF7C78FD4443}"/>
    <cellStyle name="Normal 5 3 3 3 2 2 3" xfId="5233" xr:uid="{00000000-0005-0000-0000-0000CB190000}"/>
    <cellStyle name="Normal 5 3 3 3 2 2 3 2" xfId="13675" xr:uid="{444A1E0C-1B96-46AA-BFCA-7585DF7ECA65}"/>
    <cellStyle name="Normal 5 3 3 3 2 2 4" xfId="9457" xr:uid="{63376A29-3DBD-4CC9-82F1-B47F0551F951}"/>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BD5AEDF5-44A1-4B28-8120-7E3223FAEA9E}"/>
    <cellStyle name="Normal 5 3 3 3 2 3 2 3" xfId="12015" xr:uid="{323147D4-3EB3-423F-93D6-9B8F13DCB571}"/>
    <cellStyle name="Normal 5 3 3 3 2 3 3" xfId="5646" xr:uid="{00000000-0005-0000-0000-0000CF190000}"/>
    <cellStyle name="Normal 5 3 3 3 2 3 3 2" xfId="14088" xr:uid="{344C31DC-CDFD-4B44-A624-E0D40301CA6B}"/>
    <cellStyle name="Normal 5 3 3 3 2 3 4" xfId="9870" xr:uid="{CDEE2284-834A-44D4-8AF3-9B7CCA310D96}"/>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C6F956A3-67B1-47DF-B516-40AE51BB77F6}"/>
    <cellStyle name="Normal 5 3 3 3 2 4 2 3" xfId="12428" xr:uid="{DBF8625A-E8E6-46FE-BC15-A464DEE72A68}"/>
    <cellStyle name="Normal 5 3 3 3 2 4 3" xfId="6059" xr:uid="{00000000-0005-0000-0000-0000D3190000}"/>
    <cellStyle name="Normal 5 3 3 3 2 4 3 2" xfId="14501" xr:uid="{9FC3B3B8-EE85-48ED-87C0-623743729D7E}"/>
    <cellStyle name="Normal 5 3 3 3 2 4 4" xfId="10283" xr:uid="{20043CA1-5616-4BD1-A97E-7F7142F8ACBC}"/>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6FF2CC9E-4EC3-4460-9834-8EC10707E219}"/>
    <cellStyle name="Normal 5 3 3 3 2 5 2 3" xfId="12841" xr:uid="{27848315-F4EB-49DC-8F76-972F611A3D8B}"/>
    <cellStyle name="Normal 5 3 3 3 2 5 3" xfId="6472" xr:uid="{00000000-0005-0000-0000-0000D7190000}"/>
    <cellStyle name="Normal 5 3 3 3 2 5 3 2" xfId="14914" xr:uid="{F537BC1F-03B4-43C5-83F3-A527CE48E574}"/>
    <cellStyle name="Normal 5 3 3 3 2 5 4" xfId="10696" xr:uid="{00E238CD-DD66-43DC-9B3B-C7A58F819CD7}"/>
    <cellStyle name="Normal 5 3 3 3 2 6" xfId="2601" xr:uid="{00000000-0005-0000-0000-0000D8190000}"/>
    <cellStyle name="Normal 5 3 3 3 2 6 2" xfId="6885" xr:uid="{00000000-0005-0000-0000-0000D9190000}"/>
    <cellStyle name="Normal 5 3 3 3 2 6 2 2" xfId="15327" xr:uid="{D31E8C28-CE25-4102-8BA5-D9F3CDA65C1E}"/>
    <cellStyle name="Normal 5 3 3 3 2 6 3" xfId="11109" xr:uid="{4391D02A-F051-4F84-A0D0-1FECA488F975}"/>
    <cellStyle name="Normal 5 3 3 3 2 7" xfId="4820" xr:uid="{00000000-0005-0000-0000-0000DA190000}"/>
    <cellStyle name="Normal 5 3 3 3 2 7 2" xfId="13262" xr:uid="{EDEC13B4-D9ED-4F5F-A961-F3CF9C895DC3}"/>
    <cellStyle name="Normal 5 3 3 3 2 8" xfId="9044" xr:uid="{7BD81CAF-5562-45DD-B4F1-A030C74D7781}"/>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1B63B4C1-C80E-4C0D-B738-5B08EBB60977}"/>
    <cellStyle name="Normal 5 3 3 3 3 2 3" xfId="11601" xr:uid="{1EFB0CB2-4456-4930-BAA0-5243989037F1}"/>
    <cellStyle name="Normal 5 3 3 3 3 3" xfId="5232" xr:uid="{00000000-0005-0000-0000-0000DE190000}"/>
    <cellStyle name="Normal 5 3 3 3 3 3 2" xfId="13674" xr:uid="{70191BEF-4DDA-472E-90B9-FE4EE6A6A47A}"/>
    <cellStyle name="Normal 5 3 3 3 3 4" xfId="9456" xr:uid="{7E36B4BF-6086-4E86-BA56-7E6CB362A550}"/>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5A46C01E-F216-4B84-B742-3FEF5A0D60C6}"/>
    <cellStyle name="Normal 5 3 3 3 4 2 3" xfId="12014" xr:uid="{C64A7703-8F2E-4F28-840E-E8F20D80F6F1}"/>
    <cellStyle name="Normal 5 3 3 3 4 3" xfId="5645" xr:uid="{00000000-0005-0000-0000-0000E2190000}"/>
    <cellStyle name="Normal 5 3 3 3 4 3 2" xfId="14087" xr:uid="{82D20330-9347-402E-8A27-33CEA67BEAD0}"/>
    <cellStyle name="Normal 5 3 3 3 4 4" xfId="9869" xr:uid="{689584C1-21C6-46AB-B7A7-C5961ABDF0ED}"/>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30F5B0E9-4599-4CE3-870F-CEF483762447}"/>
    <cellStyle name="Normal 5 3 3 3 5 2 3" xfId="12427" xr:uid="{41C2BF1B-5D86-437E-A204-415399097A36}"/>
    <cellStyle name="Normal 5 3 3 3 5 3" xfId="6058" xr:uid="{00000000-0005-0000-0000-0000E6190000}"/>
    <cellStyle name="Normal 5 3 3 3 5 3 2" xfId="14500" xr:uid="{4E371DEB-86BB-4719-8DE4-E3B94CC20781}"/>
    <cellStyle name="Normal 5 3 3 3 5 4" xfId="10282" xr:uid="{09EAF1CF-4EFB-4895-86EB-EA785376B242}"/>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9B5F867E-F099-47A6-BD5C-89B45E3B787F}"/>
    <cellStyle name="Normal 5 3 3 3 6 2 3" xfId="12840" xr:uid="{DF89B1C6-083D-435B-AF7B-29740F1A2036}"/>
    <cellStyle name="Normal 5 3 3 3 6 3" xfId="6471" xr:uid="{00000000-0005-0000-0000-0000EA190000}"/>
    <cellStyle name="Normal 5 3 3 3 6 3 2" xfId="14913" xr:uid="{51F2C0E2-A52F-4212-8D91-4C4ABE534F7C}"/>
    <cellStyle name="Normal 5 3 3 3 6 4" xfId="10695" xr:uid="{69C33FBA-5A5E-4CE7-A12E-2F95FD51CE02}"/>
    <cellStyle name="Normal 5 3 3 3 7" xfId="2600" xr:uid="{00000000-0005-0000-0000-0000EB190000}"/>
    <cellStyle name="Normal 5 3 3 3 7 2" xfId="6884" xr:uid="{00000000-0005-0000-0000-0000EC190000}"/>
    <cellStyle name="Normal 5 3 3 3 7 2 2" xfId="15326" xr:uid="{5DF57A11-CFBC-49A3-94FD-4A449B0CA904}"/>
    <cellStyle name="Normal 5 3 3 3 7 3" xfId="11108" xr:uid="{2DB74CDF-DF7C-4CDB-BD56-FA49C6A1E6F4}"/>
    <cellStyle name="Normal 5 3 3 3 8" xfId="4819" xr:uid="{00000000-0005-0000-0000-0000ED190000}"/>
    <cellStyle name="Normal 5 3 3 3 8 2" xfId="13261" xr:uid="{D05A4069-FA2E-40AC-97DE-7C325C1C0D3B}"/>
    <cellStyle name="Normal 5 3 3 3 9" xfId="9043" xr:uid="{3D198CD8-61EC-4527-B379-5E505DA57E1C}"/>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3FE3726A-C2C5-47F4-855C-5A03017781D2}"/>
    <cellStyle name="Normal 5 3 3 4 2 2 3" xfId="11603" xr:uid="{34E1543C-DFBF-466F-B550-0E8A9559BAA8}"/>
    <cellStyle name="Normal 5 3 3 4 2 3" xfId="5234" xr:uid="{00000000-0005-0000-0000-0000F2190000}"/>
    <cellStyle name="Normal 5 3 3 4 2 3 2" xfId="13676" xr:uid="{5BB3095F-29F8-4036-9FF9-B3083AE9D9CD}"/>
    <cellStyle name="Normal 5 3 3 4 2 4" xfId="9458" xr:uid="{690E1C8C-5375-49B1-A7D8-02DB20428E54}"/>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80A6B28C-70AA-42AF-BAC7-6FCC9855D6D6}"/>
    <cellStyle name="Normal 5 3 3 4 3 2 3" xfId="12016" xr:uid="{29C54C13-38D9-4B62-9C8B-145269873064}"/>
    <cellStyle name="Normal 5 3 3 4 3 3" xfId="5647" xr:uid="{00000000-0005-0000-0000-0000F6190000}"/>
    <cellStyle name="Normal 5 3 3 4 3 3 2" xfId="14089" xr:uid="{D9D6F699-120C-483F-9AEC-937308821D56}"/>
    <cellStyle name="Normal 5 3 3 4 3 4" xfId="9871" xr:uid="{0AE4E7F0-27A6-4261-86AC-EDB8F780FD29}"/>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8BD464D5-0CC6-4BA5-8534-0FD8C40AA63F}"/>
    <cellStyle name="Normal 5 3 3 4 4 2 3" xfId="12429" xr:uid="{35617CA2-1A98-4664-A7AF-3FAFCF21A65D}"/>
    <cellStyle name="Normal 5 3 3 4 4 3" xfId="6060" xr:uid="{00000000-0005-0000-0000-0000FA190000}"/>
    <cellStyle name="Normal 5 3 3 4 4 3 2" xfId="14502" xr:uid="{44F63C67-592C-459B-AEF6-8CD3684E7AF3}"/>
    <cellStyle name="Normal 5 3 3 4 4 4" xfId="10284" xr:uid="{688AF908-E297-46D4-A49D-FAD41C23941F}"/>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96A6524B-02A7-4275-AA39-1D76EEB76589}"/>
    <cellStyle name="Normal 5 3 3 4 5 2 3" xfId="12842" xr:uid="{A4CB45D4-0DE7-436D-8409-42E3689EB670}"/>
    <cellStyle name="Normal 5 3 3 4 5 3" xfId="6473" xr:uid="{00000000-0005-0000-0000-0000FE190000}"/>
    <cellStyle name="Normal 5 3 3 4 5 3 2" xfId="14915" xr:uid="{12B72B16-EAB3-4A17-BE98-4CE4A4CFF0D1}"/>
    <cellStyle name="Normal 5 3 3 4 5 4" xfId="10697" xr:uid="{4A5AF3C1-905B-459C-AAF0-E14874C1BC68}"/>
    <cellStyle name="Normal 5 3 3 4 6" xfId="2602" xr:uid="{00000000-0005-0000-0000-0000FF190000}"/>
    <cellStyle name="Normal 5 3 3 4 6 2" xfId="6886" xr:uid="{00000000-0005-0000-0000-0000001A0000}"/>
    <cellStyle name="Normal 5 3 3 4 6 2 2" xfId="15328" xr:uid="{275D838F-22E6-422F-82F0-5919AE71723D}"/>
    <cellStyle name="Normal 5 3 3 4 6 3" xfId="11110" xr:uid="{62C04683-EE24-4DCB-B87E-77D1E96269BF}"/>
    <cellStyle name="Normal 5 3 3 4 7" xfId="4821" xr:uid="{00000000-0005-0000-0000-0000011A0000}"/>
    <cellStyle name="Normal 5 3 3 4 7 2" xfId="13263" xr:uid="{A2BD872E-4DAF-4C02-9D17-849E75431F52}"/>
    <cellStyle name="Normal 5 3 3 4 8" xfId="9045" xr:uid="{5981B165-F8E7-420F-B3A3-3F32E7EE6850}"/>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7E19EFB5-417A-42FA-B9D2-AD706045212E}"/>
    <cellStyle name="Normal 5 3 3 5 2 3" xfId="11596" xr:uid="{F3CA866C-C2E8-4476-8578-20FAD024BB33}"/>
    <cellStyle name="Normal 5 3 3 5 3" xfId="5227" xr:uid="{00000000-0005-0000-0000-0000051A0000}"/>
    <cellStyle name="Normal 5 3 3 5 3 2" xfId="13669" xr:uid="{C74A54C7-61AE-4792-927D-C7D0C07B3D01}"/>
    <cellStyle name="Normal 5 3 3 5 4" xfId="9451" xr:uid="{8487177C-1D66-4F0D-82D4-326663375CE6}"/>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C4CAECBA-EC08-4D42-8FD6-85B1B21FE829}"/>
    <cellStyle name="Normal 5 3 3 6 2 3" xfId="12009" xr:uid="{C54505BA-FD5C-4CA0-B46F-C8833225E0A2}"/>
    <cellStyle name="Normal 5 3 3 6 3" xfId="5640" xr:uid="{00000000-0005-0000-0000-0000091A0000}"/>
    <cellStyle name="Normal 5 3 3 6 3 2" xfId="14082" xr:uid="{A6E9D993-B74A-4ADF-B256-E7B9658BA7BD}"/>
    <cellStyle name="Normal 5 3 3 6 4" xfId="9864" xr:uid="{77D9E8FB-3BE3-403D-BD3E-1FD298059272}"/>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6C728AF7-C74E-43A2-A802-9F10C6AB29CE}"/>
    <cellStyle name="Normal 5 3 3 7 2 3" xfId="12422" xr:uid="{4BFB2CEC-BA7D-4174-A414-4A93C708E3A3}"/>
    <cellStyle name="Normal 5 3 3 7 3" xfId="6053" xr:uid="{00000000-0005-0000-0000-00000D1A0000}"/>
    <cellStyle name="Normal 5 3 3 7 3 2" xfId="14495" xr:uid="{F4752C43-7003-4037-9FFB-FFD6C89B6775}"/>
    <cellStyle name="Normal 5 3 3 7 4" xfId="10277" xr:uid="{A9665395-C230-42DC-8C9A-1E54BDCC3AFD}"/>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989DA3D4-A8B8-4E75-B261-27B05BD5BC48}"/>
    <cellStyle name="Normal 5 3 3 8 2 3" xfId="12835" xr:uid="{A42B0A1A-61CD-4C2F-8BF0-1A7FB32684BF}"/>
    <cellStyle name="Normal 5 3 3 8 3" xfId="6466" xr:uid="{00000000-0005-0000-0000-0000111A0000}"/>
    <cellStyle name="Normal 5 3 3 8 3 2" xfId="14908" xr:uid="{017BB1DA-9EAC-4C1B-B7C1-72CEB7033475}"/>
    <cellStyle name="Normal 5 3 3 8 4" xfId="10690" xr:uid="{7DD9096F-77CE-4616-8B58-5B9D71314378}"/>
    <cellStyle name="Normal 5 3 3 9" xfId="2595" xr:uid="{00000000-0005-0000-0000-0000121A0000}"/>
    <cellStyle name="Normal 5 3 3 9 2" xfId="6879" xr:uid="{00000000-0005-0000-0000-0000131A0000}"/>
    <cellStyle name="Normal 5 3 3 9 2 2" xfId="15321" xr:uid="{07F17DBF-95B8-440E-9DFC-6B4BC6818F45}"/>
    <cellStyle name="Normal 5 3 3 9 3" xfId="11103" xr:uid="{EC3AB932-D1F3-4AAC-BDAC-8CCE27BFEFFF}"/>
    <cellStyle name="Normal 5 3 4" xfId="449" xr:uid="{00000000-0005-0000-0000-0000141A0000}"/>
    <cellStyle name="Normal 5 3 4 10" xfId="9046" xr:uid="{7EBBFD71-DC5D-419D-BC31-ADFD3532098B}"/>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F34D6F4A-D228-4299-B2F8-B028B993F6A3}"/>
    <cellStyle name="Normal 5 3 4 2 2 2 2 3" xfId="11606" xr:uid="{A2845724-29FD-4C8C-958E-22B2F040439A}"/>
    <cellStyle name="Normal 5 3 4 2 2 2 3" xfId="5237" xr:uid="{00000000-0005-0000-0000-00001A1A0000}"/>
    <cellStyle name="Normal 5 3 4 2 2 2 3 2" xfId="13679" xr:uid="{B44868EC-9956-42D9-9719-110174B00D7C}"/>
    <cellStyle name="Normal 5 3 4 2 2 2 4" xfId="9461" xr:uid="{54B4A673-B1FD-47BD-A18A-03BB976A7FF9}"/>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EB35D78A-68F6-4EFA-80CD-B42FEDAADEC3}"/>
    <cellStyle name="Normal 5 3 4 2 2 3 2 3" xfId="12019" xr:uid="{BA9373BB-D931-4775-BA13-391593317CBE}"/>
    <cellStyle name="Normal 5 3 4 2 2 3 3" xfId="5650" xr:uid="{00000000-0005-0000-0000-00001E1A0000}"/>
    <cellStyle name="Normal 5 3 4 2 2 3 3 2" xfId="14092" xr:uid="{46F8D544-776B-42BF-BD7F-B9940B7BE28A}"/>
    <cellStyle name="Normal 5 3 4 2 2 3 4" xfId="9874" xr:uid="{CDFEE719-3E11-4941-8A32-C83FBD8A6686}"/>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A13EF3F7-DA1A-4986-A77B-105E3489DA66}"/>
    <cellStyle name="Normal 5 3 4 2 2 4 2 3" xfId="12432" xr:uid="{42ABA1A3-182E-43FD-91BF-22FA995BCE50}"/>
    <cellStyle name="Normal 5 3 4 2 2 4 3" xfId="6063" xr:uid="{00000000-0005-0000-0000-0000221A0000}"/>
    <cellStyle name="Normal 5 3 4 2 2 4 3 2" xfId="14505" xr:uid="{34C4865C-DE7B-4426-BC8D-A5ECA6E70AD1}"/>
    <cellStyle name="Normal 5 3 4 2 2 4 4" xfId="10287" xr:uid="{6CB43779-F985-4DF1-8330-C945F9E7FC59}"/>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37C48F45-CC52-4D07-B3F8-D77F87BA73CD}"/>
    <cellStyle name="Normal 5 3 4 2 2 5 2 3" xfId="12845" xr:uid="{DA4E4FE5-085F-4C96-B300-0E0BCFF74541}"/>
    <cellStyle name="Normal 5 3 4 2 2 5 3" xfId="6476" xr:uid="{00000000-0005-0000-0000-0000261A0000}"/>
    <cellStyle name="Normal 5 3 4 2 2 5 3 2" xfId="14918" xr:uid="{A5F105D9-7196-4C84-B8FD-60633C986BC5}"/>
    <cellStyle name="Normal 5 3 4 2 2 5 4" xfId="10700" xr:uid="{CE9420DE-38D9-4133-A9D0-2ABB594C2168}"/>
    <cellStyle name="Normal 5 3 4 2 2 6" xfId="2605" xr:uid="{00000000-0005-0000-0000-0000271A0000}"/>
    <cellStyle name="Normal 5 3 4 2 2 6 2" xfId="6889" xr:uid="{00000000-0005-0000-0000-0000281A0000}"/>
    <cellStyle name="Normal 5 3 4 2 2 6 2 2" xfId="15331" xr:uid="{50FBFA93-36EA-4DD9-AFEE-1C8B605EC65C}"/>
    <cellStyle name="Normal 5 3 4 2 2 6 3" xfId="11113" xr:uid="{D4B13D36-0E71-4D31-8EDA-1E06F8E1741A}"/>
    <cellStyle name="Normal 5 3 4 2 2 7" xfId="4824" xr:uid="{00000000-0005-0000-0000-0000291A0000}"/>
    <cellStyle name="Normal 5 3 4 2 2 7 2" xfId="13266" xr:uid="{3F5A3527-8D29-4516-B32D-527A91D8D248}"/>
    <cellStyle name="Normal 5 3 4 2 2 8" xfId="9048" xr:uid="{8CC86629-0114-4284-B7B9-B30FB7022A4B}"/>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943A21E6-AC78-4ADA-84CF-3B60AB08258C}"/>
    <cellStyle name="Normal 5 3 4 2 3 2 3" xfId="11605" xr:uid="{2D1F624C-266D-4AAE-A877-4B70609C00A1}"/>
    <cellStyle name="Normal 5 3 4 2 3 3" xfId="5236" xr:uid="{00000000-0005-0000-0000-00002D1A0000}"/>
    <cellStyle name="Normal 5 3 4 2 3 3 2" xfId="13678" xr:uid="{16547653-591E-45C8-8689-F54D38CD8049}"/>
    <cellStyle name="Normal 5 3 4 2 3 4" xfId="9460" xr:uid="{EF2F2A0E-74E6-4A9A-905A-32BD772AD71D}"/>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707B88D4-4179-4D7C-9D78-D0C43EDA323E}"/>
    <cellStyle name="Normal 5 3 4 2 4 2 3" xfId="12018" xr:uid="{E22BC786-4DB4-44F2-8C65-5C332E7030BA}"/>
    <cellStyle name="Normal 5 3 4 2 4 3" xfId="5649" xr:uid="{00000000-0005-0000-0000-0000311A0000}"/>
    <cellStyle name="Normal 5 3 4 2 4 3 2" xfId="14091" xr:uid="{AEE94003-D565-439C-A218-F0D8F418BE32}"/>
    <cellStyle name="Normal 5 3 4 2 4 4" xfId="9873" xr:uid="{88AD7630-9C86-4DF1-9BCF-300E30D9247C}"/>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97823A11-89C7-4EB6-8FEE-48D13CBF0540}"/>
    <cellStyle name="Normal 5 3 4 2 5 2 3" xfId="12431" xr:uid="{41178EC0-8CA1-49FD-AC24-8C2403DB43FA}"/>
    <cellStyle name="Normal 5 3 4 2 5 3" xfId="6062" xr:uid="{00000000-0005-0000-0000-0000351A0000}"/>
    <cellStyle name="Normal 5 3 4 2 5 3 2" xfId="14504" xr:uid="{7F2520B6-A81C-4D6C-A1E8-166A3FC1EBD0}"/>
    <cellStyle name="Normal 5 3 4 2 5 4" xfId="10286" xr:uid="{A947F651-825C-432F-9180-0494DAEECA78}"/>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AF181656-F3A2-48B1-8961-0451A8308183}"/>
    <cellStyle name="Normal 5 3 4 2 6 2 3" xfId="12844" xr:uid="{AFAD1E5B-50BC-472F-A876-84347D7C65C6}"/>
    <cellStyle name="Normal 5 3 4 2 6 3" xfId="6475" xr:uid="{00000000-0005-0000-0000-0000391A0000}"/>
    <cellStyle name="Normal 5 3 4 2 6 3 2" xfId="14917" xr:uid="{2265007F-B1B0-45B9-A59F-0D2DA7C44F65}"/>
    <cellStyle name="Normal 5 3 4 2 6 4" xfId="10699" xr:uid="{6D7A5315-ADAA-40C4-B774-80EABAF3B1E3}"/>
    <cellStyle name="Normal 5 3 4 2 7" xfId="2604" xr:uid="{00000000-0005-0000-0000-00003A1A0000}"/>
    <cellStyle name="Normal 5 3 4 2 7 2" xfId="6888" xr:uid="{00000000-0005-0000-0000-00003B1A0000}"/>
    <cellStyle name="Normal 5 3 4 2 7 2 2" xfId="15330" xr:uid="{314DEF78-4D53-461D-896B-8BC52D058569}"/>
    <cellStyle name="Normal 5 3 4 2 7 3" xfId="11112" xr:uid="{81EEEE8E-05A4-4B2E-9457-0692F309C8C0}"/>
    <cellStyle name="Normal 5 3 4 2 8" xfId="4823" xr:uid="{00000000-0005-0000-0000-00003C1A0000}"/>
    <cellStyle name="Normal 5 3 4 2 8 2" xfId="13265" xr:uid="{D28F4E39-9708-4868-9EDF-49AB1E818999}"/>
    <cellStyle name="Normal 5 3 4 2 9" xfId="9047" xr:uid="{1DC5E74B-9069-404F-8795-D221935D5DAC}"/>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F3E86D24-D1F8-4049-BAA9-32CB3BC7C02F}"/>
    <cellStyle name="Normal 5 3 4 3 2 2 3" xfId="11607" xr:uid="{832C8271-896C-4259-9238-90E8417A48E7}"/>
    <cellStyle name="Normal 5 3 4 3 2 3" xfId="5238" xr:uid="{00000000-0005-0000-0000-0000411A0000}"/>
    <cellStyle name="Normal 5 3 4 3 2 3 2" xfId="13680" xr:uid="{0ED4DA60-0289-48D1-94BC-BDCCDF887B25}"/>
    <cellStyle name="Normal 5 3 4 3 2 4" xfId="9462" xr:uid="{4561847C-367F-4148-8361-9B210D35E478}"/>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A92A810B-2820-4965-A5E4-0CEA277037F1}"/>
    <cellStyle name="Normal 5 3 4 3 3 2 3" xfId="12020" xr:uid="{21FA38A0-26C2-4E6D-9C07-02FF6997F520}"/>
    <cellStyle name="Normal 5 3 4 3 3 3" xfId="5651" xr:uid="{00000000-0005-0000-0000-0000451A0000}"/>
    <cellStyle name="Normal 5 3 4 3 3 3 2" xfId="14093" xr:uid="{C4959D1C-E64B-4A19-B007-6571ADCC7EA5}"/>
    <cellStyle name="Normal 5 3 4 3 3 4" xfId="9875" xr:uid="{2193CEED-08AE-449E-9FF9-B8802C37F7DD}"/>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5269B202-C7EB-48E5-AA28-C0A1FAB78FE8}"/>
    <cellStyle name="Normal 5 3 4 3 4 2 3" xfId="12433" xr:uid="{E08D8AAB-5EFC-4C0E-B75F-772F97A7AF51}"/>
    <cellStyle name="Normal 5 3 4 3 4 3" xfId="6064" xr:uid="{00000000-0005-0000-0000-0000491A0000}"/>
    <cellStyle name="Normal 5 3 4 3 4 3 2" xfId="14506" xr:uid="{2337DEE4-50D5-4BCC-97EA-30386B5F7140}"/>
    <cellStyle name="Normal 5 3 4 3 4 4" xfId="10288" xr:uid="{BA7A13B0-35AC-45A2-A51D-9B8FEC943083}"/>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D596A0B9-DC85-478F-8363-9366F9931014}"/>
    <cellStyle name="Normal 5 3 4 3 5 2 3" xfId="12846" xr:uid="{2F808290-E097-4B01-ADD4-278BA98F82AB}"/>
    <cellStyle name="Normal 5 3 4 3 5 3" xfId="6477" xr:uid="{00000000-0005-0000-0000-00004D1A0000}"/>
    <cellStyle name="Normal 5 3 4 3 5 3 2" xfId="14919" xr:uid="{CEF2DBB2-00E4-402B-B4AC-B1E6201BB2A9}"/>
    <cellStyle name="Normal 5 3 4 3 5 4" xfId="10701" xr:uid="{E6168803-45D8-4611-BB25-B5CBB63AC596}"/>
    <cellStyle name="Normal 5 3 4 3 6" xfId="2606" xr:uid="{00000000-0005-0000-0000-00004E1A0000}"/>
    <cellStyle name="Normal 5 3 4 3 6 2" xfId="6890" xr:uid="{00000000-0005-0000-0000-00004F1A0000}"/>
    <cellStyle name="Normal 5 3 4 3 6 2 2" xfId="15332" xr:uid="{BA62AFD6-BA03-4E42-8646-4E6A22B80703}"/>
    <cellStyle name="Normal 5 3 4 3 6 3" xfId="11114" xr:uid="{869A4858-94E6-4C2D-A815-25EFA166AFCF}"/>
    <cellStyle name="Normal 5 3 4 3 7" xfId="4825" xr:uid="{00000000-0005-0000-0000-0000501A0000}"/>
    <cellStyle name="Normal 5 3 4 3 7 2" xfId="13267" xr:uid="{6DB6B46F-3690-4F15-80BC-A7F8D8918AB1}"/>
    <cellStyle name="Normal 5 3 4 3 8" xfId="9049" xr:uid="{D22CA476-53DC-42DD-8253-54EF58EE433C}"/>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68777FEE-A703-425A-A32C-E888AC781793}"/>
    <cellStyle name="Normal 5 3 4 4 2 3" xfId="11604" xr:uid="{0E04A487-C9E4-46EE-A296-8893E36A173C}"/>
    <cellStyle name="Normal 5 3 4 4 3" xfId="5235" xr:uid="{00000000-0005-0000-0000-0000541A0000}"/>
    <cellStyle name="Normal 5 3 4 4 3 2" xfId="13677" xr:uid="{DA712BA9-2A6D-4E83-B432-D70898885AE1}"/>
    <cellStyle name="Normal 5 3 4 4 4" xfId="9459" xr:uid="{5A2E5E3F-F5C3-4585-A21B-2FDCFF9A7859}"/>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0C7EDB9B-0D20-44C9-A260-51168D81ED71}"/>
    <cellStyle name="Normal 5 3 4 5 2 3" xfId="12017" xr:uid="{871101B2-9EE0-4349-AAF0-5EDB46DCF8EB}"/>
    <cellStyle name="Normal 5 3 4 5 3" xfId="5648" xr:uid="{00000000-0005-0000-0000-0000581A0000}"/>
    <cellStyle name="Normal 5 3 4 5 3 2" xfId="14090" xr:uid="{FE5E1818-7911-49F1-B48E-07EC8CF3DC64}"/>
    <cellStyle name="Normal 5 3 4 5 4" xfId="9872" xr:uid="{FE77CB8A-78B3-46BF-955F-925779CF32B9}"/>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594F7CCE-761C-428E-B3DC-0709873C330A}"/>
    <cellStyle name="Normal 5 3 4 6 2 3" xfId="12430" xr:uid="{0CC9FA45-08A4-4011-9B53-D23F512928A9}"/>
    <cellStyle name="Normal 5 3 4 6 3" xfId="6061" xr:uid="{00000000-0005-0000-0000-00005C1A0000}"/>
    <cellStyle name="Normal 5 3 4 6 3 2" xfId="14503" xr:uid="{1025D6E0-0537-48DA-AC7E-AB3CB74645C8}"/>
    <cellStyle name="Normal 5 3 4 6 4" xfId="10285" xr:uid="{5F6B2785-EFB0-4F86-B79C-965887628A9D}"/>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0E12152D-FFD4-4534-B89B-B680279A6853}"/>
    <cellStyle name="Normal 5 3 4 7 2 3" xfId="12843" xr:uid="{C13EC719-8871-4B88-920E-61C37494B170}"/>
    <cellStyle name="Normal 5 3 4 7 3" xfId="6474" xr:uid="{00000000-0005-0000-0000-0000601A0000}"/>
    <cellStyle name="Normal 5 3 4 7 3 2" xfId="14916" xr:uid="{087A350B-5E22-4547-BA3E-2761A09026E9}"/>
    <cellStyle name="Normal 5 3 4 7 4" xfId="10698" xr:uid="{2A1B9A6E-E6A3-47B2-BBF7-34D91FD09005}"/>
    <cellStyle name="Normal 5 3 4 8" xfId="2603" xr:uid="{00000000-0005-0000-0000-0000611A0000}"/>
    <cellStyle name="Normal 5 3 4 8 2" xfId="6887" xr:uid="{00000000-0005-0000-0000-0000621A0000}"/>
    <cellStyle name="Normal 5 3 4 8 2 2" xfId="15329" xr:uid="{E2CF3E8E-F742-4DE8-8DDC-2D3CE3B3340E}"/>
    <cellStyle name="Normal 5 3 4 8 3" xfId="11111" xr:uid="{DC07D5C6-7481-498E-BD96-56BBA95789F5}"/>
    <cellStyle name="Normal 5 3 4 9" xfId="4822" xr:uid="{00000000-0005-0000-0000-0000631A0000}"/>
    <cellStyle name="Normal 5 3 4 9 2" xfId="13264" xr:uid="{BC3046A8-97A8-422D-9E9C-D77E0569FC56}"/>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8867E071-A5D3-4B51-98C9-BC8CF3A175E1}"/>
    <cellStyle name="Normal 5 3 5 2 2 2 3" xfId="11609" xr:uid="{2B5F082B-E83C-46C0-B62F-56DBEB0FCDE4}"/>
    <cellStyle name="Normal 5 3 5 2 2 3" xfId="5240" xr:uid="{00000000-0005-0000-0000-0000691A0000}"/>
    <cellStyle name="Normal 5 3 5 2 2 3 2" xfId="13682" xr:uid="{C4123736-2F17-4965-B382-13CE2EC17748}"/>
    <cellStyle name="Normal 5 3 5 2 2 4" xfId="9464" xr:uid="{A7E1DDDB-7D07-4DB8-92C4-A3236DC79848}"/>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126E1851-C43A-476F-9075-3802E2DFE1F7}"/>
    <cellStyle name="Normal 5 3 5 2 3 2 3" xfId="12022" xr:uid="{220DCCA2-6225-4133-A0B2-CE66CACE0FAD}"/>
    <cellStyle name="Normal 5 3 5 2 3 3" xfId="5653" xr:uid="{00000000-0005-0000-0000-00006D1A0000}"/>
    <cellStyle name="Normal 5 3 5 2 3 3 2" xfId="14095" xr:uid="{A0A56CFA-0F6F-4FFC-81E2-68DD67D51144}"/>
    <cellStyle name="Normal 5 3 5 2 3 4" xfId="9877" xr:uid="{C6B57A58-F5D1-4D0B-979F-A0B2F5AF553F}"/>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A0B90359-DAB4-4ECD-AFE3-EB6ADC060648}"/>
    <cellStyle name="Normal 5 3 5 2 4 2 3" xfId="12435" xr:uid="{87D7C370-0AA7-472F-84B6-D71D5C9BDA62}"/>
    <cellStyle name="Normal 5 3 5 2 4 3" xfId="6066" xr:uid="{00000000-0005-0000-0000-0000711A0000}"/>
    <cellStyle name="Normal 5 3 5 2 4 3 2" xfId="14508" xr:uid="{204897D5-22ED-43D0-824F-8687194DCC99}"/>
    <cellStyle name="Normal 5 3 5 2 4 4" xfId="10290" xr:uid="{CCA056C7-4BBC-427F-8310-D6E089683542}"/>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E4FCBAF1-D879-4E2A-A676-861B6769EFDF}"/>
    <cellStyle name="Normal 5 3 5 2 5 2 3" xfId="12848" xr:uid="{3DD558C3-DAAF-4004-91F8-1B3A261E5F3F}"/>
    <cellStyle name="Normal 5 3 5 2 5 3" xfId="6479" xr:uid="{00000000-0005-0000-0000-0000751A0000}"/>
    <cellStyle name="Normal 5 3 5 2 5 3 2" xfId="14921" xr:uid="{008568C4-66A8-4066-8D24-1D4983A24DCC}"/>
    <cellStyle name="Normal 5 3 5 2 5 4" xfId="10703" xr:uid="{F39C8FD2-7938-471E-B493-433E34F02390}"/>
    <cellStyle name="Normal 5 3 5 2 6" xfId="2608" xr:uid="{00000000-0005-0000-0000-0000761A0000}"/>
    <cellStyle name="Normal 5 3 5 2 6 2" xfId="6892" xr:uid="{00000000-0005-0000-0000-0000771A0000}"/>
    <cellStyle name="Normal 5 3 5 2 6 2 2" xfId="15334" xr:uid="{FD778019-2F5B-426C-BC96-2DD6E7738A36}"/>
    <cellStyle name="Normal 5 3 5 2 6 3" xfId="11116" xr:uid="{3478ABA9-1550-45B5-B51E-8563EE280C79}"/>
    <cellStyle name="Normal 5 3 5 2 7" xfId="4827" xr:uid="{00000000-0005-0000-0000-0000781A0000}"/>
    <cellStyle name="Normal 5 3 5 2 7 2" xfId="13269" xr:uid="{923D0F05-4717-40E2-87D3-37530AB59386}"/>
    <cellStyle name="Normal 5 3 5 2 8" xfId="9051" xr:uid="{70566E6A-7DEC-4F03-B6D2-B1A301683377}"/>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DD313BA8-B3E0-41B0-B184-34FA0EE8FE55}"/>
    <cellStyle name="Normal 5 3 5 3 2 3" xfId="11608" xr:uid="{80EF688D-2560-472B-B9F8-1FE2D443C76E}"/>
    <cellStyle name="Normal 5 3 5 3 3" xfId="5239" xr:uid="{00000000-0005-0000-0000-00007C1A0000}"/>
    <cellStyle name="Normal 5 3 5 3 3 2" xfId="13681" xr:uid="{C26C15B9-0852-4B9A-993E-5886B8F8643F}"/>
    <cellStyle name="Normal 5 3 5 3 4" xfId="9463" xr:uid="{4BC3C6EA-D754-42FC-A6C9-F361B1BDBFC3}"/>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34749718-62CD-48F5-B071-9CFEDAA3EBBA}"/>
    <cellStyle name="Normal 5 3 5 4 2 3" xfId="12021" xr:uid="{2CEFDD05-9EA4-44A3-8C8C-35EB2ECE7181}"/>
    <cellStyle name="Normal 5 3 5 4 3" xfId="5652" xr:uid="{00000000-0005-0000-0000-0000801A0000}"/>
    <cellStyle name="Normal 5 3 5 4 3 2" xfId="14094" xr:uid="{55CF9DBF-9383-480C-8B4C-D5EC572B9242}"/>
    <cellStyle name="Normal 5 3 5 4 4" xfId="9876" xr:uid="{447CE652-9C65-4DF3-8207-E1F718F79BFE}"/>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FD9D57D5-AF11-4B4B-8E11-05E90788BD78}"/>
    <cellStyle name="Normal 5 3 5 5 2 3" xfId="12434" xr:uid="{7CE4D7C2-280A-42D6-B6E1-CF5C1289369E}"/>
    <cellStyle name="Normal 5 3 5 5 3" xfId="6065" xr:uid="{00000000-0005-0000-0000-0000841A0000}"/>
    <cellStyle name="Normal 5 3 5 5 3 2" xfId="14507" xr:uid="{C9851BB6-5196-44AB-B9E9-0489D4275AD6}"/>
    <cellStyle name="Normal 5 3 5 5 4" xfId="10289" xr:uid="{2D2990DE-4657-446F-BE11-C7CE403D6320}"/>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1590A0C2-18CD-4DFA-82FC-5587451E6DC8}"/>
    <cellStyle name="Normal 5 3 5 6 2 3" xfId="12847" xr:uid="{E430CE35-731E-4F50-B229-B0F712D98E81}"/>
    <cellStyle name="Normal 5 3 5 6 3" xfId="6478" xr:uid="{00000000-0005-0000-0000-0000881A0000}"/>
    <cellStyle name="Normal 5 3 5 6 3 2" xfId="14920" xr:uid="{92D9487C-7DD9-479E-AC07-860E1FF73C37}"/>
    <cellStyle name="Normal 5 3 5 6 4" xfId="10702" xr:uid="{1CAF2505-08F0-4342-A596-E61626B5CC51}"/>
    <cellStyle name="Normal 5 3 5 7" xfId="2607" xr:uid="{00000000-0005-0000-0000-0000891A0000}"/>
    <cellStyle name="Normal 5 3 5 7 2" xfId="6891" xr:uid="{00000000-0005-0000-0000-00008A1A0000}"/>
    <cellStyle name="Normal 5 3 5 7 2 2" xfId="15333" xr:uid="{DA0ADD44-B9B4-4A5B-99A9-B27E3A0D303F}"/>
    <cellStyle name="Normal 5 3 5 7 3" xfId="11115" xr:uid="{AA3F9345-BD45-4E59-BE70-E831812C04EA}"/>
    <cellStyle name="Normal 5 3 5 8" xfId="4826" xr:uid="{00000000-0005-0000-0000-00008B1A0000}"/>
    <cellStyle name="Normal 5 3 5 8 2" xfId="13268" xr:uid="{5A9D5F29-43AF-4467-9098-6B60554F3369}"/>
    <cellStyle name="Normal 5 3 5 9" xfId="9050" xr:uid="{30EA173E-3FE7-4AA6-896B-D42F5DDAB7DD}"/>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656396A5-FAA4-407A-BEB1-1F221AEACC45}"/>
    <cellStyle name="Normal 5 3 6 2 2 3" xfId="11610" xr:uid="{7183EA39-80AC-4A68-9FBE-A1D4C3E13D1E}"/>
    <cellStyle name="Normal 5 3 6 2 3" xfId="5241" xr:uid="{00000000-0005-0000-0000-0000901A0000}"/>
    <cellStyle name="Normal 5 3 6 2 3 2" xfId="13683" xr:uid="{A0F9DF39-189D-49B9-955F-CB5D1342511D}"/>
    <cellStyle name="Normal 5 3 6 2 4" xfId="9465" xr:uid="{BA677FBA-EC99-4D8D-90E3-5A08F7122A4B}"/>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82A0691D-CB93-4D4C-A361-D21682411C76}"/>
    <cellStyle name="Normal 5 3 6 3 2 3" xfId="12023" xr:uid="{5D3EBAF1-4661-4573-BE10-6110AD26B75D}"/>
    <cellStyle name="Normal 5 3 6 3 3" xfId="5654" xr:uid="{00000000-0005-0000-0000-0000941A0000}"/>
    <cellStyle name="Normal 5 3 6 3 3 2" xfId="14096" xr:uid="{CF320DCE-DA8A-4CF7-BF15-97410B4B8DE1}"/>
    <cellStyle name="Normal 5 3 6 3 4" xfId="9878" xr:uid="{4ECA1CD9-541F-4A9D-A61B-165DEB16A680}"/>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EDCA88D6-68D9-4F6A-9FA7-476F362BF0A7}"/>
    <cellStyle name="Normal 5 3 6 4 2 3" xfId="12436" xr:uid="{6C33BBFD-3FC4-4ACC-A1E6-2A013C576484}"/>
    <cellStyle name="Normal 5 3 6 4 3" xfId="6067" xr:uid="{00000000-0005-0000-0000-0000981A0000}"/>
    <cellStyle name="Normal 5 3 6 4 3 2" xfId="14509" xr:uid="{9EB09CFE-5655-4360-82BB-38C55E7FEC7D}"/>
    <cellStyle name="Normal 5 3 6 4 4" xfId="10291" xr:uid="{730D87CD-DB6A-4922-9F06-42627C3BFC78}"/>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BC3D51F0-963F-4485-8E07-BAD600538784}"/>
    <cellStyle name="Normal 5 3 6 5 2 3" xfId="12849" xr:uid="{1AC7937C-6AE6-47B4-ACA7-C6C478095235}"/>
    <cellStyle name="Normal 5 3 6 5 3" xfId="6480" xr:uid="{00000000-0005-0000-0000-00009C1A0000}"/>
    <cellStyle name="Normal 5 3 6 5 3 2" xfId="14922" xr:uid="{A67318FF-1833-4CF2-893B-E93492108E9D}"/>
    <cellStyle name="Normal 5 3 6 5 4" xfId="10704" xr:uid="{785B3929-CEE2-40A0-B7C0-490276463D1A}"/>
    <cellStyle name="Normal 5 3 6 6" xfId="2609" xr:uid="{00000000-0005-0000-0000-00009D1A0000}"/>
    <cellStyle name="Normal 5 3 6 6 2" xfId="6893" xr:uid="{00000000-0005-0000-0000-00009E1A0000}"/>
    <cellStyle name="Normal 5 3 6 6 2 2" xfId="15335" xr:uid="{467B54FE-396C-4C17-AA0A-AB963A0492E7}"/>
    <cellStyle name="Normal 5 3 6 6 3" xfId="11117" xr:uid="{E431D5DC-3F68-4D0F-BB86-1D96A9748B73}"/>
    <cellStyle name="Normal 5 3 6 7" xfId="4828" xr:uid="{00000000-0005-0000-0000-00009F1A0000}"/>
    <cellStyle name="Normal 5 3 6 7 2" xfId="13270" xr:uid="{479BC68F-28E6-4FD0-BA90-8801EF330A38}"/>
    <cellStyle name="Normal 5 3 6 8" xfId="9052" xr:uid="{76A72ED9-92FD-46FD-953D-386DEA655044}"/>
    <cellStyle name="Normal 5 3 7" xfId="913" xr:uid="{00000000-0005-0000-0000-0000A01A0000}"/>
    <cellStyle name="Normal 5 3 7 2" xfId="3148" xr:uid="{00000000-0005-0000-0000-0000A11A0000}"/>
    <cellStyle name="Normal 5 3 7 2 2" xfId="7371" xr:uid="{00000000-0005-0000-0000-0000A21A0000}"/>
    <cellStyle name="Normal 5 3 7 2 2 2" xfId="15813" xr:uid="{37763A26-B2FD-4C60-8B27-A5BCA457B14D}"/>
    <cellStyle name="Normal 5 3 7 2 3" xfId="11595" xr:uid="{4467C601-2764-4449-BACB-7E2922F9BCD3}"/>
    <cellStyle name="Normal 5 3 7 3" xfId="5226" xr:uid="{00000000-0005-0000-0000-0000A31A0000}"/>
    <cellStyle name="Normal 5 3 7 3 2" xfId="13668" xr:uid="{9ED879D8-FD55-42A8-ACDD-D1FC400BB6CE}"/>
    <cellStyle name="Normal 5 3 7 4" xfId="9450" xr:uid="{CEEF8B3D-991B-4BED-9100-DDD1FD5D3FBC}"/>
    <cellStyle name="Normal 5 3 8" xfId="1331" xr:uid="{00000000-0005-0000-0000-0000A41A0000}"/>
    <cellStyle name="Normal 5 3 8 2" xfId="3561" xr:uid="{00000000-0005-0000-0000-0000A51A0000}"/>
    <cellStyle name="Normal 5 3 8 2 2" xfId="7784" xr:uid="{00000000-0005-0000-0000-0000A61A0000}"/>
    <cellStyle name="Normal 5 3 8 2 2 2" xfId="16226" xr:uid="{0EF2A312-844D-41EB-9BFA-F3AE3BC2EC60}"/>
    <cellStyle name="Normal 5 3 8 2 3" xfId="12008" xr:uid="{37A4FE3C-A466-410E-BCCC-BD2927944714}"/>
    <cellStyle name="Normal 5 3 8 3" xfId="5639" xr:uid="{00000000-0005-0000-0000-0000A71A0000}"/>
    <cellStyle name="Normal 5 3 8 3 2" xfId="14081" xr:uid="{FB3F7EEC-9F87-40D8-A236-114ECCE37925}"/>
    <cellStyle name="Normal 5 3 8 4" xfId="9863" xr:uid="{4F91FB12-4F2D-463D-81D6-996F23C28FB6}"/>
    <cellStyle name="Normal 5 3 9" xfId="1744" xr:uid="{00000000-0005-0000-0000-0000A81A0000}"/>
    <cellStyle name="Normal 5 3 9 2" xfId="3974" xr:uid="{00000000-0005-0000-0000-0000A91A0000}"/>
    <cellStyle name="Normal 5 3 9 2 2" xfId="8197" xr:uid="{00000000-0005-0000-0000-0000AA1A0000}"/>
    <cellStyle name="Normal 5 3 9 2 2 2" xfId="16639" xr:uid="{B6FC3D4A-8B30-4D6B-8686-054317778E75}"/>
    <cellStyle name="Normal 5 3 9 2 3" xfId="12421" xr:uid="{3205E300-74B2-4F6F-904C-7BC64A050729}"/>
    <cellStyle name="Normal 5 3 9 3" xfId="6052" xr:uid="{00000000-0005-0000-0000-0000AB1A0000}"/>
    <cellStyle name="Normal 5 3 9 3 2" xfId="14494" xr:uid="{866DF7ED-DAB3-4645-8420-AB287A735DD5}"/>
    <cellStyle name="Normal 5 3 9 4" xfId="10276" xr:uid="{4D6C5CEE-4F99-4215-B9AA-22DABE2DB5D8}"/>
    <cellStyle name="Normal 5 4" xfId="456" xr:uid="{00000000-0005-0000-0000-0000AC1A0000}"/>
    <cellStyle name="Normal 5 4 10" xfId="4829" xr:uid="{00000000-0005-0000-0000-0000AD1A0000}"/>
    <cellStyle name="Normal 5 4 10 2" xfId="13271" xr:uid="{C198A37D-9BEC-4AD7-BD77-FE11EEF27A82}"/>
    <cellStyle name="Normal 5 4 11" xfId="9053" xr:uid="{7FE91992-485A-489F-A858-E376E9177C09}"/>
    <cellStyle name="Normal 5 4 2" xfId="457" xr:uid="{00000000-0005-0000-0000-0000AE1A0000}"/>
    <cellStyle name="Normal 5 4 2 10" xfId="9054" xr:uid="{6CB6B4CD-1F84-4FB6-BC4C-E0D4000FBF22}"/>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E8BEA039-112F-4FF5-BADB-FAC087E95042}"/>
    <cellStyle name="Normal 5 4 2 2 2 2 2 3" xfId="11614" xr:uid="{6207069F-F005-4B29-AA72-A62BEDDBA6EF}"/>
    <cellStyle name="Normal 5 4 2 2 2 2 3" xfId="5245" xr:uid="{00000000-0005-0000-0000-0000B41A0000}"/>
    <cellStyle name="Normal 5 4 2 2 2 2 3 2" xfId="13687" xr:uid="{1590AAFC-54DF-44A3-9C74-32BE1B6A93D9}"/>
    <cellStyle name="Normal 5 4 2 2 2 2 4" xfId="9469" xr:uid="{E512250B-A558-425F-9DC7-93FA23BF7068}"/>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F6B45642-1CCD-4EAE-8BB4-751C0A4CEF59}"/>
    <cellStyle name="Normal 5 4 2 2 2 3 2 3" xfId="12027" xr:uid="{1EF373E3-D3FA-4179-8A35-6BABE76A2647}"/>
    <cellStyle name="Normal 5 4 2 2 2 3 3" xfId="5658" xr:uid="{00000000-0005-0000-0000-0000B81A0000}"/>
    <cellStyle name="Normal 5 4 2 2 2 3 3 2" xfId="14100" xr:uid="{D3001B6B-E181-445D-A34D-72E3CAB99FDD}"/>
    <cellStyle name="Normal 5 4 2 2 2 3 4" xfId="9882" xr:uid="{09D2D123-147F-4852-B793-20AC60674721}"/>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D1E1DA94-EC6B-458B-9759-7CFCDB6C400E}"/>
    <cellStyle name="Normal 5 4 2 2 2 4 2 3" xfId="12440" xr:uid="{52EFC05C-9E5E-48B2-ABAA-C5DC129120BE}"/>
    <cellStyle name="Normal 5 4 2 2 2 4 3" xfId="6071" xr:uid="{00000000-0005-0000-0000-0000BC1A0000}"/>
    <cellStyle name="Normal 5 4 2 2 2 4 3 2" xfId="14513" xr:uid="{52FB90C2-0DC8-48E7-95FC-1A0DD5E90516}"/>
    <cellStyle name="Normal 5 4 2 2 2 4 4" xfId="10295" xr:uid="{F31BCC87-21B4-482B-A2D3-8F75335512FE}"/>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429C4E04-8611-4F03-B4A5-CA06DF3DE3C3}"/>
    <cellStyle name="Normal 5 4 2 2 2 5 2 3" xfId="12853" xr:uid="{25FEE298-DF96-4372-AC33-A600AAE04D90}"/>
    <cellStyle name="Normal 5 4 2 2 2 5 3" xfId="6484" xr:uid="{00000000-0005-0000-0000-0000C01A0000}"/>
    <cellStyle name="Normal 5 4 2 2 2 5 3 2" xfId="14926" xr:uid="{679BADB1-01D7-481D-AAFF-EFC3368E1E08}"/>
    <cellStyle name="Normal 5 4 2 2 2 5 4" xfId="10708" xr:uid="{903D35E4-9C74-4148-B272-F703443D85DB}"/>
    <cellStyle name="Normal 5 4 2 2 2 6" xfId="2613" xr:uid="{00000000-0005-0000-0000-0000C11A0000}"/>
    <cellStyle name="Normal 5 4 2 2 2 6 2" xfId="6897" xr:uid="{00000000-0005-0000-0000-0000C21A0000}"/>
    <cellStyle name="Normal 5 4 2 2 2 6 2 2" xfId="15339" xr:uid="{7A9F06A3-0924-4531-91EB-99C4D964A8EE}"/>
    <cellStyle name="Normal 5 4 2 2 2 6 3" xfId="11121" xr:uid="{8489319B-34A0-4D5F-A871-BB4CBFFC8266}"/>
    <cellStyle name="Normal 5 4 2 2 2 7" xfId="4832" xr:uid="{00000000-0005-0000-0000-0000C31A0000}"/>
    <cellStyle name="Normal 5 4 2 2 2 7 2" xfId="13274" xr:uid="{16B5EB2E-AA2D-42E9-B81E-539F79F77981}"/>
    <cellStyle name="Normal 5 4 2 2 2 8" xfId="9056" xr:uid="{DE10006F-305D-48B3-A743-06F3843030F6}"/>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94D26A73-2133-4BCE-8C31-A3FCC009FFF9}"/>
    <cellStyle name="Normal 5 4 2 2 3 2 3" xfId="11613" xr:uid="{BB0CA370-EF09-452A-872A-78C2886F15A2}"/>
    <cellStyle name="Normal 5 4 2 2 3 3" xfId="5244" xr:uid="{00000000-0005-0000-0000-0000C71A0000}"/>
    <cellStyle name="Normal 5 4 2 2 3 3 2" xfId="13686" xr:uid="{3B9E27A8-450F-402E-A666-7D7B55F815E4}"/>
    <cellStyle name="Normal 5 4 2 2 3 4" xfId="9468" xr:uid="{37321514-12DC-4230-ACA7-5782B88CB652}"/>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EA5CBC28-CDED-415E-973E-AB6E7FB5C218}"/>
    <cellStyle name="Normal 5 4 2 2 4 2 3" xfId="12026" xr:uid="{07381C2E-6C01-4FB7-B409-F6A65261ACBE}"/>
    <cellStyle name="Normal 5 4 2 2 4 3" xfId="5657" xr:uid="{00000000-0005-0000-0000-0000CB1A0000}"/>
    <cellStyle name="Normal 5 4 2 2 4 3 2" xfId="14099" xr:uid="{CF994163-CA9B-47CB-88A4-46C447B87899}"/>
    <cellStyle name="Normal 5 4 2 2 4 4" xfId="9881" xr:uid="{C9B5CB2D-EFAD-4D6C-A360-EA5EEA35C197}"/>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AC986EE6-6395-4DC0-8650-9CA1B41068E3}"/>
    <cellStyle name="Normal 5 4 2 2 5 2 3" xfId="12439" xr:uid="{27570C16-6125-4B64-8C69-352E1CD24ECA}"/>
    <cellStyle name="Normal 5 4 2 2 5 3" xfId="6070" xr:uid="{00000000-0005-0000-0000-0000CF1A0000}"/>
    <cellStyle name="Normal 5 4 2 2 5 3 2" xfId="14512" xr:uid="{F20FAE15-7E09-4C94-8CE3-B31E5F150333}"/>
    <cellStyle name="Normal 5 4 2 2 5 4" xfId="10294" xr:uid="{701C21E8-0323-47D2-8A45-9300F976B298}"/>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EC86915B-F4CC-426F-A0B3-91BAFB71533F}"/>
    <cellStyle name="Normal 5 4 2 2 6 2 3" xfId="12852" xr:uid="{10A4E9A9-CE18-4F62-8837-88B5CA603B6F}"/>
    <cellStyle name="Normal 5 4 2 2 6 3" xfId="6483" xr:uid="{00000000-0005-0000-0000-0000D31A0000}"/>
    <cellStyle name="Normal 5 4 2 2 6 3 2" xfId="14925" xr:uid="{422EA631-1C9A-4F92-A8E0-E7C8509F14ED}"/>
    <cellStyle name="Normal 5 4 2 2 6 4" xfId="10707" xr:uid="{8BE4DFB3-BE1F-4743-8AF9-AFAB37C97778}"/>
    <cellStyle name="Normal 5 4 2 2 7" xfId="2612" xr:uid="{00000000-0005-0000-0000-0000D41A0000}"/>
    <cellStyle name="Normal 5 4 2 2 7 2" xfId="6896" xr:uid="{00000000-0005-0000-0000-0000D51A0000}"/>
    <cellStyle name="Normal 5 4 2 2 7 2 2" xfId="15338" xr:uid="{A8B16867-7475-4B8E-81C6-24E0718D78B7}"/>
    <cellStyle name="Normal 5 4 2 2 7 3" xfId="11120" xr:uid="{472C0007-C5DE-4ACE-BD4E-9BE92B50CCDD}"/>
    <cellStyle name="Normal 5 4 2 2 8" xfId="4831" xr:uid="{00000000-0005-0000-0000-0000D61A0000}"/>
    <cellStyle name="Normal 5 4 2 2 8 2" xfId="13273" xr:uid="{F28F9B26-ABCE-4D48-A4C7-286606A9A2BB}"/>
    <cellStyle name="Normal 5 4 2 2 9" xfId="9055" xr:uid="{61A99D7B-1B93-4A7C-9BDE-82594157FBC9}"/>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0CAE1D1F-AF78-4C43-B40A-A752AE1C4052}"/>
    <cellStyle name="Normal 5 4 2 3 2 2 3" xfId="11615" xr:uid="{0C4708EA-75E0-48CB-8727-CE2025C86B87}"/>
    <cellStyle name="Normal 5 4 2 3 2 3" xfId="5246" xr:uid="{00000000-0005-0000-0000-0000DB1A0000}"/>
    <cellStyle name="Normal 5 4 2 3 2 3 2" xfId="13688" xr:uid="{A61290E7-5AF7-4F32-B094-189B62C4021E}"/>
    <cellStyle name="Normal 5 4 2 3 2 4" xfId="9470" xr:uid="{0195DDE6-DF76-4F41-A048-36A82E91F2A8}"/>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A4869E49-6277-432D-A117-81EED23C43BC}"/>
    <cellStyle name="Normal 5 4 2 3 3 2 3" xfId="12028" xr:uid="{0A0ECCB4-C194-481A-AD25-7A4372BEC909}"/>
    <cellStyle name="Normal 5 4 2 3 3 3" xfId="5659" xr:uid="{00000000-0005-0000-0000-0000DF1A0000}"/>
    <cellStyle name="Normal 5 4 2 3 3 3 2" xfId="14101" xr:uid="{E55ABC59-3A1B-4233-BFFB-44D68CCAE184}"/>
    <cellStyle name="Normal 5 4 2 3 3 4" xfId="9883" xr:uid="{6B4EA9F8-AE92-4A0E-9853-E9582E169AA2}"/>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AC89B5F3-A487-490A-9595-9A9AFDE26B21}"/>
    <cellStyle name="Normal 5 4 2 3 4 2 3" xfId="12441" xr:uid="{BC9B2024-B989-41E1-A033-8A8BF4FBA505}"/>
    <cellStyle name="Normal 5 4 2 3 4 3" xfId="6072" xr:uid="{00000000-0005-0000-0000-0000E31A0000}"/>
    <cellStyle name="Normal 5 4 2 3 4 3 2" xfId="14514" xr:uid="{15E679F0-B836-4739-B157-08A1A5FAB52E}"/>
    <cellStyle name="Normal 5 4 2 3 4 4" xfId="10296" xr:uid="{0DF27839-C832-41CF-BA97-9B2BBAD0911E}"/>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CDB051A7-F874-4518-8993-D0E5FCAA2B87}"/>
    <cellStyle name="Normal 5 4 2 3 5 2 3" xfId="12854" xr:uid="{A75542D2-5FFE-4EF0-9E58-00C1EC1143C3}"/>
    <cellStyle name="Normal 5 4 2 3 5 3" xfId="6485" xr:uid="{00000000-0005-0000-0000-0000E71A0000}"/>
    <cellStyle name="Normal 5 4 2 3 5 3 2" xfId="14927" xr:uid="{17CBB984-ECD2-456A-A475-8032D217CCCA}"/>
    <cellStyle name="Normal 5 4 2 3 5 4" xfId="10709" xr:uid="{95EDF1A3-C5BC-4A8F-945A-D59190D053C0}"/>
    <cellStyle name="Normal 5 4 2 3 6" xfId="2614" xr:uid="{00000000-0005-0000-0000-0000E81A0000}"/>
    <cellStyle name="Normal 5 4 2 3 6 2" xfId="6898" xr:uid="{00000000-0005-0000-0000-0000E91A0000}"/>
    <cellStyle name="Normal 5 4 2 3 6 2 2" xfId="15340" xr:uid="{DC581514-ABEB-4D48-B8D6-7411B7FCEDE4}"/>
    <cellStyle name="Normal 5 4 2 3 6 3" xfId="11122" xr:uid="{480FE5E8-DC04-4B5A-8B5A-8ECB3825BF49}"/>
    <cellStyle name="Normal 5 4 2 3 7" xfId="4833" xr:uid="{00000000-0005-0000-0000-0000EA1A0000}"/>
    <cellStyle name="Normal 5 4 2 3 7 2" xfId="13275" xr:uid="{4BF9A06E-8D9F-4C51-B86D-25BC10E11206}"/>
    <cellStyle name="Normal 5 4 2 3 8" xfId="9057" xr:uid="{A147E57F-A7A2-4709-BBBC-E8B98CF5D56C}"/>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195D791A-F418-41C1-A7B9-74F2EBDA01CF}"/>
    <cellStyle name="Normal 5 4 2 4 2 3" xfId="11612" xr:uid="{1045B49B-23CB-4031-BCAE-FA05CBF216B4}"/>
    <cellStyle name="Normal 5 4 2 4 3" xfId="5243" xr:uid="{00000000-0005-0000-0000-0000EE1A0000}"/>
    <cellStyle name="Normal 5 4 2 4 3 2" xfId="13685" xr:uid="{AD3DE687-A104-4C5B-832C-72639E1E1F4B}"/>
    <cellStyle name="Normal 5 4 2 4 4" xfId="9467" xr:uid="{335B3995-96B3-4F57-99BF-E5D6D3700F12}"/>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D751E3D3-46DF-44BF-B280-35170AACB96B}"/>
    <cellStyle name="Normal 5 4 2 5 2 3" xfId="12025" xr:uid="{AA86DA35-7096-4D6D-84A1-F4D2060A7CFD}"/>
    <cellStyle name="Normal 5 4 2 5 3" xfId="5656" xr:uid="{00000000-0005-0000-0000-0000F21A0000}"/>
    <cellStyle name="Normal 5 4 2 5 3 2" xfId="14098" xr:uid="{714E693E-75BE-4A7F-BC39-3C8EC95F7D4B}"/>
    <cellStyle name="Normal 5 4 2 5 4" xfId="9880" xr:uid="{49EDB3A7-4744-4359-9038-1CA16100C632}"/>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8F7CDF0E-DFD7-495B-9680-EE1B0C89FC06}"/>
    <cellStyle name="Normal 5 4 2 6 2 3" xfId="12438" xr:uid="{E4CDBAB2-C606-4ADB-982D-DB4058478178}"/>
    <cellStyle name="Normal 5 4 2 6 3" xfId="6069" xr:uid="{00000000-0005-0000-0000-0000F61A0000}"/>
    <cellStyle name="Normal 5 4 2 6 3 2" xfId="14511" xr:uid="{65052569-7268-4E86-8394-CFBF364C04AE}"/>
    <cellStyle name="Normal 5 4 2 6 4" xfId="10293" xr:uid="{5607AC37-6E1B-404F-A96D-27F916B679EE}"/>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CD02F6A6-A82E-4E01-940A-03769BDA1528}"/>
    <cellStyle name="Normal 5 4 2 7 2 3" xfId="12851" xr:uid="{B199C60A-00B6-46A0-B784-EF3A460A82A3}"/>
    <cellStyle name="Normal 5 4 2 7 3" xfId="6482" xr:uid="{00000000-0005-0000-0000-0000FA1A0000}"/>
    <cellStyle name="Normal 5 4 2 7 3 2" xfId="14924" xr:uid="{C6582A41-0805-44B9-908D-A8B7F4B3AFBB}"/>
    <cellStyle name="Normal 5 4 2 7 4" xfId="10706" xr:uid="{076687A0-C42C-40F8-BA41-67FD4D502A20}"/>
    <cellStyle name="Normal 5 4 2 8" xfId="2611" xr:uid="{00000000-0005-0000-0000-0000FB1A0000}"/>
    <cellStyle name="Normal 5 4 2 8 2" xfId="6895" xr:uid="{00000000-0005-0000-0000-0000FC1A0000}"/>
    <cellStyle name="Normal 5 4 2 8 2 2" xfId="15337" xr:uid="{CC604A74-7852-43F6-9C91-C1E186A0C717}"/>
    <cellStyle name="Normal 5 4 2 8 3" xfId="11119" xr:uid="{A020BB67-CC25-4AFA-AC17-53F36C8A1779}"/>
    <cellStyle name="Normal 5 4 2 9" xfId="4830" xr:uid="{00000000-0005-0000-0000-0000FD1A0000}"/>
    <cellStyle name="Normal 5 4 2 9 2" xfId="13272" xr:uid="{4CD240A9-0E26-4A2E-84DC-C7CCF5595AC4}"/>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88C4F15A-7FF5-47E6-8589-13132018A5A4}"/>
    <cellStyle name="Normal 5 4 3 2 2 2 3" xfId="11617" xr:uid="{806D0AC3-E7D7-4F19-8616-01666C4EF600}"/>
    <cellStyle name="Normal 5 4 3 2 2 3" xfId="5248" xr:uid="{00000000-0005-0000-0000-0000031B0000}"/>
    <cellStyle name="Normal 5 4 3 2 2 3 2" xfId="13690" xr:uid="{0B77A433-14C9-4183-A504-47F251741F77}"/>
    <cellStyle name="Normal 5 4 3 2 2 4" xfId="9472" xr:uid="{A0CA7073-B078-4BA2-9664-9BC81E0A05AE}"/>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13F1F1FC-4C63-4CDE-99FC-F991636B4FD8}"/>
    <cellStyle name="Normal 5 4 3 2 3 2 3" xfId="12030" xr:uid="{F7EFB30B-EC1E-4664-BDF4-EE1C580A3CEB}"/>
    <cellStyle name="Normal 5 4 3 2 3 3" xfId="5661" xr:uid="{00000000-0005-0000-0000-0000071B0000}"/>
    <cellStyle name="Normal 5 4 3 2 3 3 2" xfId="14103" xr:uid="{6FA68996-F6B4-4624-BBD3-27EFF33672A9}"/>
    <cellStyle name="Normal 5 4 3 2 3 4" xfId="9885" xr:uid="{DE7EAFFC-6983-4BC8-B5D3-23781612B869}"/>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A317B155-117B-4855-9C48-8EFE9DA5C987}"/>
    <cellStyle name="Normal 5 4 3 2 4 2 3" xfId="12443" xr:uid="{F42393A6-8047-458B-8F11-E88FD082D626}"/>
    <cellStyle name="Normal 5 4 3 2 4 3" xfId="6074" xr:uid="{00000000-0005-0000-0000-00000B1B0000}"/>
    <cellStyle name="Normal 5 4 3 2 4 3 2" xfId="14516" xr:uid="{78D6C79F-7DDA-4702-B040-E15ADBEF0E00}"/>
    <cellStyle name="Normal 5 4 3 2 4 4" xfId="10298" xr:uid="{01AD30C7-F041-41A3-9262-B1A8575CEC8F}"/>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BE29C67C-5D75-4CE8-A4DC-88D8E0B9DF62}"/>
    <cellStyle name="Normal 5 4 3 2 5 2 3" xfId="12856" xr:uid="{859094FB-BCCA-4382-96BB-9986737DAA8D}"/>
    <cellStyle name="Normal 5 4 3 2 5 3" xfId="6487" xr:uid="{00000000-0005-0000-0000-00000F1B0000}"/>
    <cellStyle name="Normal 5 4 3 2 5 3 2" xfId="14929" xr:uid="{6CCF6AEB-5AF6-43AF-9496-B0B22222600C}"/>
    <cellStyle name="Normal 5 4 3 2 5 4" xfId="10711" xr:uid="{86778883-3672-480C-A42B-C8DB936A6ABA}"/>
    <cellStyle name="Normal 5 4 3 2 6" xfId="2616" xr:uid="{00000000-0005-0000-0000-0000101B0000}"/>
    <cellStyle name="Normal 5 4 3 2 6 2" xfId="6900" xr:uid="{00000000-0005-0000-0000-0000111B0000}"/>
    <cellStyle name="Normal 5 4 3 2 6 2 2" xfId="15342" xr:uid="{17762407-3F66-4444-9826-1E0F2619E137}"/>
    <cellStyle name="Normal 5 4 3 2 6 3" xfId="11124" xr:uid="{E7BF5DB5-9967-4B4B-A57E-BF65C4CE0C7A}"/>
    <cellStyle name="Normal 5 4 3 2 7" xfId="4835" xr:uid="{00000000-0005-0000-0000-0000121B0000}"/>
    <cellStyle name="Normal 5 4 3 2 7 2" xfId="13277" xr:uid="{AEDB5D32-54A7-4BC1-A54B-EF7114CF7D4F}"/>
    <cellStyle name="Normal 5 4 3 2 8" xfId="9059" xr:uid="{2CEA602A-B54C-45B4-90DA-A7019C6F220D}"/>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32260145-72E7-411E-9EEF-EDEC5A502CAA}"/>
    <cellStyle name="Normal 5 4 3 3 2 3" xfId="11616" xr:uid="{69783A81-1DB5-4466-AF97-8FE9C6A24E63}"/>
    <cellStyle name="Normal 5 4 3 3 3" xfId="5247" xr:uid="{00000000-0005-0000-0000-0000161B0000}"/>
    <cellStyle name="Normal 5 4 3 3 3 2" xfId="13689" xr:uid="{FC571891-AA6C-4F19-9179-F9237CCD729E}"/>
    <cellStyle name="Normal 5 4 3 3 4" xfId="9471" xr:uid="{3C37745A-D01D-4EA9-9C69-CCD0F2C5AABA}"/>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B123BDC1-CA2C-4C99-A817-3F33EAF59497}"/>
    <cellStyle name="Normal 5 4 3 4 2 3" xfId="12029" xr:uid="{DB838985-1A7A-49AF-86FC-9C4054CC888A}"/>
    <cellStyle name="Normal 5 4 3 4 3" xfId="5660" xr:uid="{00000000-0005-0000-0000-00001A1B0000}"/>
    <cellStyle name="Normal 5 4 3 4 3 2" xfId="14102" xr:uid="{B632968F-D9CF-4135-B367-44851293779D}"/>
    <cellStyle name="Normal 5 4 3 4 4" xfId="9884" xr:uid="{0ECC3228-3BC6-400D-B7C4-24F93DA5ADDF}"/>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A20A9965-8A81-4D66-B212-DE5FFD022CB3}"/>
    <cellStyle name="Normal 5 4 3 5 2 3" xfId="12442" xr:uid="{589BF614-E405-4065-8F14-003997E76203}"/>
    <cellStyle name="Normal 5 4 3 5 3" xfId="6073" xr:uid="{00000000-0005-0000-0000-00001E1B0000}"/>
    <cellStyle name="Normal 5 4 3 5 3 2" xfId="14515" xr:uid="{02815FD6-B2D2-4FF0-9665-7A8260553481}"/>
    <cellStyle name="Normal 5 4 3 5 4" xfId="10297" xr:uid="{BB7B96D6-85FB-4237-B5FF-B59409EB4B70}"/>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F16E01D9-655A-4116-BAE4-CE33CBF2D776}"/>
    <cellStyle name="Normal 5 4 3 6 2 3" xfId="12855" xr:uid="{AE6C4C5A-832E-43C2-BE2F-ADE7D0F3FFA0}"/>
    <cellStyle name="Normal 5 4 3 6 3" xfId="6486" xr:uid="{00000000-0005-0000-0000-0000221B0000}"/>
    <cellStyle name="Normal 5 4 3 6 3 2" xfId="14928" xr:uid="{D669DCED-0EC9-4F37-B409-FDC54FA15120}"/>
    <cellStyle name="Normal 5 4 3 6 4" xfId="10710" xr:uid="{2EB5E3C8-8336-4B84-A892-5F24A1E7BE89}"/>
    <cellStyle name="Normal 5 4 3 7" xfId="2615" xr:uid="{00000000-0005-0000-0000-0000231B0000}"/>
    <cellStyle name="Normal 5 4 3 7 2" xfId="6899" xr:uid="{00000000-0005-0000-0000-0000241B0000}"/>
    <cellStyle name="Normal 5 4 3 7 2 2" xfId="15341" xr:uid="{B4A02757-EC3C-4A00-82C1-36EA11DE7EE8}"/>
    <cellStyle name="Normal 5 4 3 7 3" xfId="11123" xr:uid="{C147B65F-60C2-46F5-9A55-70F34B9D0525}"/>
    <cellStyle name="Normal 5 4 3 8" xfId="4834" xr:uid="{00000000-0005-0000-0000-0000251B0000}"/>
    <cellStyle name="Normal 5 4 3 8 2" xfId="13276" xr:uid="{411DA8E6-E84A-4F84-A3D4-F0EC36680091}"/>
    <cellStyle name="Normal 5 4 3 9" xfId="9058" xr:uid="{13174726-C344-42A9-9ED7-5CCA8BC3C768}"/>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21D598F0-0E8D-4834-974E-56DE3C175BD3}"/>
    <cellStyle name="Normal 5 4 4 2 2 3" xfId="11618" xr:uid="{B4ED95E2-E507-4A3D-AE5B-4BC753CF6FD4}"/>
    <cellStyle name="Normal 5 4 4 2 3" xfId="5249" xr:uid="{00000000-0005-0000-0000-00002A1B0000}"/>
    <cellStyle name="Normal 5 4 4 2 3 2" xfId="13691" xr:uid="{B5D49242-3D92-41CF-B4E7-8E91FDA1178C}"/>
    <cellStyle name="Normal 5 4 4 2 4" xfId="9473" xr:uid="{1622CF8C-BAB5-4344-B5B8-F4F483DC9EF9}"/>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97C5DD2D-D277-4518-84E4-74205C967C84}"/>
    <cellStyle name="Normal 5 4 4 3 2 3" xfId="12031" xr:uid="{3CAE1308-AC8D-4197-9A82-2A4468967981}"/>
    <cellStyle name="Normal 5 4 4 3 3" xfId="5662" xr:uid="{00000000-0005-0000-0000-00002E1B0000}"/>
    <cellStyle name="Normal 5 4 4 3 3 2" xfId="14104" xr:uid="{33FE89D9-30FD-43DB-8285-1286016A9E22}"/>
    <cellStyle name="Normal 5 4 4 3 4" xfId="9886" xr:uid="{AB9C976A-1863-4B8A-B70F-EDFDA08DB61D}"/>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279DF8EB-7E87-49EF-9E43-D8FDB04436CA}"/>
    <cellStyle name="Normal 5 4 4 4 2 3" xfId="12444" xr:uid="{BDD4E976-58F3-4E6E-8643-124977E329CC}"/>
    <cellStyle name="Normal 5 4 4 4 3" xfId="6075" xr:uid="{00000000-0005-0000-0000-0000321B0000}"/>
    <cellStyle name="Normal 5 4 4 4 3 2" xfId="14517" xr:uid="{C0262D0B-C1FE-438D-9C93-ECFE0E6F2B7B}"/>
    <cellStyle name="Normal 5 4 4 4 4" xfId="10299" xr:uid="{E2FF5A3A-3814-42C9-A4B4-CE429B196091}"/>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4B0CCF18-BB69-4AB9-9D29-B0E9FBABEE78}"/>
    <cellStyle name="Normal 5 4 4 5 2 3" xfId="12857" xr:uid="{9B0155DF-49EF-450D-8EDF-495B247544A4}"/>
    <cellStyle name="Normal 5 4 4 5 3" xfId="6488" xr:uid="{00000000-0005-0000-0000-0000361B0000}"/>
    <cellStyle name="Normal 5 4 4 5 3 2" xfId="14930" xr:uid="{56E9CDF7-3FC3-44FC-BB0F-B83D007EBDC3}"/>
    <cellStyle name="Normal 5 4 4 5 4" xfId="10712" xr:uid="{3D25BBDF-130C-48ED-8590-28946EEC1586}"/>
    <cellStyle name="Normal 5 4 4 6" xfId="2617" xr:uid="{00000000-0005-0000-0000-0000371B0000}"/>
    <cellStyle name="Normal 5 4 4 6 2" xfId="6901" xr:uid="{00000000-0005-0000-0000-0000381B0000}"/>
    <cellStyle name="Normal 5 4 4 6 2 2" xfId="15343" xr:uid="{8A64F6A3-4C15-41B6-8065-FE7656381530}"/>
    <cellStyle name="Normal 5 4 4 6 3" xfId="11125" xr:uid="{2EE72778-E5A7-4A5D-BC82-6DE205CD3F1C}"/>
    <cellStyle name="Normal 5 4 4 7" xfId="4836" xr:uid="{00000000-0005-0000-0000-0000391B0000}"/>
    <cellStyle name="Normal 5 4 4 7 2" xfId="13278" xr:uid="{8AAE2ECF-45F2-4DD4-9714-BF5907146694}"/>
    <cellStyle name="Normal 5 4 4 8" xfId="9060" xr:uid="{B4631853-8F0D-46B8-83F0-D73DF62940AF}"/>
    <cellStyle name="Normal 5 4 5" xfId="930" xr:uid="{00000000-0005-0000-0000-00003A1B0000}"/>
    <cellStyle name="Normal 5 4 5 2" xfId="3164" xr:uid="{00000000-0005-0000-0000-00003B1B0000}"/>
    <cellStyle name="Normal 5 4 5 2 2" xfId="7387" xr:uid="{00000000-0005-0000-0000-00003C1B0000}"/>
    <cellStyle name="Normal 5 4 5 2 2 2" xfId="15829" xr:uid="{CB9D454A-8F46-4E41-86CD-23EA3D46B830}"/>
    <cellStyle name="Normal 5 4 5 2 3" xfId="11611" xr:uid="{F83D263D-ABAD-44B7-BF17-25A23CBF969B}"/>
    <cellStyle name="Normal 5 4 5 3" xfId="5242" xr:uid="{00000000-0005-0000-0000-00003D1B0000}"/>
    <cellStyle name="Normal 5 4 5 3 2" xfId="13684" xr:uid="{7445EA86-0106-4B27-AA23-260C22DE57BC}"/>
    <cellStyle name="Normal 5 4 5 4" xfId="9466" xr:uid="{9C7FA233-6519-4212-BFCA-CFA5218DF8FB}"/>
    <cellStyle name="Normal 5 4 6" xfId="1347" xr:uid="{00000000-0005-0000-0000-00003E1B0000}"/>
    <cellStyle name="Normal 5 4 6 2" xfId="3577" xr:uid="{00000000-0005-0000-0000-00003F1B0000}"/>
    <cellStyle name="Normal 5 4 6 2 2" xfId="7800" xr:uid="{00000000-0005-0000-0000-0000401B0000}"/>
    <cellStyle name="Normal 5 4 6 2 2 2" xfId="16242" xr:uid="{2AC7E7AB-2848-4976-915D-884DA5264C1C}"/>
    <cellStyle name="Normal 5 4 6 2 3" xfId="12024" xr:uid="{DB12CB19-C304-4765-A99B-45F1E73B9E0D}"/>
    <cellStyle name="Normal 5 4 6 3" xfId="5655" xr:uid="{00000000-0005-0000-0000-0000411B0000}"/>
    <cellStyle name="Normal 5 4 6 3 2" xfId="14097" xr:uid="{5704B350-00AD-4259-B405-4CD6CD8FCF79}"/>
    <cellStyle name="Normal 5 4 6 4" xfId="9879" xr:uid="{5103E437-0BE4-4BB7-A080-DD061C2FECB3}"/>
    <cellStyle name="Normal 5 4 7" xfId="1760" xr:uid="{00000000-0005-0000-0000-0000421B0000}"/>
    <cellStyle name="Normal 5 4 7 2" xfId="3990" xr:uid="{00000000-0005-0000-0000-0000431B0000}"/>
    <cellStyle name="Normal 5 4 7 2 2" xfId="8213" xr:uid="{00000000-0005-0000-0000-0000441B0000}"/>
    <cellStyle name="Normal 5 4 7 2 2 2" xfId="16655" xr:uid="{B85A1149-B758-4199-951E-B0E5F294D4ED}"/>
    <cellStyle name="Normal 5 4 7 2 3" xfId="12437" xr:uid="{A105E155-3EE0-44FA-B69A-0A17B739D5F5}"/>
    <cellStyle name="Normal 5 4 7 3" xfId="6068" xr:uid="{00000000-0005-0000-0000-0000451B0000}"/>
    <cellStyle name="Normal 5 4 7 3 2" xfId="14510" xr:uid="{C109D822-7D7E-4370-96DA-D6476257ED89}"/>
    <cellStyle name="Normal 5 4 7 4" xfId="10292" xr:uid="{1A2AAFD5-47AE-4AD5-B6EE-CEE9E7D3D135}"/>
    <cellStyle name="Normal 5 4 8" xfId="2174" xr:uid="{00000000-0005-0000-0000-0000461B0000}"/>
    <cellStyle name="Normal 5 4 8 2" xfId="4403" xr:uid="{00000000-0005-0000-0000-0000471B0000}"/>
    <cellStyle name="Normal 5 4 8 2 2" xfId="8626" xr:uid="{00000000-0005-0000-0000-0000481B0000}"/>
    <cellStyle name="Normal 5 4 8 2 2 2" xfId="17068" xr:uid="{FD023B17-30C5-46D0-8BDF-65160E2553BD}"/>
    <cellStyle name="Normal 5 4 8 2 3" xfId="12850" xr:uid="{8DBF557C-5621-4D56-AD73-84F683FD65DD}"/>
    <cellStyle name="Normal 5 4 8 3" xfId="6481" xr:uid="{00000000-0005-0000-0000-0000491B0000}"/>
    <cellStyle name="Normal 5 4 8 3 2" xfId="14923" xr:uid="{2EA49716-2946-4669-9AB8-AD1C74204965}"/>
    <cellStyle name="Normal 5 4 8 4" xfId="10705" xr:uid="{7E700115-8F29-4BFA-9114-280105C9A950}"/>
    <cellStyle name="Normal 5 4 9" xfId="2610" xr:uid="{00000000-0005-0000-0000-00004A1B0000}"/>
    <cellStyle name="Normal 5 4 9 2" xfId="6894" xr:uid="{00000000-0005-0000-0000-00004B1B0000}"/>
    <cellStyle name="Normal 5 4 9 2 2" xfId="15336" xr:uid="{B8C010FC-62C4-4476-A5FE-3BCABD32D682}"/>
    <cellStyle name="Normal 5 4 9 3" xfId="11118" xr:uid="{6966555D-61BE-401A-A727-DAF5ADE77C80}"/>
    <cellStyle name="Normal 5 5" xfId="464" xr:uid="{00000000-0005-0000-0000-00004C1B0000}"/>
    <cellStyle name="Normal 5 5 10" xfId="9061" xr:uid="{C37D55DD-D6C2-42FE-9F01-398EFD0B72E5}"/>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5B9BB303-DFB9-4BCE-86DC-150517428F2A}"/>
    <cellStyle name="Normal 5 5 2 2 2 2 3" xfId="11621" xr:uid="{D597316C-96E9-430F-9460-4D3A847405CB}"/>
    <cellStyle name="Normal 5 5 2 2 2 3" xfId="5252" xr:uid="{00000000-0005-0000-0000-0000521B0000}"/>
    <cellStyle name="Normal 5 5 2 2 2 3 2" xfId="13694" xr:uid="{9B7E0994-0D55-404B-A007-E9BCB312089B}"/>
    <cellStyle name="Normal 5 5 2 2 2 4" xfId="9476" xr:uid="{9AF6052C-8DBE-4EBA-A7CA-083C45337109}"/>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A5FBBA27-2FAA-4D7F-93E9-2C52FC413A67}"/>
    <cellStyle name="Normal 5 5 2 2 3 2 3" xfId="12034" xr:uid="{797699C8-B7B0-4CFD-92D4-62AD8B325EEE}"/>
    <cellStyle name="Normal 5 5 2 2 3 3" xfId="5665" xr:uid="{00000000-0005-0000-0000-0000561B0000}"/>
    <cellStyle name="Normal 5 5 2 2 3 3 2" xfId="14107" xr:uid="{45481252-57A7-46E6-B20E-94449C91B089}"/>
    <cellStyle name="Normal 5 5 2 2 3 4" xfId="9889" xr:uid="{096E9EF7-FA1F-4CAC-8A99-4ED7E21EB996}"/>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352F8660-A0BE-473E-BDD3-9CA34330D4EC}"/>
    <cellStyle name="Normal 5 5 2 2 4 2 3" xfId="12447" xr:uid="{F46816E1-4AB9-42C3-98EE-431E7BF7E6D0}"/>
    <cellStyle name="Normal 5 5 2 2 4 3" xfId="6078" xr:uid="{00000000-0005-0000-0000-00005A1B0000}"/>
    <cellStyle name="Normal 5 5 2 2 4 3 2" xfId="14520" xr:uid="{436DB84D-71CB-4437-9149-DAC3968DD985}"/>
    <cellStyle name="Normal 5 5 2 2 4 4" xfId="10302" xr:uid="{C41FDB2C-3B2C-4B4F-B2F0-3089991399A7}"/>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1DA9BE77-CB72-409E-B71A-64AAF679FD50}"/>
    <cellStyle name="Normal 5 5 2 2 5 2 3" xfId="12860" xr:uid="{260BC2EF-2415-48DB-B417-379D0F419B64}"/>
    <cellStyle name="Normal 5 5 2 2 5 3" xfId="6491" xr:uid="{00000000-0005-0000-0000-00005E1B0000}"/>
    <cellStyle name="Normal 5 5 2 2 5 3 2" xfId="14933" xr:uid="{9356D1B3-8BAD-4D4F-B3FE-67B62DBCBC39}"/>
    <cellStyle name="Normal 5 5 2 2 5 4" xfId="10715" xr:uid="{A9C9ACD1-2353-43C7-8217-FBDD7FACD8CB}"/>
    <cellStyle name="Normal 5 5 2 2 6" xfId="2620" xr:uid="{00000000-0005-0000-0000-00005F1B0000}"/>
    <cellStyle name="Normal 5 5 2 2 6 2" xfId="6904" xr:uid="{00000000-0005-0000-0000-0000601B0000}"/>
    <cellStyle name="Normal 5 5 2 2 6 2 2" xfId="15346" xr:uid="{11B086B7-8C22-489A-A6B3-3D21848B502A}"/>
    <cellStyle name="Normal 5 5 2 2 6 3" xfId="11128" xr:uid="{63976DC3-E82B-4E33-985E-BC77B738ED6E}"/>
    <cellStyle name="Normal 5 5 2 2 7" xfId="4839" xr:uid="{00000000-0005-0000-0000-0000611B0000}"/>
    <cellStyle name="Normal 5 5 2 2 7 2" xfId="13281" xr:uid="{761770EB-6E42-4111-AD64-0E8CC7441351}"/>
    <cellStyle name="Normal 5 5 2 2 8" xfId="9063" xr:uid="{C2AADA79-BC27-4F87-92CD-022FE6D9F997}"/>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33B13157-9510-42DF-87D9-548C2730B785}"/>
    <cellStyle name="Normal 5 5 2 3 2 3" xfId="11620" xr:uid="{1459155A-F282-4C15-88E2-270B6986D920}"/>
    <cellStyle name="Normal 5 5 2 3 3" xfId="5251" xr:uid="{00000000-0005-0000-0000-0000651B0000}"/>
    <cellStyle name="Normal 5 5 2 3 3 2" xfId="13693" xr:uid="{B1226FDB-6525-43EB-A496-B9C0A613AB7D}"/>
    <cellStyle name="Normal 5 5 2 3 4" xfId="9475" xr:uid="{648E4A5C-B8AD-4388-BF75-FECE3F92DE67}"/>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D4A0D807-7023-4CB8-A7EE-653D21358A16}"/>
    <cellStyle name="Normal 5 5 2 4 2 3" xfId="12033" xr:uid="{DB605114-2697-43FF-B151-FACCD309F5DF}"/>
    <cellStyle name="Normal 5 5 2 4 3" xfId="5664" xr:uid="{00000000-0005-0000-0000-0000691B0000}"/>
    <cellStyle name="Normal 5 5 2 4 3 2" xfId="14106" xr:uid="{DD5E3196-0D4B-4E8F-84DD-798CC426C602}"/>
    <cellStyle name="Normal 5 5 2 4 4" xfId="9888" xr:uid="{2B4CB496-A909-4EB1-B737-A8EB8CFE3D2D}"/>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DEA363A4-56B6-40D8-939A-A1866F359A9E}"/>
    <cellStyle name="Normal 5 5 2 5 2 3" xfId="12446" xr:uid="{232288DE-72CB-4C4D-AB96-8E05965DC3F1}"/>
    <cellStyle name="Normal 5 5 2 5 3" xfId="6077" xr:uid="{00000000-0005-0000-0000-00006D1B0000}"/>
    <cellStyle name="Normal 5 5 2 5 3 2" xfId="14519" xr:uid="{E7140895-EBC9-405A-BA2D-D93BF82B3205}"/>
    <cellStyle name="Normal 5 5 2 5 4" xfId="10301" xr:uid="{33A377E4-D95E-443A-AC56-9A613E7D1B52}"/>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5F884E17-6DBC-47BD-9F83-3750F4FE9731}"/>
    <cellStyle name="Normal 5 5 2 6 2 3" xfId="12859" xr:uid="{64D42043-5120-4802-B841-4BF68C50FB2F}"/>
    <cellStyle name="Normal 5 5 2 6 3" xfId="6490" xr:uid="{00000000-0005-0000-0000-0000711B0000}"/>
    <cellStyle name="Normal 5 5 2 6 3 2" xfId="14932" xr:uid="{895DE940-AB7D-4A5E-868E-70DBBA0C07F9}"/>
    <cellStyle name="Normal 5 5 2 6 4" xfId="10714" xr:uid="{45076147-BD7E-4577-B78A-B42C1E788AF6}"/>
    <cellStyle name="Normal 5 5 2 7" xfId="2619" xr:uid="{00000000-0005-0000-0000-0000721B0000}"/>
    <cellStyle name="Normal 5 5 2 7 2" xfId="6903" xr:uid="{00000000-0005-0000-0000-0000731B0000}"/>
    <cellStyle name="Normal 5 5 2 7 2 2" xfId="15345" xr:uid="{A43CAE08-B777-4951-9448-CD00167C2A74}"/>
    <cellStyle name="Normal 5 5 2 7 3" xfId="11127" xr:uid="{2263A72F-205F-4E1D-A7EB-4EFF85166B9B}"/>
    <cellStyle name="Normal 5 5 2 8" xfId="4838" xr:uid="{00000000-0005-0000-0000-0000741B0000}"/>
    <cellStyle name="Normal 5 5 2 8 2" xfId="13280" xr:uid="{DEA9749C-1E11-4129-A1A8-3B914277DC51}"/>
    <cellStyle name="Normal 5 5 2 9" xfId="9062" xr:uid="{D46FD7B7-785A-4FE4-8B31-A7EFE2AC98D2}"/>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7BBD6CB0-A74B-4CD7-A473-76945D40690D}"/>
    <cellStyle name="Normal 5 5 3 2 2 3" xfId="11622" xr:uid="{2472753C-AE85-4663-AE12-C08F6BBA3AA3}"/>
    <cellStyle name="Normal 5 5 3 2 3" xfId="5253" xr:uid="{00000000-0005-0000-0000-0000791B0000}"/>
    <cellStyle name="Normal 5 5 3 2 3 2" xfId="13695" xr:uid="{6CFAE89B-F62A-48C6-8726-6AF15C70DFD0}"/>
    <cellStyle name="Normal 5 5 3 2 4" xfId="9477" xr:uid="{77CB3052-D1EB-4571-B9A4-89DB28442C9D}"/>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02603C0E-167D-473C-B995-65D813493544}"/>
    <cellStyle name="Normal 5 5 3 3 2 3" xfId="12035" xr:uid="{585749BA-FDE3-4DB8-BA41-4FEDD899CA53}"/>
    <cellStyle name="Normal 5 5 3 3 3" xfId="5666" xr:uid="{00000000-0005-0000-0000-00007D1B0000}"/>
    <cellStyle name="Normal 5 5 3 3 3 2" xfId="14108" xr:uid="{C931A680-869F-4202-83C6-EF9C04ECE26E}"/>
    <cellStyle name="Normal 5 5 3 3 4" xfId="9890" xr:uid="{F6B79457-2A3F-4EFA-AF92-61AE70107593}"/>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B0A735C5-CE81-4010-8926-5ED4FD552124}"/>
    <cellStyle name="Normal 5 5 3 4 2 3" xfId="12448" xr:uid="{4D7CD662-2666-4323-B9CA-452E14EC8C54}"/>
    <cellStyle name="Normal 5 5 3 4 3" xfId="6079" xr:uid="{00000000-0005-0000-0000-0000811B0000}"/>
    <cellStyle name="Normal 5 5 3 4 3 2" xfId="14521" xr:uid="{456EBD48-2CF4-450E-B3EE-8BE174DF877C}"/>
    <cellStyle name="Normal 5 5 3 4 4" xfId="10303" xr:uid="{41EE1721-5890-4DE1-80DD-8488A8C87F2A}"/>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87828657-33B1-481F-A6B8-B37E021867D8}"/>
    <cellStyle name="Normal 5 5 3 5 2 3" xfId="12861" xr:uid="{E81D91BC-89FC-4032-BC45-7EAD702AA102}"/>
    <cellStyle name="Normal 5 5 3 5 3" xfId="6492" xr:uid="{00000000-0005-0000-0000-0000851B0000}"/>
    <cellStyle name="Normal 5 5 3 5 3 2" xfId="14934" xr:uid="{F66BCEAF-7190-4A2D-8773-50F5DCCDE0EC}"/>
    <cellStyle name="Normal 5 5 3 5 4" xfId="10716" xr:uid="{5E799BF5-9D2D-4CBF-BCCB-DF099B5DF99D}"/>
    <cellStyle name="Normal 5 5 3 6" xfId="2621" xr:uid="{00000000-0005-0000-0000-0000861B0000}"/>
    <cellStyle name="Normal 5 5 3 6 2" xfId="6905" xr:uid="{00000000-0005-0000-0000-0000871B0000}"/>
    <cellStyle name="Normal 5 5 3 6 2 2" xfId="15347" xr:uid="{C5AE3065-9FD0-48FF-9E35-3F76BE781CC4}"/>
    <cellStyle name="Normal 5 5 3 6 3" xfId="11129" xr:uid="{CBC40A29-A48A-489C-B5F2-E106136EDB5D}"/>
    <cellStyle name="Normal 5 5 3 7" xfId="4840" xr:uid="{00000000-0005-0000-0000-0000881B0000}"/>
    <cellStyle name="Normal 5 5 3 7 2" xfId="13282" xr:uid="{738AC92A-E82B-4D0A-BE6C-6E6EE706BDAA}"/>
    <cellStyle name="Normal 5 5 3 8" xfId="9064" xr:uid="{2E041240-1311-4C58-8D0C-B6E6A8453615}"/>
    <cellStyle name="Normal 5 5 4" xfId="938" xr:uid="{00000000-0005-0000-0000-0000891B0000}"/>
    <cellStyle name="Normal 5 5 4 2" xfId="3172" xr:uid="{00000000-0005-0000-0000-00008A1B0000}"/>
    <cellStyle name="Normal 5 5 4 2 2" xfId="7395" xr:uid="{00000000-0005-0000-0000-00008B1B0000}"/>
    <cellStyle name="Normal 5 5 4 2 2 2" xfId="15837" xr:uid="{D9448F67-0030-4C54-AEDF-300479F880F7}"/>
    <cellStyle name="Normal 5 5 4 2 3" xfId="11619" xr:uid="{C0137A32-5D0E-42DC-9B04-1CE0A1F87D90}"/>
    <cellStyle name="Normal 5 5 4 3" xfId="5250" xr:uid="{00000000-0005-0000-0000-00008C1B0000}"/>
    <cellStyle name="Normal 5 5 4 3 2" xfId="13692" xr:uid="{7EF534E8-DDB9-43E5-AD6B-5A10DD0D87C3}"/>
    <cellStyle name="Normal 5 5 4 4" xfId="9474" xr:uid="{CBC294E9-4456-44D3-9085-EE65F05E1BFA}"/>
    <cellStyle name="Normal 5 5 5" xfId="1355" xr:uid="{00000000-0005-0000-0000-00008D1B0000}"/>
    <cellStyle name="Normal 5 5 5 2" xfId="3585" xr:uid="{00000000-0005-0000-0000-00008E1B0000}"/>
    <cellStyle name="Normal 5 5 5 2 2" xfId="7808" xr:uid="{00000000-0005-0000-0000-00008F1B0000}"/>
    <cellStyle name="Normal 5 5 5 2 2 2" xfId="16250" xr:uid="{4231A0ED-1A43-45C1-99B2-B3E1F66C8B61}"/>
    <cellStyle name="Normal 5 5 5 2 3" xfId="12032" xr:uid="{EDD2A132-D05B-4C2D-B439-6ACCE8C513B7}"/>
    <cellStyle name="Normal 5 5 5 3" xfId="5663" xr:uid="{00000000-0005-0000-0000-0000901B0000}"/>
    <cellStyle name="Normal 5 5 5 3 2" xfId="14105" xr:uid="{D6466FCE-9C0F-4161-B4BE-DFB1279D39F5}"/>
    <cellStyle name="Normal 5 5 5 4" xfId="9887" xr:uid="{4B46D3D5-CDCD-4819-8E82-8EA1A4701C75}"/>
    <cellStyle name="Normal 5 5 6" xfId="1768" xr:uid="{00000000-0005-0000-0000-0000911B0000}"/>
    <cellStyle name="Normal 5 5 6 2" xfId="3998" xr:uid="{00000000-0005-0000-0000-0000921B0000}"/>
    <cellStyle name="Normal 5 5 6 2 2" xfId="8221" xr:uid="{00000000-0005-0000-0000-0000931B0000}"/>
    <cellStyle name="Normal 5 5 6 2 2 2" xfId="16663" xr:uid="{34C3C9B6-9659-435E-8ED3-A329602F7667}"/>
    <cellStyle name="Normal 5 5 6 2 3" xfId="12445" xr:uid="{87199677-A738-4685-8F2C-4D42EE33E437}"/>
    <cellStyle name="Normal 5 5 6 3" xfId="6076" xr:uid="{00000000-0005-0000-0000-0000941B0000}"/>
    <cellStyle name="Normal 5 5 6 3 2" xfId="14518" xr:uid="{DE552E3F-5B7D-4A49-955C-33D8E5ADC171}"/>
    <cellStyle name="Normal 5 5 6 4" xfId="10300" xr:uid="{FEC5E384-8706-46F7-A32E-E5EBB41287D8}"/>
    <cellStyle name="Normal 5 5 7" xfId="2182" xr:uid="{00000000-0005-0000-0000-0000951B0000}"/>
    <cellStyle name="Normal 5 5 7 2" xfId="4411" xr:uid="{00000000-0005-0000-0000-0000961B0000}"/>
    <cellStyle name="Normal 5 5 7 2 2" xfId="8634" xr:uid="{00000000-0005-0000-0000-0000971B0000}"/>
    <cellStyle name="Normal 5 5 7 2 2 2" xfId="17076" xr:uid="{12A7FFB3-E360-44A8-B7B7-925832F015A4}"/>
    <cellStyle name="Normal 5 5 7 2 3" xfId="12858" xr:uid="{B5322394-F862-4F40-AD29-65F572FDCAFB}"/>
    <cellStyle name="Normal 5 5 7 3" xfId="6489" xr:uid="{00000000-0005-0000-0000-0000981B0000}"/>
    <cellStyle name="Normal 5 5 7 3 2" xfId="14931" xr:uid="{132FCA1F-41EC-436E-909D-608BBF062172}"/>
    <cellStyle name="Normal 5 5 7 4" xfId="10713" xr:uid="{2354CB4F-9FBF-4485-80CB-4B9096918F64}"/>
    <cellStyle name="Normal 5 5 8" xfId="2618" xr:uid="{00000000-0005-0000-0000-0000991B0000}"/>
    <cellStyle name="Normal 5 5 8 2" xfId="6902" xr:uid="{00000000-0005-0000-0000-00009A1B0000}"/>
    <cellStyle name="Normal 5 5 8 2 2" xfId="15344" xr:uid="{742F6E05-0C0E-46B6-B4D4-E086F96BF287}"/>
    <cellStyle name="Normal 5 5 8 3" xfId="11126" xr:uid="{5757B710-F3A5-4F56-A8E5-A3A27D5E718B}"/>
    <cellStyle name="Normal 5 5 9" xfId="4837" xr:uid="{00000000-0005-0000-0000-00009B1B0000}"/>
    <cellStyle name="Normal 5 5 9 2" xfId="13279" xr:uid="{2D4EC5A2-76C8-4599-A7DE-AEFEA90F46BB}"/>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9D348CE0-625D-4209-A2B3-7C30225F758A}"/>
    <cellStyle name="Normal 5 6 2 2 2 3" xfId="11624" xr:uid="{FFA9DDDD-5A00-4E27-A3D7-B063B28E2B0C}"/>
    <cellStyle name="Normal 5 6 2 2 3" xfId="5255" xr:uid="{00000000-0005-0000-0000-0000A11B0000}"/>
    <cellStyle name="Normal 5 6 2 2 3 2" xfId="13697" xr:uid="{921DAE6C-3731-4DAF-BF3C-55D0FA257573}"/>
    <cellStyle name="Normal 5 6 2 2 4" xfId="9479" xr:uid="{1183BDFC-2535-4E34-B7A7-80E53C0CF20F}"/>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56B73DD9-1F39-4168-8562-AA98ED23BD98}"/>
    <cellStyle name="Normal 5 6 2 3 2 3" xfId="12037" xr:uid="{A1D7FDFA-E182-4260-AD62-C4BF356BBC5A}"/>
    <cellStyle name="Normal 5 6 2 3 3" xfId="5668" xr:uid="{00000000-0005-0000-0000-0000A51B0000}"/>
    <cellStyle name="Normal 5 6 2 3 3 2" xfId="14110" xr:uid="{F0324EDF-A8BE-4EA5-BE53-407EBA839407}"/>
    <cellStyle name="Normal 5 6 2 3 4" xfId="9892" xr:uid="{0144F63A-6C95-47C0-BABB-169E2EF97C3D}"/>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36D4A001-C440-461D-A02D-0F46B6AE72DD}"/>
    <cellStyle name="Normal 5 6 2 4 2 3" xfId="12450" xr:uid="{0F852ADF-C55E-4FFE-BD3F-74FEE8131346}"/>
    <cellStyle name="Normal 5 6 2 4 3" xfId="6081" xr:uid="{00000000-0005-0000-0000-0000A91B0000}"/>
    <cellStyle name="Normal 5 6 2 4 3 2" xfId="14523" xr:uid="{BFC8834E-0EB9-446C-BAB2-42E642F9E5B0}"/>
    <cellStyle name="Normal 5 6 2 4 4" xfId="10305" xr:uid="{C9CC5D71-4B09-4184-9D0E-CB5767D1FA87}"/>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90BC7FF7-205A-4304-8D0D-07D120D4C56B}"/>
    <cellStyle name="Normal 5 6 2 5 2 3" xfId="12863" xr:uid="{70F6A71B-F988-47D5-8D06-B9DF4E81E950}"/>
    <cellStyle name="Normal 5 6 2 5 3" xfId="6494" xr:uid="{00000000-0005-0000-0000-0000AD1B0000}"/>
    <cellStyle name="Normal 5 6 2 5 3 2" xfId="14936" xr:uid="{C3D4597D-C52F-4249-BFA7-3B8D95F751AF}"/>
    <cellStyle name="Normal 5 6 2 5 4" xfId="10718" xr:uid="{DD8ED9F1-2E89-4A68-B7CC-902D39A79845}"/>
    <cellStyle name="Normal 5 6 2 6" xfId="2623" xr:uid="{00000000-0005-0000-0000-0000AE1B0000}"/>
    <cellStyle name="Normal 5 6 2 6 2" xfId="6907" xr:uid="{00000000-0005-0000-0000-0000AF1B0000}"/>
    <cellStyle name="Normal 5 6 2 6 2 2" xfId="15349" xr:uid="{261904F5-975A-4EF3-994D-F01C45306D64}"/>
    <cellStyle name="Normal 5 6 2 6 3" xfId="11131" xr:uid="{56F0D0BD-D1E8-441C-AE40-DA2DA1EB12CE}"/>
    <cellStyle name="Normal 5 6 2 7" xfId="4842" xr:uid="{00000000-0005-0000-0000-0000B01B0000}"/>
    <cellStyle name="Normal 5 6 2 7 2" xfId="13284" xr:uid="{5085D26C-331F-423A-AC37-D580CA3BB35A}"/>
    <cellStyle name="Normal 5 6 2 8" xfId="9066" xr:uid="{8BC81757-AA84-488C-AE5D-EB1F43301089}"/>
    <cellStyle name="Normal 5 6 3" xfId="942" xr:uid="{00000000-0005-0000-0000-0000B11B0000}"/>
    <cellStyle name="Normal 5 6 3 2" xfId="3176" xr:uid="{00000000-0005-0000-0000-0000B21B0000}"/>
    <cellStyle name="Normal 5 6 3 2 2" xfId="7399" xr:uid="{00000000-0005-0000-0000-0000B31B0000}"/>
    <cellStyle name="Normal 5 6 3 2 2 2" xfId="15841" xr:uid="{9E3C28AC-8595-4194-AABA-F5A2EBC475B1}"/>
    <cellStyle name="Normal 5 6 3 2 3" xfId="11623" xr:uid="{2FB82780-C52E-4A12-9648-4A8A530DC751}"/>
    <cellStyle name="Normal 5 6 3 3" xfId="5254" xr:uid="{00000000-0005-0000-0000-0000B41B0000}"/>
    <cellStyle name="Normal 5 6 3 3 2" xfId="13696" xr:uid="{F7749FFD-1CD4-4B47-AA8A-383F667D75F5}"/>
    <cellStyle name="Normal 5 6 3 4" xfId="9478" xr:uid="{088D23A4-D414-47BE-BF15-83735CB7BF6D}"/>
    <cellStyle name="Normal 5 6 4" xfId="1359" xr:uid="{00000000-0005-0000-0000-0000B51B0000}"/>
    <cellStyle name="Normal 5 6 4 2" xfId="3589" xr:uid="{00000000-0005-0000-0000-0000B61B0000}"/>
    <cellStyle name="Normal 5 6 4 2 2" xfId="7812" xr:uid="{00000000-0005-0000-0000-0000B71B0000}"/>
    <cellStyle name="Normal 5 6 4 2 2 2" xfId="16254" xr:uid="{994F71C0-C4CE-4BD7-ACE5-C52977FFE58C}"/>
    <cellStyle name="Normal 5 6 4 2 3" xfId="12036" xr:uid="{A08B3F72-40AF-43F4-8D4D-461530263E0A}"/>
    <cellStyle name="Normal 5 6 4 3" xfId="5667" xr:uid="{00000000-0005-0000-0000-0000B81B0000}"/>
    <cellStyle name="Normal 5 6 4 3 2" xfId="14109" xr:uid="{1B693B53-53E1-48A7-85F8-97A847C8910A}"/>
    <cellStyle name="Normal 5 6 4 4" xfId="9891" xr:uid="{CB66817B-6987-41A7-AD90-04FAEB32E0E2}"/>
    <cellStyle name="Normal 5 6 5" xfId="1772" xr:uid="{00000000-0005-0000-0000-0000B91B0000}"/>
    <cellStyle name="Normal 5 6 5 2" xfId="4002" xr:uid="{00000000-0005-0000-0000-0000BA1B0000}"/>
    <cellStyle name="Normal 5 6 5 2 2" xfId="8225" xr:uid="{00000000-0005-0000-0000-0000BB1B0000}"/>
    <cellStyle name="Normal 5 6 5 2 2 2" xfId="16667" xr:uid="{CEB213FF-1C18-4159-9D20-1D2E6B379D0B}"/>
    <cellStyle name="Normal 5 6 5 2 3" xfId="12449" xr:uid="{F350A2BD-9710-4275-A137-357BE1A9A7C2}"/>
    <cellStyle name="Normal 5 6 5 3" xfId="6080" xr:uid="{00000000-0005-0000-0000-0000BC1B0000}"/>
    <cellStyle name="Normal 5 6 5 3 2" xfId="14522" xr:uid="{5B9EB694-730A-4642-B8C3-D3460F771897}"/>
    <cellStyle name="Normal 5 6 5 4" xfId="10304" xr:uid="{4BF635A6-DA4A-4B81-97EC-1615F6C0ABCD}"/>
    <cellStyle name="Normal 5 6 6" xfId="2186" xr:uid="{00000000-0005-0000-0000-0000BD1B0000}"/>
    <cellStyle name="Normal 5 6 6 2" xfId="4415" xr:uid="{00000000-0005-0000-0000-0000BE1B0000}"/>
    <cellStyle name="Normal 5 6 6 2 2" xfId="8638" xr:uid="{00000000-0005-0000-0000-0000BF1B0000}"/>
    <cellStyle name="Normal 5 6 6 2 2 2" xfId="17080" xr:uid="{9C2EFBA7-8B87-4ED9-96E4-C0408F2C3607}"/>
    <cellStyle name="Normal 5 6 6 2 3" xfId="12862" xr:uid="{8DE9FE0C-A675-4DAD-997B-438746F744CA}"/>
    <cellStyle name="Normal 5 6 6 3" xfId="6493" xr:uid="{00000000-0005-0000-0000-0000C01B0000}"/>
    <cellStyle name="Normal 5 6 6 3 2" xfId="14935" xr:uid="{25462CCE-014D-4AB0-96E3-D7A6210E0727}"/>
    <cellStyle name="Normal 5 6 6 4" xfId="10717" xr:uid="{F9A7E1E1-D12C-46FD-B821-10865DA1C223}"/>
    <cellStyle name="Normal 5 6 7" xfId="2622" xr:uid="{00000000-0005-0000-0000-0000C11B0000}"/>
    <cellStyle name="Normal 5 6 7 2" xfId="6906" xr:uid="{00000000-0005-0000-0000-0000C21B0000}"/>
    <cellStyle name="Normal 5 6 7 2 2" xfId="15348" xr:uid="{304BCEFD-4043-498F-93E5-989D49FECB1A}"/>
    <cellStyle name="Normal 5 6 7 3" xfId="11130" xr:uid="{9926B97F-80E1-4918-BC88-6D3DD19D38EC}"/>
    <cellStyle name="Normal 5 6 8" xfId="4841" xr:uid="{00000000-0005-0000-0000-0000C31B0000}"/>
    <cellStyle name="Normal 5 6 8 2" xfId="13283" xr:uid="{C454F867-9B05-4FD5-86EA-E42A11B78EC0}"/>
    <cellStyle name="Normal 5 6 9" xfId="9065" xr:uid="{E8B129D9-64F5-44B3-911D-221EAEDEEE3B}"/>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86B47CDF-8C5F-410F-9B42-A66E82EDFC85}"/>
    <cellStyle name="Normal 5 7 2 2 3" xfId="11625" xr:uid="{B1866BEA-B150-4876-9D36-AE85FF5AB51C}"/>
    <cellStyle name="Normal 5 7 2 3" xfId="5256" xr:uid="{00000000-0005-0000-0000-0000C81B0000}"/>
    <cellStyle name="Normal 5 7 2 3 2" xfId="13698" xr:uid="{A7664B7A-DD24-474A-BEDB-90AEC634DE74}"/>
    <cellStyle name="Normal 5 7 2 4" xfId="9480" xr:uid="{39B3C18E-83D8-487A-AF7C-81AFCDE88F24}"/>
    <cellStyle name="Normal 5 7 3" xfId="1361" xr:uid="{00000000-0005-0000-0000-0000C91B0000}"/>
    <cellStyle name="Normal 5 7 3 2" xfId="3591" xr:uid="{00000000-0005-0000-0000-0000CA1B0000}"/>
    <cellStyle name="Normal 5 7 3 2 2" xfId="7814" xr:uid="{00000000-0005-0000-0000-0000CB1B0000}"/>
    <cellStyle name="Normal 5 7 3 2 2 2" xfId="16256" xr:uid="{DE784530-2046-4F74-9477-263EFCF00E37}"/>
    <cellStyle name="Normal 5 7 3 2 3" xfId="12038" xr:uid="{96540D8E-BCAA-404A-9B7C-27815AED5E38}"/>
    <cellStyle name="Normal 5 7 3 3" xfId="5669" xr:uid="{00000000-0005-0000-0000-0000CC1B0000}"/>
    <cellStyle name="Normal 5 7 3 3 2" xfId="14111" xr:uid="{9C8690D6-F434-4E35-A023-EFD910779EFC}"/>
    <cellStyle name="Normal 5 7 3 4" xfId="9893" xr:uid="{AE5657C2-8F11-4792-9EDA-3DBED19BA1B8}"/>
    <cellStyle name="Normal 5 7 4" xfId="1774" xr:uid="{00000000-0005-0000-0000-0000CD1B0000}"/>
    <cellStyle name="Normal 5 7 4 2" xfId="4004" xr:uid="{00000000-0005-0000-0000-0000CE1B0000}"/>
    <cellStyle name="Normal 5 7 4 2 2" xfId="8227" xr:uid="{00000000-0005-0000-0000-0000CF1B0000}"/>
    <cellStyle name="Normal 5 7 4 2 2 2" xfId="16669" xr:uid="{02757A5E-F99F-47B5-825B-72D3B4ED5C18}"/>
    <cellStyle name="Normal 5 7 4 2 3" xfId="12451" xr:uid="{4391DF32-62E3-44E7-9921-0EBEC8C35388}"/>
    <cellStyle name="Normal 5 7 4 3" xfId="6082" xr:uid="{00000000-0005-0000-0000-0000D01B0000}"/>
    <cellStyle name="Normal 5 7 4 3 2" xfId="14524" xr:uid="{D213E793-110C-40E4-8F1C-403A38AFF0D1}"/>
    <cellStyle name="Normal 5 7 4 4" xfId="10306" xr:uid="{8A358F64-C347-4A24-BC32-CEE8D6384C29}"/>
    <cellStyle name="Normal 5 7 5" xfId="2188" xr:uid="{00000000-0005-0000-0000-0000D11B0000}"/>
    <cellStyle name="Normal 5 7 5 2" xfId="4417" xr:uid="{00000000-0005-0000-0000-0000D21B0000}"/>
    <cellStyle name="Normal 5 7 5 2 2" xfId="8640" xr:uid="{00000000-0005-0000-0000-0000D31B0000}"/>
    <cellStyle name="Normal 5 7 5 2 2 2" xfId="17082" xr:uid="{1CC54942-6985-4EC6-8EDD-A30BBDBE41CF}"/>
    <cellStyle name="Normal 5 7 5 2 3" xfId="12864" xr:uid="{FFED2189-8B14-42CE-B3BD-A4414E709BEB}"/>
    <cellStyle name="Normal 5 7 5 3" xfId="6495" xr:uid="{00000000-0005-0000-0000-0000D41B0000}"/>
    <cellStyle name="Normal 5 7 5 3 2" xfId="14937" xr:uid="{2505EC55-5D54-4AC9-8E79-D6B4DB98C003}"/>
    <cellStyle name="Normal 5 7 5 4" xfId="10719" xr:uid="{9C1A3D91-844F-4045-B512-98622EF13837}"/>
    <cellStyle name="Normal 5 7 6" xfId="2624" xr:uid="{00000000-0005-0000-0000-0000D51B0000}"/>
    <cellStyle name="Normal 5 7 6 2" xfId="6908" xr:uid="{00000000-0005-0000-0000-0000D61B0000}"/>
    <cellStyle name="Normal 5 7 6 2 2" xfId="15350" xr:uid="{D1C67491-FAAF-41B8-A96E-B5E28AFA6568}"/>
    <cellStyle name="Normal 5 7 6 3" xfId="11132" xr:uid="{DD853E3B-7ACC-43DA-A292-AB15A583FAAF}"/>
    <cellStyle name="Normal 5 7 7" xfId="4843" xr:uid="{00000000-0005-0000-0000-0000D71B0000}"/>
    <cellStyle name="Normal 5 7 7 2" xfId="13285" xr:uid="{E20056FB-E463-4B81-B48B-94FF5CA464E8}"/>
    <cellStyle name="Normal 5 7 8" xfId="9067" xr:uid="{3D33B53E-BEB8-476C-BD3E-3F6893CA7842}"/>
    <cellStyle name="Normal 5 8" xfId="880" xr:uid="{00000000-0005-0000-0000-0000D81B0000}"/>
    <cellStyle name="Normal 5 8 2" xfId="3115" xr:uid="{00000000-0005-0000-0000-0000D91B0000}"/>
    <cellStyle name="Normal 5 8 2 2" xfId="7338" xr:uid="{00000000-0005-0000-0000-0000DA1B0000}"/>
    <cellStyle name="Normal 5 8 2 2 2" xfId="15780" xr:uid="{BDD9A622-880F-49E1-8534-5E29071040DF}"/>
    <cellStyle name="Normal 5 8 2 3" xfId="11562" xr:uid="{61A07037-12E4-4944-8009-5B3D30A04206}"/>
    <cellStyle name="Normal 5 8 3" xfId="5193" xr:uid="{00000000-0005-0000-0000-0000DB1B0000}"/>
    <cellStyle name="Normal 5 8 3 2" xfId="13635" xr:uid="{95BB3988-C8CA-403D-AB33-DFD2B49CB700}"/>
    <cellStyle name="Normal 5 8 4" xfId="9417" xr:uid="{74D79FCD-71E3-431E-BF82-F4DFFBD63443}"/>
    <cellStyle name="Normal 5 9" xfId="1298" xr:uid="{00000000-0005-0000-0000-0000DC1B0000}"/>
    <cellStyle name="Normal 5 9 2" xfId="3528" xr:uid="{00000000-0005-0000-0000-0000DD1B0000}"/>
    <cellStyle name="Normal 5 9 2 2" xfId="7751" xr:uid="{00000000-0005-0000-0000-0000DE1B0000}"/>
    <cellStyle name="Normal 5 9 2 2 2" xfId="16193" xr:uid="{82AB6719-3623-4413-B143-A93CBDE2B271}"/>
    <cellStyle name="Normal 5 9 2 3" xfId="11975" xr:uid="{5B794765-9F97-49F7-ACE9-89C0EE41CE16}"/>
    <cellStyle name="Normal 5 9 3" xfId="5606" xr:uid="{00000000-0005-0000-0000-0000DF1B0000}"/>
    <cellStyle name="Normal 5 9 3 2" xfId="14048" xr:uid="{B73EFEEB-145D-4A24-A135-AD1A282325B2}"/>
    <cellStyle name="Normal 5 9 4" xfId="9830" xr:uid="{CD7CC840-A412-4D0E-A302-844892582AAF}"/>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4DE60701-1E07-444A-88EC-6DD590A3CB52}"/>
    <cellStyle name="Normal 8 10 2 3" xfId="12865" xr:uid="{15B3E8CA-A6DA-4657-B0DD-344B294AF7D3}"/>
    <cellStyle name="Normal 8 10 3" xfId="6496" xr:uid="{00000000-0005-0000-0000-0000EB1B0000}"/>
    <cellStyle name="Normal 8 10 3 2" xfId="14938" xr:uid="{DD86105C-CC7E-4956-AFC3-9A3FD56B206F}"/>
    <cellStyle name="Normal 8 10 4" xfId="10720" xr:uid="{80F9A4A9-0FA7-40C9-A275-13FC9F445FD2}"/>
    <cellStyle name="Normal 8 11" xfId="2625" xr:uid="{00000000-0005-0000-0000-0000EC1B0000}"/>
    <cellStyle name="Normal 8 11 2" xfId="6909" xr:uid="{00000000-0005-0000-0000-0000ED1B0000}"/>
    <cellStyle name="Normal 8 11 2 2" xfId="15351" xr:uid="{2CD8059C-19EC-49A7-8E06-A0D39520BFFF}"/>
    <cellStyle name="Normal 8 11 3" xfId="11133" xr:uid="{9619481B-1745-4ED5-B06E-8F6293E4D429}"/>
    <cellStyle name="Normal 8 12" xfId="4844" xr:uid="{00000000-0005-0000-0000-0000EE1B0000}"/>
    <cellStyle name="Normal 8 12 2" xfId="13286" xr:uid="{2D96A038-C97A-4528-ACCC-52A508F3D485}"/>
    <cellStyle name="Normal 8 13" xfId="9068" xr:uid="{8238BC77-B258-4A0D-9CC1-0444CF4A08FA}"/>
    <cellStyle name="Normal 8 2" xfId="479" xr:uid="{00000000-0005-0000-0000-0000EF1B0000}"/>
    <cellStyle name="Normal 8 2 10" xfId="2626" xr:uid="{00000000-0005-0000-0000-0000F01B0000}"/>
    <cellStyle name="Normal 8 2 10 2" xfId="6910" xr:uid="{00000000-0005-0000-0000-0000F11B0000}"/>
    <cellStyle name="Normal 8 2 10 2 2" xfId="15352" xr:uid="{6DE9542F-5B4C-4E8C-9D93-F7C036D17C9E}"/>
    <cellStyle name="Normal 8 2 10 3" xfId="11134" xr:uid="{16A28B48-E4EF-46E3-B0AE-AC123593656C}"/>
    <cellStyle name="Normal 8 2 11" xfId="4845" xr:uid="{00000000-0005-0000-0000-0000F21B0000}"/>
    <cellStyle name="Normal 8 2 11 2" xfId="13287" xr:uid="{3EBBDC62-7828-48B4-9F91-0FD1E52BF71B}"/>
    <cellStyle name="Normal 8 2 12" xfId="9069" xr:uid="{19C19F31-2BD6-4A98-88F0-C524C8655E98}"/>
    <cellStyle name="Normal 8 2 2" xfId="480" xr:uid="{00000000-0005-0000-0000-0000F31B0000}"/>
    <cellStyle name="Normal 8 2 2 10" xfId="4846" xr:uid="{00000000-0005-0000-0000-0000F41B0000}"/>
    <cellStyle name="Normal 8 2 2 10 2" xfId="13288" xr:uid="{0DB53C4B-E316-487E-AAF0-570584C5F8C4}"/>
    <cellStyle name="Normal 8 2 2 11" xfId="9070" xr:uid="{72E05D23-3381-4EB7-9A67-C99A1A3D1BFC}"/>
    <cellStyle name="Normal 8 2 2 2" xfId="481" xr:uid="{00000000-0005-0000-0000-0000F51B0000}"/>
    <cellStyle name="Normal 8 2 2 2 10" xfId="9071" xr:uid="{6E441EA4-ED5E-4E85-A98D-9A917B7B3C5B}"/>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328EF353-6D64-4A44-8E08-D5D872724B27}"/>
    <cellStyle name="Normal 8 2 2 2 2 2 2 2 3" xfId="11631" xr:uid="{A77472CC-42E4-466C-9420-47E3E9DDE183}"/>
    <cellStyle name="Normal 8 2 2 2 2 2 2 3" xfId="5262" xr:uid="{00000000-0005-0000-0000-0000FB1B0000}"/>
    <cellStyle name="Normal 8 2 2 2 2 2 2 3 2" xfId="13704" xr:uid="{C47027F8-6B71-48C3-A7F7-BD0A9BB5B396}"/>
    <cellStyle name="Normal 8 2 2 2 2 2 2 4" xfId="9486" xr:uid="{3136399D-35F6-4ABB-9AF6-4BEC6B41129A}"/>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2882C7EC-530A-4247-98E2-F6CF1F694097}"/>
    <cellStyle name="Normal 8 2 2 2 2 2 3 2 3" xfId="12044" xr:uid="{D56E68B4-B391-495A-B48E-17E92CE53A2B}"/>
    <cellStyle name="Normal 8 2 2 2 2 2 3 3" xfId="5675" xr:uid="{00000000-0005-0000-0000-0000FF1B0000}"/>
    <cellStyle name="Normal 8 2 2 2 2 2 3 3 2" xfId="14117" xr:uid="{B3D30F62-4C6B-49F8-A279-5F1F27E5F263}"/>
    <cellStyle name="Normal 8 2 2 2 2 2 3 4" xfId="9899" xr:uid="{AD1B0059-CD54-4A62-907F-80227E63930B}"/>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95A25FA4-AC76-4EFD-99FD-4393EDF70A1E}"/>
    <cellStyle name="Normal 8 2 2 2 2 2 4 2 3" xfId="12457" xr:uid="{97D4A392-129B-4202-9EE4-594995A35F7E}"/>
    <cellStyle name="Normal 8 2 2 2 2 2 4 3" xfId="6088" xr:uid="{00000000-0005-0000-0000-0000031C0000}"/>
    <cellStyle name="Normal 8 2 2 2 2 2 4 3 2" xfId="14530" xr:uid="{9B7FC28F-CBFF-4CB3-AA1E-92161FF5FEAB}"/>
    <cellStyle name="Normal 8 2 2 2 2 2 4 4" xfId="10312" xr:uid="{DA0E4CC2-499F-4B54-AE06-E5D7ACDFCB7A}"/>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35400767-87E1-4F77-9F68-D37E92703910}"/>
    <cellStyle name="Normal 8 2 2 2 2 2 5 2 3" xfId="12870" xr:uid="{62F524B9-9CEB-4B60-8424-EC7835D7CC8C}"/>
    <cellStyle name="Normal 8 2 2 2 2 2 5 3" xfId="6501" xr:uid="{00000000-0005-0000-0000-0000071C0000}"/>
    <cellStyle name="Normal 8 2 2 2 2 2 5 3 2" xfId="14943" xr:uid="{A880607A-89F9-491E-9559-EE639212AB70}"/>
    <cellStyle name="Normal 8 2 2 2 2 2 5 4" xfId="10725" xr:uid="{D2DBE0B9-142F-4201-9D7D-50E3E54A7C71}"/>
    <cellStyle name="Normal 8 2 2 2 2 2 6" xfId="2630" xr:uid="{00000000-0005-0000-0000-0000081C0000}"/>
    <cellStyle name="Normal 8 2 2 2 2 2 6 2" xfId="6914" xr:uid="{00000000-0005-0000-0000-0000091C0000}"/>
    <cellStyle name="Normal 8 2 2 2 2 2 6 2 2" xfId="15356" xr:uid="{2C9CB797-B228-4CFE-82E9-F59E44CB018C}"/>
    <cellStyle name="Normal 8 2 2 2 2 2 6 3" xfId="11138" xr:uid="{C114DEB5-21C8-4910-B1A9-9E07E1BFEFE4}"/>
    <cellStyle name="Normal 8 2 2 2 2 2 7" xfId="4849" xr:uid="{00000000-0005-0000-0000-00000A1C0000}"/>
    <cellStyle name="Normal 8 2 2 2 2 2 7 2" xfId="13291" xr:uid="{429664FA-D471-42ED-A840-65F4EA3FC27B}"/>
    <cellStyle name="Normal 8 2 2 2 2 2 8" xfId="9073" xr:uid="{94694823-484C-421A-A8EA-B5C73FCFCA06}"/>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DACE93CC-1A1C-4747-BF30-4EF37ED35E02}"/>
    <cellStyle name="Normal 8 2 2 2 2 3 2 3" xfId="11630" xr:uid="{37145083-C9A5-47E1-BF58-227F32E9BCAB}"/>
    <cellStyle name="Normal 8 2 2 2 2 3 3" xfId="5261" xr:uid="{00000000-0005-0000-0000-00000E1C0000}"/>
    <cellStyle name="Normal 8 2 2 2 2 3 3 2" xfId="13703" xr:uid="{DE1D2A49-1DC8-4D89-90A4-DCACBEDDE7BB}"/>
    <cellStyle name="Normal 8 2 2 2 2 3 4" xfId="9485" xr:uid="{FBE14ED6-2818-496E-B50C-711BB7CBDE32}"/>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8C9C09DE-ACC1-4A92-9B60-1DB59731A9F0}"/>
    <cellStyle name="Normal 8 2 2 2 2 4 2 3" xfId="12043" xr:uid="{DEC2D2D7-1EAE-420D-A98F-3C6B674003C5}"/>
    <cellStyle name="Normal 8 2 2 2 2 4 3" xfId="5674" xr:uid="{00000000-0005-0000-0000-0000121C0000}"/>
    <cellStyle name="Normal 8 2 2 2 2 4 3 2" xfId="14116" xr:uid="{F5DE44B4-92CB-4425-87C4-027608B0523A}"/>
    <cellStyle name="Normal 8 2 2 2 2 4 4" xfId="9898" xr:uid="{DDFA9F6F-C879-4375-B98A-4DB8329FFB68}"/>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EFD1C5FC-3A9E-4DFA-ACBA-CE29D3963C07}"/>
    <cellStyle name="Normal 8 2 2 2 2 5 2 3" xfId="12456" xr:uid="{ADBAA9E1-DAE1-4176-BFA3-3471D9DBEC2E}"/>
    <cellStyle name="Normal 8 2 2 2 2 5 3" xfId="6087" xr:uid="{00000000-0005-0000-0000-0000161C0000}"/>
    <cellStyle name="Normal 8 2 2 2 2 5 3 2" xfId="14529" xr:uid="{9F07EAF7-A3BD-448C-BFA8-B56650CFF426}"/>
    <cellStyle name="Normal 8 2 2 2 2 5 4" xfId="10311" xr:uid="{49610523-1F17-4227-8A5F-3173B7936124}"/>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FBBBFE8E-63D3-4773-9A81-A3EFC9FCF620}"/>
    <cellStyle name="Normal 8 2 2 2 2 6 2 3" xfId="12869" xr:uid="{FFC05D92-D6A6-4282-B3C9-FE9301A08E5F}"/>
    <cellStyle name="Normal 8 2 2 2 2 6 3" xfId="6500" xr:uid="{00000000-0005-0000-0000-00001A1C0000}"/>
    <cellStyle name="Normal 8 2 2 2 2 6 3 2" xfId="14942" xr:uid="{B589C0AC-BEBF-44D5-A054-D69061FF5212}"/>
    <cellStyle name="Normal 8 2 2 2 2 6 4" xfId="10724" xr:uid="{EF20317C-7A04-4F5A-ABE9-CD4B52D705AC}"/>
    <cellStyle name="Normal 8 2 2 2 2 7" xfId="2629" xr:uid="{00000000-0005-0000-0000-00001B1C0000}"/>
    <cellStyle name="Normal 8 2 2 2 2 7 2" xfId="6913" xr:uid="{00000000-0005-0000-0000-00001C1C0000}"/>
    <cellStyle name="Normal 8 2 2 2 2 7 2 2" xfId="15355" xr:uid="{0D81B58C-D454-4D98-B486-E4CC1D8738EF}"/>
    <cellStyle name="Normal 8 2 2 2 2 7 3" xfId="11137" xr:uid="{BC24BE1E-7A27-49C3-89AF-456BEB71835D}"/>
    <cellStyle name="Normal 8 2 2 2 2 8" xfId="4848" xr:uid="{00000000-0005-0000-0000-00001D1C0000}"/>
    <cellStyle name="Normal 8 2 2 2 2 8 2" xfId="13290" xr:uid="{7814626B-AD0A-470F-8310-055D1E0B73D9}"/>
    <cellStyle name="Normal 8 2 2 2 2 9" xfId="9072" xr:uid="{0B2B7D7B-48DC-4454-822F-273656BD93BC}"/>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9225A47A-6956-47B1-B8FD-B4245324E0AD}"/>
    <cellStyle name="Normal 8 2 2 2 3 2 2 3" xfId="11632" xr:uid="{A2C252F8-4166-439E-B163-83CBD707C3DD}"/>
    <cellStyle name="Normal 8 2 2 2 3 2 3" xfId="5263" xr:uid="{00000000-0005-0000-0000-0000221C0000}"/>
    <cellStyle name="Normal 8 2 2 2 3 2 3 2" xfId="13705" xr:uid="{D8BC1F2F-352D-4E0A-B14A-AD54258C9375}"/>
    <cellStyle name="Normal 8 2 2 2 3 2 4" xfId="9487" xr:uid="{875A8B49-9485-437A-8ACD-A0C7AC24A2F6}"/>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B580A836-7B41-4C7A-AF89-EDF4611FDE5A}"/>
    <cellStyle name="Normal 8 2 2 2 3 3 2 3" xfId="12045" xr:uid="{961A42C9-00B1-4B1F-83B1-AD59E8E4A563}"/>
    <cellStyle name="Normal 8 2 2 2 3 3 3" xfId="5676" xr:uid="{00000000-0005-0000-0000-0000261C0000}"/>
    <cellStyle name="Normal 8 2 2 2 3 3 3 2" xfId="14118" xr:uid="{A85ECD72-F6F0-465B-BC64-834D108E8486}"/>
    <cellStyle name="Normal 8 2 2 2 3 3 4" xfId="9900" xr:uid="{C279B883-A525-4175-87A0-4FCA69B26DD3}"/>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154E4E93-BBEF-4706-B065-7F8EC9304F2E}"/>
    <cellStyle name="Normal 8 2 2 2 3 4 2 3" xfId="12458" xr:uid="{D8BB4474-AC39-461C-8205-992B873095D8}"/>
    <cellStyle name="Normal 8 2 2 2 3 4 3" xfId="6089" xr:uid="{00000000-0005-0000-0000-00002A1C0000}"/>
    <cellStyle name="Normal 8 2 2 2 3 4 3 2" xfId="14531" xr:uid="{74D0DD0A-29F7-4243-B1F6-2501A76295A6}"/>
    <cellStyle name="Normal 8 2 2 2 3 4 4" xfId="10313" xr:uid="{10295A05-6F72-439E-A9CE-488F12147F4E}"/>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0EC533D4-42BB-4641-BDAA-C0BFEA967F66}"/>
    <cellStyle name="Normal 8 2 2 2 3 5 2 3" xfId="12871" xr:uid="{F0FCFDF4-D44E-45B4-A72F-C2F8F8A77250}"/>
    <cellStyle name="Normal 8 2 2 2 3 5 3" xfId="6502" xr:uid="{00000000-0005-0000-0000-00002E1C0000}"/>
    <cellStyle name="Normal 8 2 2 2 3 5 3 2" xfId="14944" xr:uid="{31FE36DD-6313-455C-9223-260433CE6FB9}"/>
    <cellStyle name="Normal 8 2 2 2 3 5 4" xfId="10726" xr:uid="{DED0DE0C-9747-42FC-910C-8E0BA34C0BB8}"/>
    <cellStyle name="Normal 8 2 2 2 3 6" xfId="2631" xr:uid="{00000000-0005-0000-0000-00002F1C0000}"/>
    <cellStyle name="Normal 8 2 2 2 3 6 2" xfId="6915" xr:uid="{00000000-0005-0000-0000-0000301C0000}"/>
    <cellStyle name="Normal 8 2 2 2 3 6 2 2" xfId="15357" xr:uid="{3448EC7B-6344-44DD-ABD2-66FF9175793B}"/>
    <cellStyle name="Normal 8 2 2 2 3 6 3" xfId="11139" xr:uid="{A4CF3A3E-7A0E-44B9-B78B-95024FA99DE0}"/>
    <cellStyle name="Normal 8 2 2 2 3 7" xfId="4850" xr:uid="{00000000-0005-0000-0000-0000311C0000}"/>
    <cellStyle name="Normal 8 2 2 2 3 7 2" xfId="13292" xr:uid="{5A34A9D5-D6D1-4B31-B2E1-C5B5D0C31180}"/>
    <cellStyle name="Normal 8 2 2 2 3 8" xfId="9074" xr:uid="{77FAE433-E87B-4890-9599-04B37D8AB68C}"/>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B6D5FAF4-AFF1-47A5-8E4B-0BDC71403613}"/>
    <cellStyle name="Normal 8 2 2 2 4 2 3" xfId="11629" xr:uid="{46C6E13E-ABE6-403C-B946-2A257BAE851B}"/>
    <cellStyle name="Normal 8 2 2 2 4 3" xfId="5260" xr:uid="{00000000-0005-0000-0000-0000351C0000}"/>
    <cellStyle name="Normal 8 2 2 2 4 3 2" xfId="13702" xr:uid="{0DC05B7E-11FD-4362-A287-91416D42ADFF}"/>
    <cellStyle name="Normal 8 2 2 2 4 4" xfId="9484" xr:uid="{2D00E0C4-78C4-42E0-BBC3-C8F3E9710631}"/>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396D2B3B-75E5-4F91-8ED5-139EF44CF78D}"/>
    <cellStyle name="Normal 8 2 2 2 5 2 3" xfId="12042" xr:uid="{7B026752-88D1-40A8-A35E-174D507E21C8}"/>
    <cellStyle name="Normal 8 2 2 2 5 3" xfId="5673" xr:uid="{00000000-0005-0000-0000-0000391C0000}"/>
    <cellStyle name="Normal 8 2 2 2 5 3 2" xfId="14115" xr:uid="{C05B1553-B643-4827-AC22-23A66877D239}"/>
    <cellStyle name="Normal 8 2 2 2 5 4" xfId="9897" xr:uid="{AB630451-C815-4DBF-A28E-C5A029FFCBDD}"/>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57B52435-3EA7-4A13-90D2-EB6ECB3C7369}"/>
    <cellStyle name="Normal 8 2 2 2 6 2 3" xfId="12455" xr:uid="{9D50548D-15D4-4E25-ABDF-697B7253F2CD}"/>
    <cellStyle name="Normal 8 2 2 2 6 3" xfId="6086" xr:uid="{00000000-0005-0000-0000-00003D1C0000}"/>
    <cellStyle name="Normal 8 2 2 2 6 3 2" xfId="14528" xr:uid="{00CA3034-3400-4E7C-A909-92FBE8A51CF6}"/>
    <cellStyle name="Normal 8 2 2 2 6 4" xfId="10310" xr:uid="{2E4EA7ED-2250-4E3E-B130-7A306E5F7B7B}"/>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8171ED1B-FD1F-4CEB-9776-A044AE7CCEF5}"/>
    <cellStyle name="Normal 8 2 2 2 7 2 3" xfId="12868" xr:uid="{FA1455B4-AE4A-43E6-8CF7-5A2840246EC7}"/>
    <cellStyle name="Normal 8 2 2 2 7 3" xfId="6499" xr:uid="{00000000-0005-0000-0000-0000411C0000}"/>
    <cellStyle name="Normal 8 2 2 2 7 3 2" xfId="14941" xr:uid="{92365E22-BC84-4240-88FF-D03BC78F017C}"/>
    <cellStyle name="Normal 8 2 2 2 7 4" xfId="10723" xr:uid="{D09B8DCD-B3A0-459D-8877-5115A207E198}"/>
    <cellStyle name="Normal 8 2 2 2 8" xfId="2628" xr:uid="{00000000-0005-0000-0000-0000421C0000}"/>
    <cellStyle name="Normal 8 2 2 2 8 2" xfId="6912" xr:uid="{00000000-0005-0000-0000-0000431C0000}"/>
    <cellStyle name="Normal 8 2 2 2 8 2 2" xfId="15354" xr:uid="{9833A388-49FE-495B-B999-686A65EE9882}"/>
    <cellStyle name="Normal 8 2 2 2 8 3" xfId="11136" xr:uid="{2F922B71-13C4-45BB-83FC-B01744E199F6}"/>
    <cellStyle name="Normal 8 2 2 2 9" xfId="4847" xr:uid="{00000000-0005-0000-0000-0000441C0000}"/>
    <cellStyle name="Normal 8 2 2 2 9 2" xfId="13289" xr:uid="{5B12F1FD-D42E-49D0-BD3B-8A4AB6A728C6}"/>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D1BCBE0-A749-4B2A-8B77-0DE283BF1E0D}"/>
    <cellStyle name="Normal 8 2 2 3 2 2 2 3" xfId="11634" xr:uid="{6A25FCDD-E6AA-421A-B0AC-BD300A4267EA}"/>
    <cellStyle name="Normal 8 2 2 3 2 2 3" xfId="5265" xr:uid="{00000000-0005-0000-0000-00004A1C0000}"/>
    <cellStyle name="Normal 8 2 2 3 2 2 3 2" xfId="13707" xr:uid="{6BC8C0AF-8CCA-4BDA-AEB8-708FB95BFE66}"/>
    <cellStyle name="Normal 8 2 2 3 2 2 4" xfId="9489" xr:uid="{9010663C-46B6-4D08-B533-E421FA97186C}"/>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AAE79602-0031-4838-8A16-F93AAD2EB730}"/>
    <cellStyle name="Normal 8 2 2 3 2 3 2 3" xfId="12047" xr:uid="{07D08A02-2DD4-4CAD-954E-D670CB26F094}"/>
    <cellStyle name="Normal 8 2 2 3 2 3 3" xfId="5678" xr:uid="{00000000-0005-0000-0000-00004E1C0000}"/>
    <cellStyle name="Normal 8 2 2 3 2 3 3 2" xfId="14120" xr:uid="{3BA82C9F-947C-4211-ADC7-2B106A07948E}"/>
    <cellStyle name="Normal 8 2 2 3 2 3 4" xfId="9902" xr:uid="{69406550-80AC-4CC1-856F-3CDF29C0248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ED0195FF-A590-44C3-BB9B-BB1C0876F511}"/>
    <cellStyle name="Normal 8 2 2 3 2 4 2 3" xfId="12460" xr:uid="{7FAFE411-DB62-422D-AE18-2148FFAAB2C7}"/>
    <cellStyle name="Normal 8 2 2 3 2 4 3" xfId="6091" xr:uid="{00000000-0005-0000-0000-0000521C0000}"/>
    <cellStyle name="Normal 8 2 2 3 2 4 3 2" xfId="14533" xr:uid="{1A0C6003-33D4-4D60-85B1-E2521B592936}"/>
    <cellStyle name="Normal 8 2 2 3 2 4 4" xfId="10315" xr:uid="{C460080E-34B6-4703-98C6-4C8415AF3803}"/>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FD64090E-4133-47D9-B82A-598C93810084}"/>
    <cellStyle name="Normal 8 2 2 3 2 5 2 3" xfId="12873" xr:uid="{490AF262-0B1A-45B9-AD8C-BC8A2B88EDB7}"/>
    <cellStyle name="Normal 8 2 2 3 2 5 3" xfId="6504" xr:uid="{00000000-0005-0000-0000-0000561C0000}"/>
    <cellStyle name="Normal 8 2 2 3 2 5 3 2" xfId="14946" xr:uid="{0C8BF51E-CEC4-4D85-8417-FFDED3845A70}"/>
    <cellStyle name="Normal 8 2 2 3 2 5 4" xfId="10728" xr:uid="{5DF70822-323D-4A2F-836E-0DEF70852035}"/>
    <cellStyle name="Normal 8 2 2 3 2 6" xfId="2633" xr:uid="{00000000-0005-0000-0000-0000571C0000}"/>
    <cellStyle name="Normal 8 2 2 3 2 6 2" xfId="6917" xr:uid="{00000000-0005-0000-0000-0000581C0000}"/>
    <cellStyle name="Normal 8 2 2 3 2 6 2 2" xfId="15359" xr:uid="{855B650C-22D6-40B8-8109-503DE593C85E}"/>
    <cellStyle name="Normal 8 2 2 3 2 6 3" xfId="11141" xr:uid="{BB9E9E4D-9922-4F74-9CFB-3CCB43C0E1E9}"/>
    <cellStyle name="Normal 8 2 2 3 2 7" xfId="4852" xr:uid="{00000000-0005-0000-0000-0000591C0000}"/>
    <cellStyle name="Normal 8 2 2 3 2 7 2" xfId="13294" xr:uid="{55A1DAD4-B2AA-4E52-B8B0-A5191127373D}"/>
    <cellStyle name="Normal 8 2 2 3 2 8" xfId="9076" xr:uid="{9D8DD998-5537-4426-B558-DA5A40159F02}"/>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A2ACC685-2D52-4E63-9DB8-9DAA9F2F2A9A}"/>
    <cellStyle name="Normal 8 2 2 3 3 2 3" xfId="11633" xr:uid="{E4FC7DE4-2FB4-4A0A-80EB-ADEDAAD168AA}"/>
    <cellStyle name="Normal 8 2 2 3 3 3" xfId="5264" xr:uid="{00000000-0005-0000-0000-00005D1C0000}"/>
    <cellStyle name="Normal 8 2 2 3 3 3 2" xfId="13706" xr:uid="{4B308D29-9434-4B3F-AB46-65E4C9AD0D66}"/>
    <cellStyle name="Normal 8 2 2 3 3 4" xfId="9488" xr:uid="{E7520A3A-6AA6-47E3-8732-07151C9F8D76}"/>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01FC768C-135A-4FA8-B57E-6777E60D0DF8}"/>
    <cellStyle name="Normal 8 2 2 3 4 2 3" xfId="12046" xr:uid="{AB540CBE-23DC-48F9-9597-AF91AD08C7BA}"/>
    <cellStyle name="Normal 8 2 2 3 4 3" xfId="5677" xr:uid="{00000000-0005-0000-0000-0000611C0000}"/>
    <cellStyle name="Normal 8 2 2 3 4 3 2" xfId="14119" xr:uid="{445D7E79-F9B5-428D-9AF4-A9E1A9781447}"/>
    <cellStyle name="Normal 8 2 2 3 4 4" xfId="9901" xr:uid="{38B2BA00-B44F-4D20-94C7-EE5CF49568A5}"/>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0A612803-55B0-407C-AB14-03C8AF125538}"/>
    <cellStyle name="Normal 8 2 2 3 5 2 3" xfId="12459" xr:uid="{58AB49CD-9DAB-4018-843F-0B40A5BA08D2}"/>
    <cellStyle name="Normal 8 2 2 3 5 3" xfId="6090" xr:uid="{00000000-0005-0000-0000-0000651C0000}"/>
    <cellStyle name="Normal 8 2 2 3 5 3 2" xfId="14532" xr:uid="{0E26DA06-E9D5-4E5C-93B6-D8F645A1C66B}"/>
    <cellStyle name="Normal 8 2 2 3 5 4" xfId="10314" xr:uid="{C01C2919-E9CE-482F-8119-7DAAFF805A08}"/>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83E6F6CD-8237-4AFE-BA89-362A70833DE4}"/>
    <cellStyle name="Normal 8 2 2 3 6 2 3" xfId="12872" xr:uid="{93F2661F-A139-4AAE-BD34-5EE76C0B82F7}"/>
    <cellStyle name="Normal 8 2 2 3 6 3" xfId="6503" xr:uid="{00000000-0005-0000-0000-0000691C0000}"/>
    <cellStyle name="Normal 8 2 2 3 6 3 2" xfId="14945" xr:uid="{9433859E-582B-46DA-82C7-8718464AE1F5}"/>
    <cellStyle name="Normal 8 2 2 3 6 4" xfId="10727" xr:uid="{2D60B3F5-168C-4158-9C62-9310CA187C99}"/>
    <cellStyle name="Normal 8 2 2 3 7" xfId="2632" xr:uid="{00000000-0005-0000-0000-00006A1C0000}"/>
    <cellStyle name="Normal 8 2 2 3 7 2" xfId="6916" xr:uid="{00000000-0005-0000-0000-00006B1C0000}"/>
    <cellStyle name="Normal 8 2 2 3 7 2 2" xfId="15358" xr:uid="{74627043-CAC6-4EFD-BCE5-FDB052F277AA}"/>
    <cellStyle name="Normal 8 2 2 3 7 3" xfId="11140" xr:uid="{DB1A30A3-DD27-44DA-A35F-5398A78B9D4D}"/>
    <cellStyle name="Normal 8 2 2 3 8" xfId="4851" xr:uid="{00000000-0005-0000-0000-00006C1C0000}"/>
    <cellStyle name="Normal 8 2 2 3 8 2" xfId="13293" xr:uid="{F5707EAB-3E06-4D2F-902C-E04297D3B476}"/>
    <cellStyle name="Normal 8 2 2 3 9" xfId="9075" xr:uid="{647831D9-27AC-4B25-832E-FF2AECEEA5D4}"/>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03833160-D50F-4841-B02E-6123B13FC333}"/>
    <cellStyle name="Normal 8 2 2 4 2 2 3" xfId="11635" xr:uid="{28A1FA10-4D17-4D27-8D7B-E7FA801C0061}"/>
    <cellStyle name="Normal 8 2 2 4 2 3" xfId="5266" xr:uid="{00000000-0005-0000-0000-0000711C0000}"/>
    <cellStyle name="Normal 8 2 2 4 2 3 2" xfId="13708" xr:uid="{CFDC6078-003E-4988-9119-9801474DB99C}"/>
    <cellStyle name="Normal 8 2 2 4 2 4" xfId="9490" xr:uid="{6D1B86C7-C393-48AA-8A70-18FE0BE1FC7B}"/>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517D8109-8075-423F-9F02-037AE5B54681}"/>
    <cellStyle name="Normal 8 2 2 4 3 2 3" xfId="12048" xr:uid="{290DEB22-EFE2-4BCB-941B-E2885BD17898}"/>
    <cellStyle name="Normal 8 2 2 4 3 3" xfId="5679" xr:uid="{00000000-0005-0000-0000-0000751C0000}"/>
    <cellStyle name="Normal 8 2 2 4 3 3 2" xfId="14121" xr:uid="{3A4C00D6-B8C4-4778-88F6-2F358CFE8F47}"/>
    <cellStyle name="Normal 8 2 2 4 3 4" xfId="9903" xr:uid="{500A1A30-D519-4831-9ACE-63A8197BB5A6}"/>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69287457-83E6-42F6-9D2A-6EBFFD480EB1}"/>
    <cellStyle name="Normal 8 2 2 4 4 2 3" xfId="12461" xr:uid="{6027740E-ABA7-45D7-B61B-DAA0E05FA765}"/>
    <cellStyle name="Normal 8 2 2 4 4 3" xfId="6092" xr:uid="{00000000-0005-0000-0000-0000791C0000}"/>
    <cellStyle name="Normal 8 2 2 4 4 3 2" xfId="14534" xr:uid="{EA8B2715-4F0A-4F1A-8822-8DB91E34CF33}"/>
    <cellStyle name="Normal 8 2 2 4 4 4" xfId="10316" xr:uid="{4DC7120B-941E-430E-BCDF-BBCEE6A65878}"/>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85A4BFFD-59C1-4FB0-B4DA-9690520F67F8}"/>
    <cellStyle name="Normal 8 2 2 4 5 2 3" xfId="12874" xr:uid="{25FF8476-2AE2-451A-A608-BDBF1A92096C}"/>
    <cellStyle name="Normal 8 2 2 4 5 3" xfId="6505" xr:uid="{00000000-0005-0000-0000-00007D1C0000}"/>
    <cellStyle name="Normal 8 2 2 4 5 3 2" xfId="14947" xr:uid="{89179BC5-327C-4CFC-AA06-B6825E9DD534}"/>
    <cellStyle name="Normal 8 2 2 4 5 4" xfId="10729" xr:uid="{CDA98CDB-F398-44ED-9369-2928D26BEFD0}"/>
    <cellStyle name="Normal 8 2 2 4 6" xfId="2634" xr:uid="{00000000-0005-0000-0000-00007E1C0000}"/>
    <cellStyle name="Normal 8 2 2 4 6 2" xfId="6918" xr:uid="{00000000-0005-0000-0000-00007F1C0000}"/>
    <cellStyle name="Normal 8 2 2 4 6 2 2" xfId="15360" xr:uid="{B93ED506-49D7-4DEC-825C-9FC55E6F6653}"/>
    <cellStyle name="Normal 8 2 2 4 6 3" xfId="11142" xr:uid="{D9EC0794-7FA6-4D0D-B538-8B091954D1D5}"/>
    <cellStyle name="Normal 8 2 2 4 7" xfId="4853" xr:uid="{00000000-0005-0000-0000-0000801C0000}"/>
    <cellStyle name="Normal 8 2 2 4 7 2" xfId="13295" xr:uid="{6F58B01B-78AE-4512-929C-1DFF4CDA3F3F}"/>
    <cellStyle name="Normal 8 2 2 4 8" xfId="9077" xr:uid="{1CC610AB-C38B-46B5-BBCD-879850CACF8C}"/>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433FB0A9-1427-4E4D-A5B9-79684EED8758}"/>
    <cellStyle name="Normal 8 2 2 5 2 3" xfId="11628" xr:uid="{324EF9C5-B55E-4A59-95FA-5A08627FCB6F}"/>
    <cellStyle name="Normal 8 2 2 5 3" xfId="5259" xr:uid="{00000000-0005-0000-0000-0000841C0000}"/>
    <cellStyle name="Normal 8 2 2 5 3 2" xfId="13701" xr:uid="{55D1E97E-5CFD-4E12-9872-B7828B5B029C}"/>
    <cellStyle name="Normal 8 2 2 5 4" xfId="9483" xr:uid="{C3ACC2AD-73ED-4ADA-960B-664F42B2C68A}"/>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4B440882-378A-4403-A517-EDAC5D2271B8}"/>
    <cellStyle name="Normal 8 2 2 6 2 3" xfId="12041" xr:uid="{39011711-07C8-4ACD-B824-A232BF0066A0}"/>
    <cellStyle name="Normal 8 2 2 6 3" xfId="5672" xr:uid="{00000000-0005-0000-0000-0000881C0000}"/>
    <cellStyle name="Normal 8 2 2 6 3 2" xfId="14114" xr:uid="{C37B85F1-16C4-4CE9-974A-6697F3EE8716}"/>
    <cellStyle name="Normal 8 2 2 6 4" xfId="9896" xr:uid="{3BD7394A-497C-40BA-AF93-28B124CAE3F5}"/>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7C1EC534-5866-4A3E-B113-38958E74E252}"/>
    <cellStyle name="Normal 8 2 2 7 2 3" xfId="12454" xr:uid="{0E3A1A01-FFCF-4672-93CF-1F18CE9587F4}"/>
    <cellStyle name="Normal 8 2 2 7 3" xfId="6085" xr:uid="{00000000-0005-0000-0000-00008C1C0000}"/>
    <cellStyle name="Normal 8 2 2 7 3 2" xfId="14527" xr:uid="{3752710C-2C42-4AA0-BBE1-39A30A92782F}"/>
    <cellStyle name="Normal 8 2 2 7 4" xfId="10309" xr:uid="{AD6A07AC-C35E-42FC-95ED-89575D4D6C00}"/>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34AAD28F-9387-426D-9601-4EDF63895886}"/>
    <cellStyle name="Normal 8 2 2 8 2 3" xfId="12867" xr:uid="{CA8145DD-17D4-4CE8-940A-9944E283F24B}"/>
    <cellStyle name="Normal 8 2 2 8 3" xfId="6498" xr:uid="{00000000-0005-0000-0000-0000901C0000}"/>
    <cellStyle name="Normal 8 2 2 8 3 2" xfId="14940" xr:uid="{806261B4-132A-402C-8363-5FBA43D08B98}"/>
    <cellStyle name="Normal 8 2 2 8 4" xfId="10722" xr:uid="{B4DB67FA-5716-4565-ACE6-33B80BF75947}"/>
    <cellStyle name="Normal 8 2 2 9" xfId="2627" xr:uid="{00000000-0005-0000-0000-0000911C0000}"/>
    <cellStyle name="Normal 8 2 2 9 2" xfId="6911" xr:uid="{00000000-0005-0000-0000-0000921C0000}"/>
    <cellStyle name="Normal 8 2 2 9 2 2" xfId="15353" xr:uid="{70FB59F6-0C6D-4B0A-BD9F-F34681CC5698}"/>
    <cellStyle name="Normal 8 2 2 9 3" xfId="11135" xr:uid="{85A6FD1B-229B-48EE-81CB-73AD1A5F971F}"/>
    <cellStyle name="Normal 8 2 3" xfId="488" xr:uid="{00000000-0005-0000-0000-0000931C0000}"/>
    <cellStyle name="Normal 8 2 3 10" xfId="9078" xr:uid="{059A1B4E-A3F2-4EE7-8191-EE36E4D02CE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C29359D4-B683-4FC0-BF30-5E92C7FF19FD}"/>
    <cellStyle name="Normal 8 2 3 2 2 2 2 3" xfId="11638" xr:uid="{8AF7B0E6-F97C-4B82-A96F-98CC2D5EA1F3}"/>
    <cellStyle name="Normal 8 2 3 2 2 2 3" xfId="5269" xr:uid="{00000000-0005-0000-0000-0000991C0000}"/>
    <cellStyle name="Normal 8 2 3 2 2 2 3 2" xfId="13711" xr:uid="{0EF58349-B8E1-4DBE-B0B1-5EFBB4E74777}"/>
    <cellStyle name="Normal 8 2 3 2 2 2 4" xfId="9493" xr:uid="{42CE0170-ED2A-46CD-AC05-C06AA84892AE}"/>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C5E95674-661B-4FA9-A3A0-8E9F146FBF86}"/>
    <cellStyle name="Normal 8 2 3 2 2 3 2 3" xfId="12051" xr:uid="{3AF24996-952F-4426-8F12-A548027F9C62}"/>
    <cellStyle name="Normal 8 2 3 2 2 3 3" xfId="5682" xr:uid="{00000000-0005-0000-0000-00009D1C0000}"/>
    <cellStyle name="Normal 8 2 3 2 2 3 3 2" xfId="14124" xr:uid="{20541535-7948-412C-9613-F8DC1774DD74}"/>
    <cellStyle name="Normal 8 2 3 2 2 3 4" xfId="9906" xr:uid="{5B7F2433-CFFA-4955-99C8-FEB875B71797}"/>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212E4359-9962-45B1-AD24-5D189EFE3FCD}"/>
    <cellStyle name="Normal 8 2 3 2 2 4 2 3" xfId="12464" xr:uid="{B2BC3F6C-A548-4A37-B12A-FC7CA4D612BA}"/>
    <cellStyle name="Normal 8 2 3 2 2 4 3" xfId="6095" xr:uid="{00000000-0005-0000-0000-0000A11C0000}"/>
    <cellStyle name="Normal 8 2 3 2 2 4 3 2" xfId="14537" xr:uid="{FCA0CA94-ADDC-4A24-B8C4-DB759EC77511}"/>
    <cellStyle name="Normal 8 2 3 2 2 4 4" xfId="10319" xr:uid="{ACC24166-83F8-4CC8-B857-303A916748FA}"/>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18C7B198-23F3-493A-B3A3-16873CE2B28B}"/>
    <cellStyle name="Normal 8 2 3 2 2 5 2 3" xfId="12877" xr:uid="{A739CDAB-4CFE-4D8F-AE31-9F80CC402CF4}"/>
    <cellStyle name="Normal 8 2 3 2 2 5 3" xfId="6508" xr:uid="{00000000-0005-0000-0000-0000A51C0000}"/>
    <cellStyle name="Normal 8 2 3 2 2 5 3 2" xfId="14950" xr:uid="{55CF0152-3D7B-4129-AB72-BE9E0EFA2647}"/>
    <cellStyle name="Normal 8 2 3 2 2 5 4" xfId="10732" xr:uid="{6EC2FB3E-3834-482E-9434-93D710D1BF58}"/>
    <cellStyle name="Normal 8 2 3 2 2 6" xfId="2637" xr:uid="{00000000-0005-0000-0000-0000A61C0000}"/>
    <cellStyle name="Normal 8 2 3 2 2 6 2" xfId="6921" xr:uid="{00000000-0005-0000-0000-0000A71C0000}"/>
    <cellStyle name="Normal 8 2 3 2 2 6 2 2" xfId="15363" xr:uid="{7F10827D-75AD-4F09-BE71-7970B5A72195}"/>
    <cellStyle name="Normal 8 2 3 2 2 6 3" xfId="11145" xr:uid="{C0372AA2-2243-4E0C-826E-DD49AF59EFC8}"/>
    <cellStyle name="Normal 8 2 3 2 2 7" xfId="4856" xr:uid="{00000000-0005-0000-0000-0000A81C0000}"/>
    <cellStyle name="Normal 8 2 3 2 2 7 2" xfId="13298" xr:uid="{14069D11-0256-4B94-ACA7-92BCB55F8F7E}"/>
    <cellStyle name="Normal 8 2 3 2 2 8" xfId="9080" xr:uid="{6CDA4FB6-AB5D-43F5-8F8F-8E667C3FEF64}"/>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3580D005-0EC8-40EA-8262-594DE139826B}"/>
    <cellStyle name="Normal 8 2 3 2 3 2 3" xfId="11637" xr:uid="{DF01B4AE-F580-45CC-87B9-7C2589A5FA7A}"/>
    <cellStyle name="Normal 8 2 3 2 3 3" xfId="5268" xr:uid="{00000000-0005-0000-0000-0000AC1C0000}"/>
    <cellStyle name="Normal 8 2 3 2 3 3 2" xfId="13710" xr:uid="{8664295B-C288-4C85-98F2-876D64DC07C6}"/>
    <cellStyle name="Normal 8 2 3 2 3 4" xfId="9492" xr:uid="{3BCA5D2C-113D-427F-8BC5-32F1A5C60997}"/>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7390C7F7-B85A-4A13-950C-1AD32DDE51E4}"/>
    <cellStyle name="Normal 8 2 3 2 4 2 3" xfId="12050" xr:uid="{800F2469-DC9A-4230-9500-D3667FAE3BAC}"/>
    <cellStyle name="Normal 8 2 3 2 4 3" xfId="5681" xr:uid="{00000000-0005-0000-0000-0000B01C0000}"/>
    <cellStyle name="Normal 8 2 3 2 4 3 2" xfId="14123" xr:uid="{357C1209-C30C-4121-B0C2-5B4FEB58B737}"/>
    <cellStyle name="Normal 8 2 3 2 4 4" xfId="9905" xr:uid="{42A1792B-BFE8-405E-A823-36015898786D}"/>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01CDBC85-0505-49B7-829E-85648D194329}"/>
    <cellStyle name="Normal 8 2 3 2 5 2 3" xfId="12463" xr:uid="{2E8AC622-3BB1-436C-983F-58CF8F630A69}"/>
    <cellStyle name="Normal 8 2 3 2 5 3" xfId="6094" xr:uid="{00000000-0005-0000-0000-0000B41C0000}"/>
    <cellStyle name="Normal 8 2 3 2 5 3 2" xfId="14536" xr:uid="{53C27B66-948C-4AB2-BD16-ADB0DBFBBD1A}"/>
    <cellStyle name="Normal 8 2 3 2 5 4" xfId="10318" xr:uid="{50BCCC95-0E50-4B96-9F8A-505B56A1D9BD}"/>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45D257DE-AE37-4841-839B-6EDB7A0E7DA8}"/>
    <cellStyle name="Normal 8 2 3 2 6 2 3" xfId="12876" xr:uid="{3457274B-9CC6-4166-ADB0-287DD1B04AFE}"/>
    <cellStyle name="Normal 8 2 3 2 6 3" xfId="6507" xr:uid="{00000000-0005-0000-0000-0000B81C0000}"/>
    <cellStyle name="Normal 8 2 3 2 6 3 2" xfId="14949" xr:uid="{4E74A8B4-8E90-4768-84AD-8A18CF332F31}"/>
    <cellStyle name="Normal 8 2 3 2 6 4" xfId="10731" xr:uid="{1B4339A4-9D36-4A61-9BCF-6C411B89AF3B}"/>
    <cellStyle name="Normal 8 2 3 2 7" xfId="2636" xr:uid="{00000000-0005-0000-0000-0000B91C0000}"/>
    <cellStyle name="Normal 8 2 3 2 7 2" xfId="6920" xr:uid="{00000000-0005-0000-0000-0000BA1C0000}"/>
    <cellStyle name="Normal 8 2 3 2 7 2 2" xfId="15362" xr:uid="{818E9EAC-C46B-4F43-8127-720ACE734A5D}"/>
    <cellStyle name="Normal 8 2 3 2 7 3" xfId="11144" xr:uid="{D53D0F8B-DD65-43A9-A4FD-45F2F4EC23A4}"/>
    <cellStyle name="Normal 8 2 3 2 8" xfId="4855" xr:uid="{00000000-0005-0000-0000-0000BB1C0000}"/>
    <cellStyle name="Normal 8 2 3 2 8 2" xfId="13297" xr:uid="{B2985495-6BFE-46AC-8013-6A7908AD81EA}"/>
    <cellStyle name="Normal 8 2 3 2 9" xfId="9079" xr:uid="{CA4AC0B0-1D53-4865-82D0-1E5A735C88DB}"/>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F77690CC-09C4-4C53-98C6-7E4DB1E5A5AF}"/>
    <cellStyle name="Normal 8 2 3 3 2 2 3" xfId="11639" xr:uid="{06856F12-94C0-434E-A718-85E12495CE21}"/>
    <cellStyle name="Normal 8 2 3 3 2 3" xfId="5270" xr:uid="{00000000-0005-0000-0000-0000C01C0000}"/>
    <cellStyle name="Normal 8 2 3 3 2 3 2" xfId="13712" xr:uid="{5FA2A500-1F93-487F-99F4-A44EABE88EAD}"/>
    <cellStyle name="Normal 8 2 3 3 2 4" xfId="9494" xr:uid="{C133C087-907B-4C82-8E40-A5E02881FF45}"/>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7AA89E24-2C19-44E3-B9F9-6A3F476C96C0}"/>
    <cellStyle name="Normal 8 2 3 3 3 2 3" xfId="12052" xr:uid="{93BE51FA-48F3-496F-840B-9E495439A75D}"/>
    <cellStyle name="Normal 8 2 3 3 3 3" xfId="5683" xr:uid="{00000000-0005-0000-0000-0000C41C0000}"/>
    <cellStyle name="Normal 8 2 3 3 3 3 2" xfId="14125" xr:uid="{AF022715-B07E-4BC7-A423-5D99E93B9532}"/>
    <cellStyle name="Normal 8 2 3 3 3 4" xfId="9907" xr:uid="{C701352C-BF3D-4BE5-8EE6-B9A005502FF2}"/>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04DA6E47-7111-4A48-94E8-F16D793F4020}"/>
    <cellStyle name="Normal 8 2 3 3 4 2 3" xfId="12465" xr:uid="{BC8D8423-ECE1-474B-B54A-3826847FA155}"/>
    <cellStyle name="Normal 8 2 3 3 4 3" xfId="6096" xr:uid="{00000000-0005-0000-0000-0000C81C0000}"/>
    <cellStyle name="Normal 8 2 3 3 4 3 2" xfId="14538" xr:uid="{8D2DA80B-D5A8-46F0-A81F-6812FE5B48E4}"/>
    <cellStyle name="Normal 8 2 3 3 4 4" xfId="10320" xr:uid="{632D6B58-90EE-4EB8-8C55-40AB19E2A5A6}"/>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F6D4CC6D-5527-4618-A2C9-AAAF90813B32}"/>
    <cellStyle name="Normal 8 2 3 3 5 2 3" xfId="12878" xr:uid="{EC97AEB4-94A0-4C56-BC20-0E45D1AA5E5B}"/>
    <cellStyle name="Normal 8 2 3 3 5 3" xfId="6509" xr:uid="{00000000-0005-0000-0000-0000CC1C0000}"/>
    <cellStyle name="Normal 8 2 3 3 5 3 2" xfId="14951" xr:uid="{31EB823F-7A66-46AC-8E24-B96974EA68CE}"/>
    <cellStyle name="Normal 8 2 3 3 5 4" xfId="10733" xr:uid="{CEBE5BAF-E76B-4D73-97E3-94FED3AAA0A1}"/>
    <cellStyle name="Normal 8 2 3 3 6" xfId="2638" xr:uid="{00000000-0005-0000-0000-0000CD1C0000}"/>
    <cellStyle name="Normal 8 2 3 3 6 2" xfId="6922" xr:uid="{00000000-0005-0000-0000-0000CE1C0000}"/>
    <cellStyle name="Normal 8 2 3 3 6 2 2" xfId="15364" xr:uid="{7A7BBDE4-578C-433E-9AA5-4A04FCB19FD8}"/>
    <cellStyle name="Normal 8 2 3 3 6 3" xfId="11146" xr:uid="{79697FB8-BFF4-40F8-9FBE-C790570B1071}"/>
    <cellStyle name="Normal 8 2 3 3 7" xfId="4857" xr:uid="{00000000-0005-0000-0000-0000CF1C0000}"/>
    <cellStyle name="Normal 8 2 3 3 7 2" xfId="13299" xr:uid="{5AE3319F-2B97-4E8B-8DD6-4F9035DACDC8}"/>
    <cellStyle name="Normal 8 2 3 3 8" xfId="9081" xr:uid="{3C014AE4-5BA4-4004-B322-BBDE962AF6DF}"/>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4D81B2A8-A25B-4289-9D9B-04C29B0877AC}"/>
    <cellStyle name="Normal 8 2 3 4 2 3" xfId="11636" xr:uid="{DCFAD559-BEFF-4975-9CDA-482ECACBD7FA}"/>
    <cellStyle name="Normal 8 2 3 4 3" xfId="5267" xr:uid="{00000000-0005-0000-0000-0000D31C0000}"/>
    <cellStyle name="Normal 8 2 3 4 3 2" xfId="13709" xr:uid="{C9DCEABD-562D-49BA-ACC2-800F6EF1EF92}"/>
    <cellStyle name="Normal 8 2 3 4 4" xfId="9491" xr:uid="{233E929B-DDDF-4881-8C30-85BF1A081C15}"/>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80E88D74-CD59-4D71-BF58-D4BBFC2C0400}"/>
    <cellStyle name="Normal 8 2 3 5 2 3" xfId="12049" xr:uid="{F4C98E11-A645-4FCC-A931-8353318EBDAC}"/>
    <cellStyle name="Normal 8 2 3 5 3" xfId="5680" xr:uid="{00000000-0005-0000-0000-0000D71C0000}"/>
    <cellStyle name="Normal 8 2 3 5 3 2" xfId="14122" xr:uid="{4CF36F1C-B6F3-4F7B-A44E-4C3A28733FF8}"/>
    <cellStyle name="Normal 8 2 3 5 4" xfId="9904" xr:uid="{9FD343B8-F4A5-4C58-9DFF-2951EE2D5203}"/>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3C884B1D-AE7C-44E1-ABCA-F2C84F08ACF7}"/>
    <cellStyle name="Normal 8 2 3 6 2 3" xfId="12462" xr:uid="{3D712458-54DC-4184-B224-3227660F7782}"/>
    <cellStyle name="Normal 8 2 3 6 3" xfId="6093" xr:uid="{00000000-0005-0000-0000-0000DB1C0000}"/>
    <cellStyle name="Normal 8 2 3 6 3 2" xfId="14535" xr:uid="{6B280E22-36ED-4A05-AFAC-047EBB820A26}"/>
    <cellStyle name="Normal 8 2 3 6 4" xfId="10317" xr:uid="{9A722A67-1148-4282-BF73-CBDE4EBDB9E0}"/>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9B463CBE-5D61-4DBC-8FD9-298CF0773C6D}"/>
    <cellStyle name="Normal 8 2 3 7 2 3" xfId="12875" xr:uid="{9B9408FF-5126-4EAE-B4A9-069511F5220D}"/>
    <cellStyle name="Normal 8 2 3 7 3" xfId="6506" xr:uid="{00000000-0005-0000-0000-0000DF1C0000}"/>
    <cellStyle name="Normal 8 2 3 7 3 2" xfId="14948" xr:uid="{78466E83-E16A-4665-A6A4-6CA4599A7551}"/>
    <cellStyle name="Normal 8 2 3 7 4" xfId="10730" xr:uid="{29EA6629-C17E-4D4F-A448-9AAA4C47DACE}"/>
    <cellStyle name="Normal 8 2 3 8" xfId="2635" xr:uid="{00000000-0005-0000-0000-0000E01C0000}"/>
    <cellStyle name="Normal 8 2 3 8 2" xfId="6919" xr:uid="{00000000-0005-0000-0000-0000E11C0000}"/>
    <cellStyle name="Normal 8 2 3 8 2 2" xfId="15361" xr:uid="{95E98BBC-59B9-43DA-8A29-771867F8846B}"/>
    <cellStyle name="Normal 8 2 3 8 3" xfId="11143" xr:uid="{70931B62-203D-47BE-B310-4AD309D4FCDC}"/>
    <cellStyle name="Normal 8 2 3 9" xfId="4854" xr:uid="{00000000-0005-0000-0000-0000E21C0000}"/>
    <cellStyle name="Normal 8 2 3 9 2" xfId="13296" xr:uid="{9F11A7E9-04B1-4260-8E65-3C069B41EDC9}"/>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0290FB25-EAEE-46AA-9349-B549B9DCE0E1}"/>
    <cellStyle name="Normal 8 2 4 2 2 2 3" xfId="11641" xr:uid="{253FAAE0-FFDD-4C06-B15A-80F537A8661F}"/>
    <cellStyle name="Normal 8 2 4 2 2 3" xfId="5272" xr:uid="{00000000-0005-0000-0000-0000E81C0000}"/>
    <cellStyle name="Normal 8 2 4 2 2 3 2" xfId="13714" xr:uid="{A15C08D9-0E86-40AD-9DA2-69056C6AD9FD}"/>
    <cellStyle name="Normal 8 2 4 2 2 4" xfId="9496" xr:uid="{6B52AA9F-322D-45FF-B44B-688381623762}"/>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129CAC6C-5263-49F9-B97B-835438D0EE18}"/>
    <cellStyle name="Normal 8 2 4 2 3 2 3" xfId="12054" xr:uid="{6EEAC8D2-85DF-4BE2-A4E4-B05A2E9906C0}"/>
    <cellStyle name="Normal 8 2 4 2 3 3" xfId="5685" xr:uid="{00000000-0005-0000-0000-0000EC1C0000}"/>
    <cellStyle name="Normal 8 2 4 2 3 3 2" xfId="14127" xr:uid="{BF23E087-C3EF-4F0E-86E4-59E72EF8538B}"/>
    <cellStyle name="Normal 8 2 4 2 3 4" xfId="9909" xr:uid="{DF913798-2C05-47AD-9342-F9090E3DB6E8}"/>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57102D49-2F5F-4692-914C-37FFB23B03AA}"/>
    <cellStyle name="Normal 8 2 4 2 4 2 3" xfId="12467" xr:uid="{CE36377B-C5F7-4A9B-B3AE-E37B18427691}"/>
    <cellStyle name="Normal 8 2 4 2 4 3" xfId="6098" xr:uid="{00000000-0005-0000-0000-0000F01C0000}"/>
    <cellStyle name="Normal 8 2 4 2 4 3 2" xfId="14540" xr:uid="{2A7CE423-9EE4-4DF2-8159-5FA138DBB0F6}"/>
    <cellStyle name="Normal 8 2 4 2 4 4" xfId="10322" xr:uid="{726646B5-982E-4BF9-A862-41094877C94B}"/>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7BEC84CA-BA25-452C-B45F-8D02A03A6C9E}"/>
    <cellStyle name="Normal 8 2 4 2 5 2 3" xfId="12880" xr:uid="{628261EE-CDA5-4B1B-AE4A-A2904B25FEA1}"/>
    <cellStyle name="Normal 8 2 4 2 5 3" xfId="6511" xr:uid="{00000000-0005-0000-0000-0000F41C0000}"/>
    <cellStyle name="Normal 8 2 4 2 5 3 2" xfId="14953" xr:uid="{5A52F068-3A4C-47D1-A457-1B5B2EEDFC9D}"/>
    <cellStyle name="Normal 8 2 4 2 5 4" xfId="10735" xr:uid="{B6090755-302A-458B-9054-812617F43AC6}"/>
    <cellStyle name="Normal 8 2 4 2 6" xfId="2640" xr:uid="{00000000-0005-0000-0000-0000F51C0000}"/>
    <cellStyle name="Normal 8 2 4 2 6 2" xfId="6924" xr:uid="{00000000-0005-0000-0000-0000F61C0000}"/>
    <cellStyle name="Normal 8 2 4 2 6 2 2" xfId="15366" xr:uid="{33B22A7B-246D-43AB-80A9-7691FA77566B}"/>
    <cellStyle name="Normal 8 2 4 2 6 3" xfId="11148" xr:uid="{B1F98A19-8BE4-494E-8624-F97857250A5C}"/>
    <cellStyle name="Normal 8 2 4 2 7" xfId="4859" xr:uid="{00000000-0005-0000-0000-0000F71C0000}"/>
    <cellStyle name="Normal 8 2 4 2 7 2" xfId="13301" xr:uid="{6CFF3A1B-5AA1-4D69-8AA2-BF327BFE2188}"/>
    <cellStyle name="Normal 8 2 4 2 8" xfId="9083" xr:uid="{160D7B5E-5D96-4D00-BAF0-E45579AD261A}"/>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BA7057EB-BFE8-43CE-8834-5991182F9EA4}"/>
    <cellStyle name="Normal 8 2 4 3 2 3" xfId="11640" xr:uid="{C4E0CC99-1F45-44EC-B435-97B762855437}"/>
    <cellStyle name="Normal 8 2 4 3 3" xfId="5271" xr:uid="{00000000-0005-0000-0000-0000FB1C0000}"/>
    <cellStyle name="Normal 8 2 4 3 3 2" xfId="13713" xr:uid="{567CA61A-A948-44C6-9E27-1467F2A0BCB8}"/>
    <cellStyle name="Normal 8 2 4 3 4" xfId="9495" xr:uid="{572774DD-33D7-4D0B-B6BB-29C8079F2030}"/>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909FDFA9-7303-484C-9B33-DB28FAA23F5C}"/>
    <cellStyle name="Normal 8 2 4 4 2 3" xfId="12053" xr:uid="{2FC779E4-B6C7-46FE-8C7E-877A5766F1E8}"/>
    <cellStyle name="Normal 8 2 4 4 3" xfId="5684" xr:uid="{00000000-0005-0000-0000-0000FF1C0000}"/>
    <cellStyle name="Normal 8 2 4 4 3 2" xfId="14126" xr:uid="{603BE897-0C1F-4BA9-AE17-864ABC3B5439}"/>
    <cellStyle name="Normal 8 2 4 4 4" xfId="9908" xr:uid="{09B4EA59-E2C1-40D3-B7F2-D5D22F4E4361}"/>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F29E6F33-2748-48B5-85CB-4DEBC81F37AF}"/>
    <cellStyle name="Normal 8 2 4 5 2 3" xfId="12466" xr:uid="{DAF61E05-C366-4FCC-A26D-F5C65996CF3A}"/>
    <cellStyle name="Normal 8 2 4 5 3" xfId="6097" xr:uid="{00000000-0005-0000-0000-0000031D0000}"/>
    <cellStyle name="Normal 8 2 4 5 3 2" xfId="14539" xr:uid="{3B2A7D70-8CC0-4DB3-824D-317A00DFFF21}"/>
    <cellStyle name="Normal 8 2 4 5 4" xfId="10321" xr:uid="{15E5A105-C7B6-4823-B7B3-DE5B2C2617EE}"/>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3A98EE3E-FF28-4F3A-A4A3-0FD720393AD5}"/>
    <cellStyle name="Normal 8 2 4 6 2 3" xfId="12879" xr:uid="{347F3D60-E4E6-452C-81F3-35E98E502995}"/>
    <cellStyle name="Normal 8 2 4 6 3" xfId="6510" xr:uid="{00000000-0005-0000-0000-0000071D0000}"/>
    <cellStyle name="Normal 8 2 4 6 3 2" xfId="14952" xr:uid="{F253BF11-6634-4E49-859D-A4FC6701D437}"/>
    <cellStyle name="Normal 8 2 4 6 4" xfId="10734" xr:uid="{4806F08B-821C-4A6D-B20B-51BBE4AA7175}"/>
    <cellStyle name="Normal 8 2 4 7" xfId="2639" xr:uid="{00000000-0005-0000-0000-0000081D0000}"/>
    <cellStyle name="Normal 8 2 4 7 2" xfId="6923" xr:uid="{00000000-0005-0000-0000-0000091D0000}"/>
    <cellStyle name="Normal 8 2 4 7 2 2" xfId="15365" xr:uid="{46CD502A-D70C-4349-B7CA-3F4FC8437020}"/>
    <cellStyle name="Normal 8 2 4 7 3" xfId="11147" xr:uid="{5B5944AD-E2A6-4B5B-B4C7-E7D41DAB4E29}"/>
    <cellStyle name="Normal 8 2 4 8" xfId="4858" xr:uid="{00000000-0005-0000-0000-00000A1D0000}"/>
    <cellStyle name="Normal 8 2 4 8 2" xfId="13300" xr:uid="{D41B5FDD-1C66-44BF-9D8C-C355C30F1D07}"/>
    <cellStyle name="Normal 8 2 4 9" xfId="9082" xr:uid="{F814834C-4582-4233-9E6F-9A04C9BADF29}"/>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9D6BEFA1-5506-4F93-806E-187D959D9C3D}"/>
    <cellStyle name="Normal 8 2 5 2 2 3" xfId="11642" xr:uid="{F6AD220B-8D3C-4852-B692-A490B8F20CE7}"/>
    <cellStyle name="Normal 8 2 5 2 3" xfId="5273" xr:uid="{00000000-0005-0000-0000-00000F1D0000}"/>
    <cellStyle name="Normal 8 2 5 2 3 2" xfId="13715" xr:uid="{477A1B3B-F357-4C7E-B54C-6F23A667FE56}"/>
    <cellStyle name="Normal 8 2 5 2 4" xfId="9497" xr:uid="{F229CD32-C901-4B97-AE7F-2AEC8F3C5AEB}"/>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4D8895DF-F46C-4C2E-8018-A047DBD9D819}"/>
    <cellStyle name="Normal 8 2 5 3 2 3" xfId="12055" xr:uid="{28CFF5B0-036F-49E1-B3C0-05E2E109D777}"/>
    <cellStyle name="Normal 8 2 5 3 3" xfId="5686" xr:uid="{00000000-0005-0000-0000-0000131D0000}"/>
    <cellStyle name="Normal 8 2 5 3 3 2" xfId="14128" xr:uid="{A4AFC9AD-D9A1-4B74-97C4-0B0EB1893695}"/>
    <cellStyle name="Normal 8 2 5 3 4" xfId="9910" xr:uid="{520AE7F1-5261-4B0A-BDF3-F4BB2E8B2D5F}"/>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3D02BE7C-D0D5-469C-BF92-77D073274A4D}"/>
    <cellStyle name="Normal 8 2 5 4 2 3" xfId="12468" xr:uid="{8E631A24-7631-440A-9F35-A2A5A84D4CF3}"/>
    <cellStyle name="Normal 8 2 5 4 3" xfId="6099" xr:uid="{00000000-0005-0000-0000-0000171D0000}"/>
    <cellStyle name="Normal 8 2 5 4 3 2" xfId="14541" xr:uid="{8F7A0978-5CE3-4DFB-8B12-21343C1EDD0B}"/>
    <cellStyle name="Normal 8 2 5 4 4" xfId="10323" xr:uid="{B1A2E214-6912-4FE9-B800-B6599F10AB03}"/>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94B0F082-7449-4C46-924B-7A27E5CE016B}"/>
    <cellStyle name="Normal 8 2 5 5 2 3" xfId="12881" xr:uid="{6A1C26B6-A364-47A8-B088-D458EA7207BD}"/>
    <cellStyle name="Normal 8 2 5 5 3" xfId="6512" xr:uid="{00000000-0005-0000-0000-00001B1D0000}"/>
    <cellStyle name="Normal 8 2 5 5 3 2" xfId="14954" xr:uid="{B39BA06C-C960-4D46-AC4D-4A7FA42495D6}"/>
    <cellStyle name="Normal 8 2 5 5 4" xfId="10736" xr:uid="{E2BDA4BA-832D-4290-AC47-2AE9575714E8}"/>
    <cellStyle name="Normal 8 2 5 6" xfId="2641" xr:uid="{00000000-0005-0000-0000-00001C1D0000}"/>
    <cellStyle name="Normal 8 2 5 6 2" xfId="6925" xr:uid="{00000000-0005-0000-0000-00001D1D0000}"/>
    <cellStyle name="Normal 8 2 5 6 2 2" xfId="15367" xr:uid="{CD38C25F-309F-4E8A-99D3-BB0EA0F3633B}"/>
    <cellStyle name="Normal 8 2 5 6 3" xfId="11149" xr:uid="{4567E10C-E7D8-4000-A839-DC07B5385C8D}"/>
    <cellStyle name="Normal 8 2 5 7" xfId="4860" xr:uid="{00000000-0005-0000-0000-00001E1D0000}"/>
    <cellStyle name="Normal 8 2 5 7 2" xfId="13302" xr:uid="{7215C04A-0893-4B91-A3FD-09C7DB785CD7}"/>
    <cellStyle name="Normal 8 2 5 8" xfId="9084" xr:uid="{8F12B6DF-330F-488F-B057-3C8BBCB07AB6}"/>
    <cellStyle name="Normal 8 2 6" xfId="946" xr:uid="{00000000-0005-0000-0000-00001F1D0000}"/>
    <cellStyle name="Normal 8 2 6 2" xfId="3180" xr:uid="{00000000-0005-0000-0000-0000201D0000}"/>
    <cellStyle name="Normal 8 2 6 2 2" xfId="7403" xr:uid="{00000000-0005-0000-0000-0000211D0000}"/>
    <cellStyle name="Normal 8 2 6 2 2 2" xfId="15845" xr:uid="{3AA14CCD-8F65-4078-B051-C7FCC3D33D78}"/>
    <cellStyle name="Normal 8 2 6 2 3" xfId="11627" xr:uid="{340E8A23-4DF4-4166-A3BC-6E38CA87A65C}"/>
    <cellStyle name="Normal 8 2 6 3" xfId="5258" xr:uid="{00000000-0005-0000-0000-0000221D0000}"/>
    <cellStyle name="Normal 8 2 6 3 2" xfId="13700" xr:uid="{037F143E-6A56-4006-AA0B-072F46F6C52D}"/>
    <cellStyle name="Normal 8 2 6 4" xfId="9482" xr:uid="{9104A279-E27F-40A1-82D6-93995D3845C3}"/>
    <cellStyle name="Normal 8 2 7" xfId="1363" xr:uid="{00000000-0005-0000-0000-0000231D0000}"/>
    <cellStyle name="Normal 8 2 7 2" xfId="3593" xr:uid="{00000000-0005-0000-0000-0000241D0000}"/>
    <cellStyle name="Normal 8 2 7 2 2" xfId="7816" xr:uid="{00000000-0005-0000-0000-0000251D0000}"/>
    <cellStyle name="Normal 8 2 7 2 2 2" xfId="16258" xr:uid="{0FCBEA0E-2E94-4E80-95B0-49A8F3A71E00}"/>
    <cellStyle name="Normal 8 2 7 2 3" xfId="12040" xr:uid="{8D46F63D-542C-442A-807A-8EE413B69941}"/>
    <cellStyle name="Normal 8 2 7 3" xfId="5671" xr:uid="{00000000-0005-0000-0000-0000261D0000}"/>
    <cellStyle name="Normal 8 2 7 3 2" xfId="14113" xr:uid="{5D05C757-B052-4A54-84A9-6C190F7691E2}"/>
    <cellStyle name="Normal 8 2 7 4" xfId="9895" xr:uid="{B41CB995-A3CC-4405-92F9-8CD5569F5E1C}"/>
    <cellStyle name="Normal 8 2 8" xfId="1776" xr:uid="{00000000-0005-0000-0000-0000271D0000}"/>
    <cellStyle name="Normal 8 2 8 2" xfId="4006" xr:uid="{00000000-0005-0000-0000-0000281D0000}"/>
    <cellStyle name="Normal 8 2 8 2 2" xfId="8229" xr:uid="{00000000-0005-0000-0000-0000291D0000}"/>
    <cellStyle name="Normal 8 2 8 2 2 2" xfId="16671" xr:uid="{003F2F31-7538-412C-B381-E7A1DBF3CBFF}"/>
    <cellStyle name="Normal 8 2 8 2 3" xfId="12453" xr:uid="{2A7CF137-484C-41A4-B46D-1B16E0A2AB32}"/>
    <cellStyle name="Normal 8 2 8 3" xfId="6084" xr:uid="{00000000-0005-0000-0000-00002A1D0000}"/>
    <cellStyle name="Normal 8 2 8 3 2" xfId="14526" xr:uid="{FFBFC0E2-1D2C-4DED-B5AF-0EA6AC03112C}"/>
    <cellStyle name="Normal 8 2 8 4" xfId="10308" xr:uid="{75E99B1C-DD1D-4F7D-A94B-6A644F4755AC}"/>
    <cellStyle name="Normal 8 2 9" xfId="2190" xr:uid="{00000000-0005-0000-0000-00002B1D0000}"/>
    <cellStyle name="Normal 8 2 9 2" xfId="4419" xr:uid="{00000000-0005-0000-0000-00002C1D0000}"/>
    <cellStyle name="Normal 8 2 9 2 2" xfId="8642" xr:uid="{00000000-0005-0000-0000-00002D1D0000}"/>
    <cellStyle name="Normal 8 2 9 2 2 2" xfId="17084" xr:uid="{F4E4E4A6-58C5-4E78-9783-6F90FE104580}"/>
    <cellStyle name="Normal 8 2 9 2 3" xfId="12866" xr:uid="{2CF664BE-2C1A-4C0D-9A61-267875F49C0A}"/>
    <cellStyle name="Normal 8 2 9 3" xfId="6497" xr:uid="{00000000-0005-0000-0000-00002E1D0000}"/>
    <cellStyle name="Normal 8 2 9 3 2" xfId="14939" xr:uid="{55832D07-62F9-468A-83AF-CBAA13AF49B2}"/>
    <cellStyle name="Normal 8 2 9 4" xfId="10721" xr:uid="{D3A01E27-7A53-4C20-9928-20EEB96D02A9}"/>
    <cellStyle name="Normal 8 3" xfId="495" xr:uid="{00000000-0005-0000-0000-00002F1D0000}"/>
    <cellStyle name="Normal 8 3 10" xfId="4861" xr:uid="{00000000-0005-0000-0000-0000301D0000}"/>
    <cellStyle name="Normal 8 3 10 2" xfId="13303" xr:uid="{17D5EA50-B100-4197-A64A-355176001088}"/>
    <cellStyle name="Normal 8 3 11" xfId="9085" xr:uid="{6EA492EB-F1BB-418D-89A6-C042FFA64244}"/>
    <cellStyle name="Normal 8 3 2" xfId="496" xr:uid="{00000000-0005-0000-0000-0000311D0000}"/>
    <cellStyle name="Normal 8 3 2 10" xfId="9086" xr:uid="{36ED5372-F1A3-48E3-B9A3-4E8912B0A596}"/>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C62CF00A-6462-40C9-98BA-C0B1ECAEC32F}"/>
    <cellStyle name="Normal 8 3 2 2 2 2 2 3" xfId="11646" xr:uid="{17C445DF-4AA3-4B87-933E-52AE20F6ECD4}"/>
    <cellStyle name="Normal 8 3 2 2 2 2 3" xfId="5277" xr:uid="{00000000-0005-0000-0000-0000371D0000}"/>
    <cellStyle name="Normal 8 3 2 2 2 2 3 2" xfId="13719" xr:uid="{87841B2D-43DD-4EBF-BE88-1ED7F33A8D88}"/>
    <cellStyle name="Normal 8 3 2 2 2 2 4" xfId="9501" xr:uid="{864CEFBF-5572-48DF-8D7F-E84E13924C43}"/>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8C0DF258-82D4-4A69-8E27-ACB74C3C0723}"/>
    <cellStyle name="Normal 8 3 2 2 2 3 2 3" xfId="12059" xr:uid="{1725759B-759C-4F49-B4A4-2A125934B270}"/>
    <cellStyle name="Normal 8 3 2 2 2 3 3" xfId="5690" xr:uid="{00000000-0005-0000-0000-00003B1D0000}"/>
    <cellStyle name="Normal 8 3 2 2 2 3 3 2" xfId="14132" xr:uid="{6AB09ACB-0F4F-4EB5-BA8D-3D7F7D4CAA1D}"/>
    <cellStyle name="Normal 8 3 2 2 2 3 4" xfId="9914" xr:uid="{57282E5D-DE03-4834-94D6-329EEBB4F61D}"/>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722C3FAE-804B-4179-A7F1-8E219BDA7E8E}"/>
    <cellStyle name="Normal 8 3 2 2 2 4 2 3" xfId="12472" xr:uid="{D322FDF2-692D-45D5-ABA3-3817F0149C34}"/>
    <cellStyle name="Normal 8 3 2 2 2 4 3" xfId="6103" xr:uid="{00000000-0005-0000-0000-00003F1D0000}"/>
    <cellStyle name="Normal 8 3 2 2 2 4 3 2" xfId="14545" xr:uid="{536606DF-7DAF-4518-95F2-F3F9C1B11CC7}"/>
    <cellStyle name="Normal 8 3 2 2 2 4 4" xfId="10327" xr:uid="{60E7A2EF-54C0-483C-A76A-AA14DD4FF17A}"/>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4F338FEC-34E3-4BF3-862F-37871C4BC298}"/>
    <cellStyle name="Normal 8 3 2 2 2 5 2 3" xfId="12885" xr:uid="{EE3B1F9B-E3C9-4FD8-8993-036D6D1F958D}"/>
    <cellStyle name="Normal 8 3 2 2 2 5 3" xfId="6516" xr:uid="{00000000-0005-0000-0000-0000431D0000}"/>
    <cellStyle name="Normal 8 3 2 2 2 5 3 2" xfId="14958" xr:uid="{3762B2AF-1216-4103-9598-6F51DFB766F8}"/>
    <cellStyle name="Normal 8 3 2 2 2 5 4" xfId="10740" xr:uid="{5FFE6EBE-7736-46D2-A0D5-60524AB6BC76}"/>
    <cellStyle name="Normal 8 3 2 2 2 6" xfId="2645" xr:uid="{00000000-0005-0000-0000-0000441D0000}"/>
    <cellStyle name="Normal 8 3 2 2 2 6 2" xfId="6929" xr:uid="{00000000-0005-0000-0000-0000451D0000}"/>
    <cellStyle name="Normal 8 3 2 2 2 6 2 2" xfId="15371" xr:uid="{19AADD47-99B0-4046-B43B-0AB8F1D7E8E4}"/>
    <cellStyle name="Normal 8 3 2 2 2 6 3" xfId="11153" xr:uid="{F6E17473-20FA-4CCE-B1F7-18833A9B2A7C}"/>
    <cellStyle name="Normal 8 3 2 2 2 7" xfId="4864" xr:uid="{00000000-0005-0000-0000-0000461D0000}"/>
    <cellStyle name="Normal 8 3 2 2 2 7 2" xfId="13306" xr:uid="{849361EC-E0E4-42CD-B9FB-59E0072EFB3E}"/>
    <cellStyle name="Normal 8 3 2 2 2 8" xfId="9088" xr:uid="{F3E97703-7C98-495E-B758-60D018371CA8}"/>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A2C23D96-DB2E-4B09-92E4-9C8F30D9B9FE}"/>
    <cellStyle name="Normal 8 3 2 2 3 2 3" xfId="11645" xr:uid="{6C9BE450-CEC9-498D-B295-97DD18D7978B}"/>
    <cellStyle name="Normal 8 3 2 2 3 3" xfId="5276" xr:uid="{00000000-0005-0000-0000-00004A1D0000}"/>
    <cellStyle name="Normal 8 3 2 2 3 3 2" xfId="13718" xr:uid="{3B22321D-F78D-4E02-BF0A-1F4CDFC6D6FC}"/>
    <cellStyle name="Normal 8 3 2 2 3 4" xfId="9500" xr:uid="{42552F8A-9732-4B63-8FBD-0E32C20A35D4}"/>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F27523F3-5CE7-447A-9BE5-78D69B9E85FA}"/>
    <cellStyle name="Normal 8 3 2 2 4 2 3" xfId="12058" xr:uid="{980430C4-9010-4A32-A2D7-9635B866EF3F}"/>
    <cellStyle name="Normal 8 3 2 2 4 3" xfId="5689" xr:uid="{00000000-0005-0000-0000-00004E1D0000}"/>
    <cellStyle name="Normal 8 3 2 2 4 3 2" xfId="14131" xr:uid="{64500318-FEED-4465-9425-8C980585CBCB}"/>
    <cellStyle name="Normal 8 3 2 2 4 4" xfId="9913" xr:uid="{661FF3AD-2F0E-4F6E-BFB1-CA568C783F97}"/>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AB9A8715-1FF7-413C-9832-C7AB95D93D6C}"/>
    <cellStyle name="Normal 8 3 2 2 5 2 3" xfId="12471" xr:uid="{CEE69D4E-428E-4C85-AA33-41F9A02E32ED}"/>
    <cellStyle name="Normal 8 3 2 2 5 3" xfId="6102" xr:uid="{00000000-0005-0000-0000-0000521D0000}"/>
    <cellStyle name="Normal 8 3 2 2 5 3 2" xfId="14544" xr:uid="{F7D3343C-FBCE-4473-9B0A-9AFE4B44A3C7}"/>
    <cellStyle name="Normal 8 3 2 2 5 4" xfId="10326" xr:uid="{481740FA-5F38-4A29-80F5-07143DB15492}"/>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17AB2EE7-E672-4082-993E-25449FD67D9B}"/>
    <cellStyle name="Normal 8 3 2 2 6 2 3" xfId="12884" xr:uid="{A03769F1-AFE7-4107-B2AF-26BD9BC40D88}"/>
    <cellStyle name="Normal 8 3 2 2 6 3" xfId="6515" xr:uid="{00000000-0005-0000-0000-0000561D0000}"/>
    <cellStyle name="Normal 8 3 2 2 6 3 2" xfId="14957" xr:uid="{9FE82AFC-2791-4F4B-B9E2-88B337A150D8}"/>
    <cellStyle name="Normal 8 3 2 2 6 4" xfId="10739" xr:uid="{ED20FE68-C8AA-4234-9609-7DEFCFC9ED3A}"/>
    <cellStyle name="Normal 8 3 2 2 7" xfId="2644" xr:uid="{00000000-0005-0000-0000-0000571D0000}"/>
    <cellStyle name="Normal 8 3 2 2 7 2" xfId="6928" xr:uid="{00000000-0005-0000-0000-0000581D0000}"/>
    <cellStyle name="Normal 8 3 2 2 7 2 2" xfId="15370" xr:uid="{35FA7A4B-2DB1-4686-88BF-04D1F194F669}"/>
    <cellStyle name="Normal 8 3 2 2 7 3" xfId="11152" xr:uid="{3B012491-CF7A-42CD-A88E-0C3F8E812228}"/>
    <cellStyle name="Normal 8 3 2 2 8" xfId="4863" xr:uid="{00000000-0005-0000-0000-0000591D0000}"/>
    <cellStyle name="Normal 8 3 2 2 8 2" xfId="13305" xr:uid="{ED248781-DA9E-44A5-B4FA-46BDD07A62CE}"/>
    <cellStyle name="Normal 8 3 2 2 9" xfId="9087" xr:uid="{E7E42F93-4EE5-409D-BC79-27DE8E3F3767}"/>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6B9A6F27-ED4A-41A3-AA2D-A1949D550419}"/>
    <cellStyle name="Normal 8 3 2 3 2 2 3" xfId="11647" xr:uid="{BD6AC083-0CF2-441C-86EC-9165B8A0B7BA}"/>
    <cellStyle name="Normal 8 3 2 3 2 3" xfId="5278" xr:uid="{00000000-0005-0000-0000-00005E1D0000}"/>
    <cellStyle name="Normal 8 3 2 3 2 3 2" xfId="13720" xr:uid="{674E94A8-A756-4C82-97C2-41CEB954BC0E}"/>
    <cellStyle name="Normal 8 3 2 3 2 4" xfId="9502" xr:uid="{67762162-2B5C-4ECF-BDBC-CED7F6726852}"/>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2EC20B23-95A2-4D2A-A910-45C63D6E03E3}"/>
    <cellStyle name="Normal 8 3 2 3 3 2 3" xfId="12060" xr:uid="{A965EA87-4FAC-4D02-8BFA-7FD445EB0F72}"/>
    <cellStyle name="Normal 8 3 2 3 3 3" xfId="5691" xr:uid="{00000000-0005-0000-0000-0000621D0000}"/>
    <cellStyle name="Normal 8 3 2 3 3 3 2" xfId="14133" xr:uid="{2CD41E53-63E7-4CEB-ACBB-1241D30B2A53}"/>
    <cellStyle name="Normal 8 3 2 3 3 4" xfId="9915" xr:uid="{5EC92942-ECC4-4DFC-8067-81BBE865CF48}"/>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66C39C6A-1738-48BA-AE4A-5594D6B63E56}"/>
    <cellStyle name="Normal 8 3 2 3 4 2 3" xfId="12473" xr:uid="{C161FDA5-72CB-46AA-831F-298F57D18337}"/>
    <cellStyle name="Normal 8 3 2 3 4 3" xfId="6104" xr:uid="{00000000-0005-0000-0000-0000661D0000}"/>
    <cellStyle name="Normal 8 3 2 3 4 3 2" xfId="14546" xr:uid="{8CEF86FD-A826-491F-9400-22F6BE698BF4}"/>
    <cellStyle name="Normal 8 3 2 3 4 4" xfId="10328" xr:uid="{E03C0344-6B14-4C47-8565-4C3455028AAB}"/>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0A5FE307-A7DC-42E9-ABCD-991E41041E08}"/>
    <cellStyle name="Normal 8 3 2 3 5 2 3" xfId="12886" xr:uid="{FE405956-241E-4AC9-8C35-B87091EDA8AB}"/>
    <cellStyle name="Normal 8 3 2 3 5 3" xfId="6517" xr:uid="{00000000-0005-0000-0000-00006A1D0000}"/>
    <cellStyle name="Normal 8 3 2 3 5 3 2" xfId="14959" xr:uid="{7F8682A3-8CD8-4EA2-86D5-D1EB34C29E4F}"/>
    <cellStyle name="Normal 8 3 2 3 5 4" xfId="10741" xr:uid="{E5CC5C8E-EA5E-41A3-8A1F-72AFE54C6750}"/>
    <cellStyle name="Normal 8 3 2 3 6" xfId="2646" xr:uid="{00000000-0005-0000-0000-00006B1D0000}"/>
    <cellStyle name="Normal 8 3 2 3 6 2" xfId="6930" xr:uid="{00000000-0005-0000-0000-00006C1D0000}"/>
    <cellStyle name="Normal 8 3 2 3 6 2 2" xfId="15372" xr:uid="{873293A8-07F1-4B90-90C9-8B5EFCC94973}"/>
    <cellStyle name="Normal 8 3 2 3 6 3" xfId="11154" xr:uid="{4C6F10B2-EC9E-4292-8F33-28954165C821}"/>
    <cellStyle name="Normal 8 3 2 3 7" xfId="4865" xr:uid="{00000000-0005-0000-0000-00006D1D0000}"/>
    <cellStyle name="Normal 8 3 2 3 7 2" xfId="13307" xr:uid="{69911ACB-660F-464F-BA9A-AC3703B1A987}"/>
    <cellStyle name="Normal 8 3 2 3 8" xfId="9089" xr:uid="{1F4DB168-23B6-4C6A-AA86-E3AB3CA7BE3A}"/>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083AE39B-BF9D-4B9D-B1A6-D10CABAA4A2F}"/>
    <cellStyle name="Normal 8 3 2 4 2 3" xfId="11644" xr:uid="{3B62A943-874C-402B-87B1-40AA01C09EA3}"/>
    <cellStyle name="Normal 8 3 2 4 3" xfId="5275" xr:uid="{00000000-0005-0000-0000-0000711D0000}"/>
    <cellStyle name="Normal 8 3 2 4 3 2" xfId="13717" xr:uid="{0B0C96CA-76DD-4393-8F30-754F862E3563}"/>
    <cellStyle name="Normal 8 3 2 4 4" xfId="9499" xr:uid="{C9BD1DB5-C7D3-4694-A18C-EDB0BDCF4EE8}"/>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CF91A922-2229-4673-9DFA-3D3F1D2EE9BE}"/>
    <cellStyle name="Normal 8 3 2 5 2 3" xfId="12057" xr:uid="{3328C47F-F257-4F19-A36D-7F7510DE8604}"/>
    <cellStyle name="Normal 8 3 2 5 3" xfId="5688" xr:uid="{00000000-0005-0000-0000-0000751D0000}"/>
    <cellStyle name="Normal 8 3 2 5 3 2" xfId="14130" xr:uid="{472A552B-1741-4C19-A789-E40C14061EE6}"/>
    <cellStyle name="Normal 8 3 2 5 4" xfId="9912" xr:uid="{FD89FC6E-1526-4B23-AA2E-A99584FF81F5}"/>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3B80EF04-89E4-4748-A375-E401B4A3B56E}"/>
    <cellStyle name="Normal 8 3 2 6 2 3" xfId="12470" xr:uid="{D99A7A83-667B-4EB5-987E-83727E995832}"/>
    <cellStyle name="Normal 8 3 2 6 3" xfId="6101" xr:uid="{00000000-0005-0000-0000-0000791D0000}"/>
    <cellStyle name="Normal 8 3 2 6 3 2" xfId="14543" xr:uid="{27489171-7A36-47AA-AADF-C881AA418AFB}"/>
    <cellStyle name="Normal 8 3 2 6 4" xfId="10325" xr:uid="{18C4228D-2B7A-438C-BC12-8C8EDDBCD549}"/>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3B0C04B3-8ABD-4AB4-B6C9-BE0D8E3C1A01}"/>
    <cellStyle name="Normal 8 3 2 7 2 3" xfId="12883" xr:uid="{8EF23B03-C87E-4988-94D3-05D7BA1A596D}"/>
    <cellStyle name="Normal 8 3 2 7 3" xfId="6514" xr:uid="{00000000-0005-0000-0000-00007D1D0000}"/>
    <cellStyle name="Normal 8 3 2 7 3 2" xfId="14956" xr:uid="{FDD955A3-E452-49C5-88A6-5DEFD53149F8}"/>
    <cellStyle name="Normal 8 3 2 7 4" xfId="10738" xr:uid="{DB2A2938-E1B3-4F77-A987-E1616DD76CD0}"/>
    <cellStyle name="Normal 8 3 2 8" xfId="2643" xr:uid="{00000000-0005-0000-0000-00007E1D0000}"/>
    <cellStyle name="Normal 8 3 2 8 2" xfId="6927" xr:uid="{00000000-0005-0000-0000-00007F1D0000}"/>
    <cellStyle name="Normal 8 3 2 8 2 2" xfId="15369" xr:uid="{E38DDA00-FDA8-4132-B5AE-735CAA4BC669}"/>
    <cellStyle name="Normal 8 3 2 8 3" xfId="11151" xr:uid="{BB5C314A-0738-4539-B49C-59CA9E862A82}"/>
    <cellStyle name="Normal 8 3 2 9" xfId="4862" xr:uid="{00000000-0005-0000-0000-0000801D0000}"/>
    <cellStyle name="Normal 8 3 2 9 2" xfId="13304" xr:uid="{020AFA5F-D629-4BE1-99C1-8832F47D517A}"/>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D71CDA93-D628-41BF-813C-A373B935F80C}"/>
    <cellStyle name="Normal 8 3 3 2 2 2 3" xfId="11649" xr:uid="{8408ABF9-8F1E-468E-8C09-E3B619F223CB}"/>
    <cellStyle name="Normal 8 3 3 2 2 3" xfId="5280" xr:uid="{00000000-0005-0000-0000-0000861D0000}"/>
    <cellStyle name="Normal 8 3 3 2 2 3 2" xfId="13722" xr:uid="{8808F856-E806-4445-B730-ED986CB08F28}"/>
    <cellStyle name="Normal 8 3 3 2 2 4" xfId="9504" xr:uid="{12B78541-A4E2-432C-ADDA-277EB9BA3D66}"/>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6A78F7D8-8713-4088-B592-2EA4A7201153}"/>
    <cellStyle name="Normal 8 3 3 2 3 2 3" xfId="12062" xr:uid="{D9C07927-FFDC-48C7-90F0-A24EBCB1CA38}"/>
    <cellStyle name="Normal 8 3 3 2 3 3" xfId="5693" xr:uid="{00000000-0005-0000-0000-00008A1D0000}"/>
    <cellStyle name="Normal 8 3 3 2 3 3 2" xfId="14135" xr:uid="{4B8130F0-5460-4EB7-9B54-D6AD8C8D690D}"/>
    <cellStyle name="Normal 8 3 3 2 3 4" xfId="9917" xr:uid="{85BE4F79-4B19-41FF-8B42-246E122602C6}"/>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C1F8D24A-191E-4C7D-860C-C400F11488A5}"/>
    <cellStyle name="Normal 8 3 3 2 4 2 3" xfId="12475" xr:uid="{9F5DE247-297A-4B3B-83DD-F0118B2A0D66}"/>
    <cellStyle name="Normal 8 3 3 2 4 3" xfId="6106" xr:uid="{00000000-0005-0000-0000-00008E1D0000}"/>
    <cellStyle name="Normal 8 3 3 2 4 3 2" xfId="14548" xr:uid="{A415FE85-BC64-40F0-972C-805E4F246980}"/>
    <cellStyle name="Normal 8 3 3 2 4 4" xfId="10330" xr:uid="{5022FF11-E248-4FCC-9252-AC0F62F94F46}"/>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C463A732-EF0A-4C7D-BA21-B81CF81F9634}"/>
    <cellStyle name="Normal 8 3 3 2 5 2 3" xfId="12888" xr:uid="{2E4E4000-F11F-4DD5-8500-CD7CBB5BA4C1}"/>
    <cellStyle name="Normal 8 3 3 2 5 3" xfId="6519" xr:uid="{00000000-0005-0000-0000-0000921D0000}"/>
    <cellStyle name="Normal 8 3 3 2 5 3 2" xfId="14961" xr:uid="{172180C3-4B84-4027-9CD5-EA459C414C48}"/>
    <cellStyle name="Normal 8 3 3 2 5 4" xfId="10743" xr:uid="{0D67E09A-7084-431C-8D68-2FBEC8455559}"/>
    <cellStyle name="Normal 8 3 3 2 6" xfId="2648" xr:uid="{00000000-0005-0000-0000-0000931D0000}"/>
    <cellStyle name="Normal 8 3 3 2 6 2" xfId="6932" xr:uid="{00000000-0005-0000-0000-0000941D0000}"/>
    <cellStyle name="Normal 8 3 3 2 6 2 2" xfId="15374" xr:uid="{FE51C863-983F-4E47-AF85-9D2ADFF7A8C8}"/>
    <cellStyle name="Normal 8 3 3 2 6 3" xfId="11156" xr:uid="{277321F4-EA2F-4021-98F6-440FF71F4D0A}"/>
    <cellStyle name="Normal 8 3 3 2 7" xfId="4867" xr:uid="{00000000-0005-0000-0000-0000951D0000}"/>
    <cellStyle name="Normal 8 3 3 2 7 2" xfId="13309" xr:uid="{79974300-D601-45EC-B187-F6D2A8C63B64}"/>
    <cellStyle name="Normal 8 3 3 2 8" xfId="9091" xr:uid="{E81786AB-A719-4DAD-8D17-941B928F7F7D}"/>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8ECB51F0-F05F-4E86-A96C-60975483F4D3}"/>
    <cellStyle name="Normal 8 3 3 3 2 3" xfId="11648" xr:uid="{AC7BE9F7-5FE7-4DA2-A5FF-15B947761650}"/>
    <cellStyle name="Normal 8 3 3 3 3" xfId="5279" xr:uid="{00000000-0005-0000-0000-0000991D0000}"/>
    <cellStyle name="Normal 8 3 3 3 3 2" xfId="13721" xr:uid="{04B7341B-C3D5-4A7B-9D5D-81F65E7342DD}"/>
    <cellStyle name="Normal 8 3 3 3 4" xfId="9503" xr:uid="{37E879FB-6FB1-4F59-882F-9A575297D057}"/>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95E06859-C7B7-433E-B72F-D1EB18D4782E}"/>
    <cellStyle name="Normal 8 3 3 4 2 3" xfId="12061" xr:uid="{3492BE36-64A9-4A9C-A2C7-8083D99463EC}"/>
    <cellStyle name="Normal 8 3 3 4 3" xfId="5692" xr:uid="{00000000-0005-0000-0000-00009D1D0000}"/>
    <cellStyle name="Normal 8 3 3 4 3 2" xfId="14134" xr:uid="{F1E54A03-076F-44BC-8444-BAFA1AFD830B}"/>
    <cellStyle name="Normal 8 3 3 4 4" xfId="9916" xr:uid="{7DFD6425-BBB2-4D52-8985-20D5AF66A1D1}"/>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2E0224EF-6449-4F7D-9792-B4DE58AB5BD6}"/>
    <cellStyle name="Normal 8 3 3 5 2 3" xfId="12474" xr:uid="{BC18555E-D98A-4173-B951-65969FFD3F23}"/>
    <cellStyle name="Normal 8 3 3 5 3" xfId="6105" xr:uid="{00000000-0005-0000-0000-0000A11D0000}"/>
    <cellStyle name="Normal 8 3 3 5 3 2" xfId="14547" xr:uid="{22D2291E-3D4B-4C25-B959-C8EB2E6D7124}"/>
    <cellStyle name="Normal 8 3 3 5 4" xfId="10329" xr:uid="{9B29B352-C670-40C2-B2B4-6959B65D237B}"/>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02B3E8A0-6EB0-4C1F-9763-15B78F3A249E}"/>
    <cellStyle name="Normal 8 3 3 6 2 3" xfId="12887" xr:uid="{47EFDD8C-2B56-4B28-B1E5-91B8F7F8B133}"/>
    <cellStyle name="Normal 8 3 3 6 3" xfId="6518" xr:uid="{00000000-0005-0000-0000-0000A51D0000}"/>
    <cellStyle name="Normal 8 3 3 6 3 2" xfId="14960" xr:uid="{C216A3C3-DB38-4821-B18A-A11401A8DDCF}"/>
    <cellStyle name="Normal 8 3 3 6 4" xfId="10742" xr:uid="{9F51D5AA-FCE0-48E6-83F4-82EF8D1908EE}"/>
    <cellStyle name="Normal 8 3 3 7" xfId="2647" xr:uid="{00000000-0005-0000-0000-0000A61D0000}"/>
    <cellStyle name="Normal 8 3 3 7 2" xfId="6931" xr:uid="{00000000-0005-0000-0000-0000A71D0000}"/>
    <cellStyle name="Normal 8 3 3 7 2 2" xfId="15373" xr:uid="{CBA9E13B-1DD9-4DC1-9D18-51A147795D61}"/>
    <cellStyle name="Normal 8 3 3 7 3" xfId="11155" xr:uid="{69DD0619-9690-47B9-A895-633B1AC0DC47}"/>
    <cellStyle name="Normal 8 3 3 8" xfId="4866" xr:uid="{00000000-0005-0000-0000-0000A81D0000}"/>
    <cellStyle name="Normal 8 3 3 8 2" xfId="13308" xr:uid="{8F602EFD-289D-4241-8E70-192643646AC9}"/>
    <cellStyle name="Normal 8 3 3 9" xfId="9090" xr:uid="{BE3D4AF5-6AFA-4E8A-8514-66B5CF0A8813}"/>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0B0529AB-5BF6-4E31-AE59-6A0E45AAC919}"/>
    <cellStyle name="Normal 8 3 4 2 2 3" xfId="11650" xr:uid="{CF727846-C04D-4BE8-BCFC-26F4BE782A55}"/>
    <cellStyle name="Normal 8 3 4 2 3" xfId="5281" xr:uid="{00000000-0005-0000-0000-0000AD1D0000}"/>
    <cellStyle name="Normal 8 3 4 2 3 2" xfId="13723" xr:uid="{B535A21B-8591-4A68-A0F7-45E9BA4E8D91}"/>
    <cellStyle name="Normal 8 3 4 2 4" xfId="9505" xr:uid="{9CCD0E11-CE74-4E3B-9867-4CE652F226AB}"/>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8513D552-0F6E-440F-930A-DE9C3FAA4C88}"/>
    <cellStyle name="Normal 8 3 4 3 2 3" xfId="12063" xr:uid="{347C7C9D-1734-4883-9D32-63C51BE045ED}"/>
    <cellStyle name="Normal 8 3 4 3 3" xfId="5694" xr:uid="{00000000-0005-0000-0000-0000B11D0000}"/>
    <cellStyle name="Normal 8 3 4 3 3 2" xfId="14136" xr:uid="{ABF7D84A-183C-4C7B-BE3B-A1F453B18292}"/>
    <cellStyle name="Normal 8 3 4 3 4" xfId="9918" xr:uid="{D927FD17-E1A6-4FA2-8AB6-597C29DEF565}"/>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D6663682-FBCF-4FFF-B92C-2CE871985E5E}"/>
    <cellStyle name="Normal 8 3 4 4 2 3" xfId="12476" xr:uid="{8646DB39-FF56-432C-A755-E1328123FB9F}"/>
    <cellStyle name="Normal 8 3 4 4 3" xfId="6107" xr:uid="{00000000-0005-0000-0000-0000B51D0000}"/>
    <cellStyle name="Normal 8 3 4 4 3 2" xfId="14549" xr:uid="{1534C57B-99F8-4EDA-9B36-8D65AE5163ED}"/>
    <cellStyle name="Normal 8 3 4 4 4" xfId="10331" xr:uid="{1580FAEF-6BDB-4B14-B0CF-F3DF1EC49D4A}"/>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48C15831-C946-402C-A3F0-BD451CC7541B}"/>
    <cellStyle name="Normal 8 3 4 5 2 3" xfId="12889" xr:uid="{D6988F07-11A3-400D-97E8-F4A1F0F94749}"/>
    <cellStyle name="Normal 8 3 4 5 3" xfId="6520" xr:uid="{00000000-0005-0000-0000-0000B91D0000}"/>
    <cellStyle name="Normal 8 3 4 5 3 2" xfId="14962" xr:uid="{71A3D222-628B-40BA-B9FE-8B5A2DA89A49}"/>
    <cellStyle name="Normal 8 3 4 5 4" xfId="10744" xr:uid="{DB4FC9B1-52C2-4040-8D3B-BAD2AC67C232}"/>
    <cellStyle name="Normal 8 3 4 6" xfId="2649" xr:uid="{00000000-0005-0000-0000-0000BA1D0000}"/>
    <cellStyle name="Normal 8 3 4 6 2" xfId="6933" xr:uid="{00000000-0005-0000-0000-0000BB1D0000}"/>
    <cellStyle name="Normal 8 3 4 6 2 2" xfId="15375" xr:uid="{3DBFFA82-5427-4E20-B278-602153AC6562}"/>
    <cellStyle name="Normal 8 3 4 6 3" xfId="11157" xr:uid="{A5F45948-FC8E-40AF-9E51-5E7FF9BB63B0}"/>
    <cellStyle name="Normal 8 3 4 7" xfId="4868" xr:uid="{00000000-0005-0000-0000-0000BC1D0000}"/>
    <cellStyle name="Normal 8 3 4 7 2" xfId="13310" xr:uid="{920C5D40-CF7B-4070-9BB3-452FD12B7035}"/>
    <cellStyle name="Normal 8 3 4 8" xfId="9092" xr:uid="{9C0003E9-D420-44DB-82E6-771067B50AB9}"/>
    <cellStyle name="Normal 8 3 5" xfId="962" xr:uid="{00000000-0005-0000-0000-0000BD1D0000}"/>
    <cellStyle name="Normal 8 3 5 2" xfId="3196" xr:uid="{00000000-0005-0000-0000-0000BE1D0000}"/>
    <cellStyle name="Normal 8 3 5 2 2" xfId="7419" xr:uid="{00000000-0005-0000-0000-0000BF1D0000}"/>
    <cellStyle name="Normal 8 3 5 2 2 2" xfId="15861" xr:uid="{6BE3240A-EBBB-407D-85D5-DE12A0D38A89}"/>
    <cellStyle name="Normal 8 3 5 2 3" xfId="11643" xr:uid="{800A2E6E-9FA5-494C-8BB0-2DFABB97BFA8}"/>
    <cellStyle name="Normal 8 3 5 3" xfId="5274" xr:uid="{00000000-0005-0000-0000-0000C01D0000}"/>
    <cellStyle name="Normal 8 3 5 3 2" xfId="13716" xr:uid="{D9F0DA3C-E9EC-4B12-9A86-1039A0A24766}"/>
    <cellStyle name="Normal 8 3 5 4" xfId="9498" xr:uid="{6836E771-3106-4901-85F3-BB93F8B75947}"/>
    <cellStyle name="Normal 8 3 6" xfId="1379" xr:uid="{00000000-0005-0000-0000-0000C11D0000}"/>
    <cellStyle name="Normal 8 3 6 2" xfId="3609" xr:uid="{00000000-0005-0000-0000-0000C21D0000}"/>
    <cellStyle name="Normal 8 3 6 2 2" xfId="7832" xr:uid="{00000000-0005-0000-0000-0000C31D0000}"/>
    <cellStyle name="Normal 8 3 6 2 2 2" xfId="16274" xr:uid="{4B28ADF5-1D6C-4A3A-9291-DBEEA73EF4B3}"/>
    <cellStyle name="Normal 8 3 6 2 3" xfId="12056" xr:uid="{0CD045DC-5949-433D-8B77-898309853AED}"/>
    <cellStyle name="Normal 8 3 6 3" xfId="5687" xr:uid="{00000000-0005-0000-0000-0000C41D0000}"/>
    <cellStyle name="Normal 8 3 6 3 2" xfId="14129" xr:uid="{0D165B80-C2C4-4EAE-A75E-8010BA4811BA}"/>
    <cellStyle name="Normal 8 3 6 4" xfId="9911" xr:uid="{E7D03C8E-272C-492D-B715-FD978D8FF068}"/>
    <cellStyle name="Normal 8 3 7" xfId="1792" xr:uid="{00000000-0005-0000-0000-0000C51D0000}"/>
    <cellStyle name="Normal 8 3 7 2" xfId="4022" xr:uid="{00000000-0005-0000-0000-0000C61D0000}"/>
    <cellStyle name="Normal 8 3 7 2 2" xfId="8245" xr:uid="{00000000-0005-0000-0000-0000C71D0000}"/>
    <cellStyle name="Normal 8 3 7 2 2 2" xfId="16687" xr:uid="{FC896CE8-EA96-485D-99E2-9063E6535CBC}"/>
    <cellStyle name="Normal 8 3 7 2 3" xfId="12469" xr:uid="{F53A1E1E-2CC7-4C0D-8CD0-5712BC0122E2}"/>
    <cellStyle name="Normal 8 3 7 3" xfId="6100" xr:uid="{00000000-0005-0000-0000-0000C81D0000}"/>
    <cellStyle name="Normal 8 3 7 3 2" xfId="14542" xr:uid="{AED7CB96-76B5-4846-BA50-9DD7D8DE1BDB}"/>
    <cellStyle name="Normal 8 3 7 4" xfId="10324" xr:uid="{3008613D-9A2E-4658-85FB-FC91FE0953BE}"/>
    <cellStyle name="Normal 8 3 8" xfId="2206" xr:uid="{00000000-0005-0000-0000-0000C91D0000}"/>
    <cellStyle name="Normal 8 3 8 2" xfId="4435" xr:uid="{00000000-0005-0000-0000-0000CA1D0000}"/>
    <cellStyle name="Normal 8 3 8 2 2" xfId="8658" xr:uid="{00000000-0005-0000-0000-0000CB1D0000}"/>
    <cellStyle name="Normal 8 3 8 2 2 2" xfId="17100" xr:uid="{686B3E6F-8130-4597-8907-DD57370157DC}"/>
    <cellStyle name="Normal 8 3 8 2 3" xfId="12882" xr:uid="{08BD2CC2-FA8F-4376-8851-299B23B5606F}"/>
    <cellStyle name="Normal 8 3 8 3" xfId="6513" xr:uid="{00000000-0005-0000-0000-0000CC1D0000}"/>
    <cellStyle name="Normal 8 3 8 3 2" xfId="14955" xr:uid="{316B61A1-04F2-4868-80B8-3F9C3099E3C2}"/>
    <cellStyle name="Normal 8 3 8 4" xfId="10737" xr:uid="{3BC74D95-3ABC-443F-BBE5-4A9444010A48}"/>
    <cellStyle name="Normal 8 3 9" xfId="2642" xr:uid="{00000000-0005-0000-0000-0000CD1D0000}"/>
    <cellStyle name="Normal 8 3 9 2" xfId="6926" xr:uid="{00000000-0005-0000-0000-0000CE1D0000}"/>
    <cellStyle name="Normal 8 3 9 2 2" xfId="15368" xr:uid="{12998C0F-F7CA-48CA-865D-3ED58969DAFC}"/>
    <cellStyle name="Normal 8 3 9 3" xfId="11150" xr:uid="{57DFE1C5-BA99-4473-8FD1-CE736E5736D1}"/>
    <cellStyle name="Normal 8 4" xfId="503" xr:uid="{00000000-0005-0000-0000-0000CF1D0000}"/>
    <cellStyle name="Normal 8 4 10" xfId="9093" xr:uid="{4ADCD25B-F9B6-4F79-95BF-158569058F28}"/>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C64887BD-F4CF-4044-97F7-80A38C9A7531}"/>
    <cellStyle name="Normal 8 4 2 2 2 2 3" xfId="11653" xr:uid="{62C52157-3568-481E-925A-BF20831CA630}"/>
    <cellStyle name="Normal 8 4 2 2 2 3" xfId="5284" xr:uid="{00000000-0005-0000-0000-0000D51D0000}"/>
    <cellStyle name="Normal 8 4 2 2 2 3 2" xfId="13726" xr:uid="{A3E29E1D-C6D7-4E99-A894-F1D438B22560}"/>
    <cellStyle name="Normal 8 4 2 2 2 4" xfId="9508" xr:uid="{72ABB325-2EEF-425F-B0F1-3F530C96D64F}"/>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6E48BCD6-1B79-4C8F-9F29-76A46178466F}"/>
    <cellStyle name="Normal 8 4 2 2 3 2 3" xfId="12066" xr:uid="{4DCB41AE-060E-401A-A5CB-984266D7F8CB}"/>
    <cellStyle name="Normal 8 4 2 2 3 3" xfId="5697" xr:uid="{00000000-0005-0000-0000-0000D91D0000}"/>
    <cellStyle name="Normal 8 4 2 2 3 3 2" xfId="14139" xr:uid="{5A9DCE69-6579-4704-B13B-75593FCC3AD4}"/>
    <cellStyle name="Normal 8 4 2 2 3 4" xfId="9921" xr:uid="{F728D853-4AB0-4FFC-8E42-1350C4232957}"/>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C136E9B0-F54D-4888-9E63-E1EED607E5FE}"/>
    <cellStyle name="Normal 8 4 2 2 4 2 3" xfId="12479" xr:uid="{46FB1BF6-3E4C-499C-8325-FB6920BEFE3A}"/>
    <cellStyle name="Normal 8 4 2 2 4 3" xfId="6110" xr:uid="{00000000-0005-0000-0000-0000DD1D0000}"/>
    <cellStyle name="Normal 8 4 2 2 4 3 2" xfId="14552" xr:uid="{0A14AEBC-5F1E-4698-A086-E511870EC566}"/>
    <cellStyle name="Normal 8 4 2 2 4 4" xfId="10334" xr:uid="{222A097A-5195-44C3-8DC0-C17D228C627A}"/>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2AECE750-B1FB-4B43-92F2-BFF1A7D94D7C}"/>
    <cellStyle name="Normal 8 4 2 2 5 2 3" xfId="12892" xr:uid="{98D1FCB0-2AB8-4A8F-BD10-058E6D52E857}"/>
    <cellStyle name="Normal 8 4 2 2 5 3" xfId="6523" xr:uid="{00000000-0005-0000-0000-0000E11D0000}"/>
    <cellStyle name="Normal 8 4 2 2 5 3 2" xfId="14965" xr:uid="{EB55A7A9-ED58-466D-9AD8-93ED253F8795}"/>
    <cellStyle name="Normal 8 4 2 2 5 4" xfId="10747" xr:uid="{420DEDE1-0A0D-4DAA-A332-8B5DBE4FFC27}"/>
    <cellStyle name="Normal 8 4 2 2 6" xfId="2652" xr:uid="{00000000-0005-0000-0000-0000E21D0000}"/>
    <cellStyle name="Normal 8 4 2 2 6 2" xfId="6936" xr:uid="{00000000-0005-0000-0000-0000E31D0000}"/>
    <cellStyle name="Normal 8 4 2 2 6 2 2" xfId="15378" xr:uid="{4B7644E2-EE90-4E59-8CD1-3600A511C159}"/>
    <cellStyle name="Normal 8 4 2 2 6 3" xfId="11160" xr:uid="{3BB15D1F-8DC4-47CF-9B35-BBCB3C16F1D4}"/>
    <cellStyle name="Normal 8 4 2 2 7" xfId="4871" xr:uid="{00000000-0005-0000-0000-0000E41D0000}"/>
    <cellStyle name="Normal 8 4 2 2 7 2" xfId="13313" xr:uid="{A1BBD694-F2C9-45E5-BD1C-F51990869EDC}"/>
    <cellStyle name="Normal 8 4 2 2 8" xfId="9095" xr:uid="{235E6CD0-1E5F-481F-AF3C-1C31A26CECEF}"/>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488DFCA1-81E7-44D6-8B29-7B2146DC17C2}"/>
    <cellStyle name="Normal 8 4 2 3 2 3" xfId="11652" xr:uid="{E4AFDEB9-AF7A-42F9-82FB-DEDEFA9FD8D1}"/>
    <cellStyle name="Normal 8 4 2 3 3" xfId="5283" xr:uid="{00000000-0005-0000-0000-0000E81D0000}"/>
    <cellStyle name="Normal 8 4 2 3 3 2" xfId="13725" xr:uid="{02BB112B-5F4B-477E-A0C8-DE926584FE1C}"/>
    <cellStyle name="Normal 8 4 2 3 4" xfId="9507" xr:uid="{D7472420-B504-469E-A93E-5D82AEE46DFB}"/>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72243B7A-6019-4AFE-B341-B1DA3ADDD66D}"/>
    <cellStyle name="Normal 8 4 2 4 2 3" xfId="12065" xr:uid="{D06C228F-01B5-40EF-A052-BEA6FC366923}"/>
    <cellStyle name="Normal 8 4 2 4 3" xfId="5696" xr:uid="{00000000-0005-0000-0000-0000EC1D0000}"/>
    <cellStyle name="Normal 8 4 2 4 3 2" xfId="14138" xr:uid="{4D481C09-7E34-4EE3-A942-20D087507DB2}"/>
    <cellStyle name="Normal 8 4 2 4 4" xfId="9920" xr:uid="{76113DAA-83F5-4C6A-88F8-867D9E20A816}"/>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0CA0D919-1E8E-4889-BA66-C892B2301B1F}"/>
    <cellStyle name="Normal 8 4 2 5 2 3" xfId="12478" xr:uid="{78C580B0-46F0-4F57-83DC-84D031460B74}"/>
    <cellStyle name="Normal 8 4 2 5 3" xfId="6109" xr:uid="{00000000-0005-0000-0000-0000F01D0000}"/>
    <cellStyle name="Normal 8 4 2 5 3 2" xfId="14551" xr:uid="{732BDA7C-A1FE-4ED8-AA04-CF48F22E40A7}"/>
    <cellStyle name="Normal 8 4 2 5 4" xfId="10333" xr:uid="{0965BFD6-1C10-413E-8BD4-5B81780A2EB9}"/>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5C68734C-91AA-49AC-A544-1331829EA62E}"/>
    <cellStyle name="Normal 8 4 2 6 2 3" xfId="12891" xr:uid="{09C62D7B-1AE7-4CF5-84AB-163BD455285E}"/>
    <cellStyle name="Normal 8 4 2 6 3" xfId="6522" xr:uid="{00000000-0005-0000-0000-0000F41D0000}"/>
    <cellStyle name="Normal 8 4 2 6 3 2" xfId="14964" xr:uid="{C6B5BA3C-42B5-43E2-8ECE-D1E8EF3494B9}"/>
    <cellStyle name="Normal 8 4 2 6 4" xfId="10746" xr:uid="{0D17E3E6-53ED-4DD5-B438-40180ED86A42}"/>
    <cellStyle name="Normal 8 4 2 7" xfId="2651" xr:uid="{00000000-0005-0000-0000-0000F51D0000}"/>
    <cellStyle name="Normal 8 4 2 7 2" xfId="6935" xr:uid="{00000000-0005-0000-0000-0000F61D0000}"/>
    <cellStyle name="Normal 8 4 2 7 2 2" xfId="15377" xr:uid="{E03C5579-4B27-43E5-88B4-78DAA1DBE158}"/>
    <cellStyle name="Normal 8 4 2 7 3" xfId="11159" xr:uid="{AD988843-9B3D-4FC3-BA46-F4B9A8C10CA4}"/>
    <cellStyle name="Normal 8 4 2 8" xfId="4870" xr:uid="{00000000-0005-0000-0000-0000F71D0000}"/>
    <cellStyle name="Normal 8 4 2 8 2" xfId="13312" xr:uid="{B122CBC2-E622-4D8F-8AB3-0E1E692788DA}"/>
    <cellStyle name="Normal 8 4 2 9" xfId="9094" xr:uid="{095391EF-0C24-487C-AEF0-F2B32333B475}"/>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15C89D04-B950-452A-B53E-4B792A9E5CF1}"/>
    <cellStyle name="Normal 8 4 3 2 2 3" xfId="11654" xr:uid="{D0AD3FDC-31C1-4348-A6DB-67328F9C6AA9}"/>
    <cellStyle name="Normal 8 4 3 2 3" xfId="5285" xr:uid="{00000000-0005-0000-0000-0000FC1D0000}"/>
    <cellStyle name="Normal 8 4 3 2 3 2" xfId="13727" xr:uid="{C55E1784-ECC8-4237-9B36-4056478FD449}"/>
    <cellStyle name="Normal 8 4 3 2 4" xfId="9509" xr:uid="{B9C96A27-0899-4468-871F-0A33A77C9691}"/>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A92686B2-0DEC-485D-9497-60B1B8C5B3CE}"/>
    <cellStyle name="Normal 8 4 3 3 2 3" xfId="12067" xr:uid="{F1AE35F5-DC73-48A2-A7A9-C52EE0A7CDB8}"/>
    <cellStyle name="Normal 8 4 3 3 3" xfId="5698" xr:uid="{00000000-0005-0000-0000-0000001E0000}"/>
    <cellStyle name="Normal 8 4 3 3 3 2" xfId="14140" xr:uid="{4B321324-65F6-465F-83EB-4FDBE99754C8}"/>
    <cellStyle name="Normal 8 4 3 3 4" xfId="9922" xr:uid="{E7935E71-004A-44C4-9B5F-77197D249B60}"/>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F57D8DA4-407C-400C-BEDB-0E8E8FFD8C2B}"/>
    <cellStyle name="Normal 8 4 3 4 2 3" xfId="12480" xr:uid="{658F5BF6-2A41-4E31-A1D1-2BC90BBADD0E}"/>
    <cellStyle name="Normal 8 4 3 4 3" xfId="6111" xr:uid="{00000000-0005-0000-0000-0000041E0000}"/>
    <cellStyle name="Normal 8 4 3 4 3 2" xfId="14553" xr:uid="{D008289A-2A62-4E3A-90D6-C4E606048F86}"/>
    <cellStyle name="Normal 8 4 3 4 4" xfId="10335" xr:uid="{E52C5568-D67F-41E8-9033-ABC1C3CAEC75}"/>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412632F1-98A1-40E9-8CF6-29E419CED300}"/>
    <cellStyle name="Normal 8 4 3 5 2 3" xfId="12893" xr:uid="{3964B860-EDAC-4239-8A91-01EF86D4A68D}"/>
    <cellStyle name="Normal 8 4 3 5 3" xfId="6524" xr:uid="{00000000-0005-0000-0000-0000081E0000}"/>
    <cellStyle name="Normal 8 4 3 5 3 2" xfId="14966" xr:uid="{ACFA2639-25D1-4528-8C14-8CF46402632B}"/>
    <cellStyle name="Normal 8 4 3 5 4" xfId="10748" xr:uid="{3757A537-6FF3-47DE-A5BB-30F80F5EE8BD}"/>
    <cellStyle name="Normal 8 4 3 6" xfId="2653" xr:uid="{00000000-0005-0000-0000-0000091E0000}"/>
    <cellStyle name="Normal 8 4 3 6 2" xfId="6937" xr:uid="{00000000-0005-0000-0000-00000A1E0000}"/>
    <cellStyle name="Normal 8 4 3 6 2 2" xfId="15379" xr:uid="{B3B51C32-5460-4E62-8D93-CC0C32DF1B21}"/>
    <cellStyle name="Normal 8 4 3 6 3" xfId="11161" xr:uid="{2B44F63D-0E7A-436E-A58F-5A16A32F8C0E}"/>
    <cellStyle name="Normal 8 4 3 7" xfId="4872" xr:uid="{00000000-0005-0000-0000-00000B1E0000}"/>
    <cellStyle name="Normal 8 4 3 7 2" xfId="13314" xr:uid="{8287167A-CCC3-495F-B204-49BA3A8EEDDC}"/>
    <cellStyle name="Normal 8 4 3 8" xfId="9096" xr:uid="{21506875-AB86-4CF3-9B0A-7B19DAB793C8}"/>
    <cellStyle name="Normal 8 4 4" xfId="970" xr:uid="{00000000-0005-0000-0000-00000C1E0000}"/>
    <cellStyle name="Normal 8 4 4 2" xfId="3204" xr:uid="{00000000-0005-0000-0000-00000D1E0000}"/>
    <cellStyle name="Normal 8 4 4 2 2" xfId="7427" xr:uid="{00000000-0005-0000-0000-00000E1E0000}"/>
    <cellStyle name="Normal 8 4 4 2 2 2" xfId="15869" xr:uid="{F6B25586-121E-498D-B59C-2A3E61BD65C6}"/>
    <cellStyle name="Normal 8 4 4 2 3" xfId="11651" xr:uid="{144A2341-0AD3-4F3F-81E8-D1BDB14E81A7}"/>
    <cellStyle name="Normal 8 4 4 3" xfId="5282" xr:uid="{00000000-0005-0000-0000-00000F1E0000}"/>
    <cellStyle name="Normal 8 4 4 3 2" xfId="13724" xr:uid="{FA0B8E3D-8121-45A2-9063-5DB02FD71DA4}"/>
    <cellStyle name="Normal 8 4 4 4" xfId="9506" xr:uid="{8C777E36-1BDC-4BE2-8B58-FCC9D6342C08}"/>
    <cellStyle name="Normal 8 4 5" xfId="1387" xr:uid="{00000000-0005-0000-0000-0000101E0000}"/>
    <cellStyle name="Normal 8 4 5 2" xfId="3617" xr:uid="{00000000-0005-0000-0000-0000111E0000}"/>
    <cellStyle name="Normal 8 4 5 2 2" xfId="7840" xr:uid="{00000000-0005-0000-0000-0000121E0000}"/>
    <cellStyle name="Normal 8 4 5 2 2 2" xfId="16282" xr:uid="{988C8C51-0525-466A-B312-853BFAD7D40A}"/>
    <cellStyle name="Normal 8 4 5 2 3" xfId="12064" xr:uid="{E9285698-D02E-493A-AF75-CF657DF0A09D}"/>
    <cellStyle name="Normal 8 4 5 3" xfId="5695" xr:uid="{00000000-0005-0000-0000-0000131E0000}"/>
    <cellStyle name="Normal 8 4 5 3 2" xfId="14137" xr:uid="{30FA5F5F-D4A2-488D-A087-127F616EF481}"/>
    <cellStyle name="Normal 8 4 5 4" xfId="9919" xr:uid="{64919294-EF52-48B5-B97D-DC0680C19B1C}"/>
    <cellStyle name="Normal 8 4 6" xfId="1800" xr:uid="{00000000-0005-0000-0000-0000141E0000}"/>
    <cellStyle name="Normal 8 4 6 2" xfId="4030" xr:uid="{00000000-0005-0000-0000-0000151E0000}"/>
    <cellStyle name="Normal 8 4 6 2 2" xfId="8253" xr:uid="{00000000-0005-0000-0000-0000161E0000}"/>
    <cellStyle name="Normal 8 4 6 2 2 2" xfId="16695" xr:uid="{B48436DB-1FD5-4D36-9BC8-96EEBD2DC216}"/>
    <cellStyle name="Normal 8 4 6 2 3" xfId="12477" xr:uid="{9AEF0D50-957B-4AEB-A8F3-0DB195AACCFD}"/>
    <cellStyle name="Normal 8 4 6 3" xfId="6108" xr:uid="{00000000-0005-0000-0000-0000171E0000}"/>
    <cellStyle name="Normal 8 4 6 3 2" xfId="14550" xr:uid="{96A82B58-62E1-462A-9E90-5F1FC53095F8}"/>
    <cellStyle name="Normal 8 4 6 4" xfId="10332" xr:uid="{7FABB724-444E-4E6F-9A49-A38956A7F9DF}"/>
    <cellStyle name="Normal 8 4 7" xfId="2214" xr:uid="{00000000-0005-0000-0000-0000181E0000}"/>
    <cellStyle name="Normal 8 4 7 2" xfId="4443" xr:uid="{00000000-0005-0000-0000-0000191E0000}"/>
    <cellStyle name="Normal 8 4 7 2 2" xfId="8666" xr:uid="{00000000-0005-0000-0000-00001A1E0000}"/>
    <cellStyle name="Normal 8 4 7 2 2 2" xfId="17108" xr:uid="{2879DB78-5353-434E-AC95-9762C564CD75}"/>
    <cellStyle name="Normal 8 4 7 2 3" xfId="12890" xr:uid="{3427BD5E-CB0C-42CA-B1BA-657AEF977718}"/>
    <cellStyle name="Normal 8 4 7 3" xfId="6521" xr:uid="{00000000-0005-0000-0000-00001B1E0000}"/>
    <cellStyle name="Normal 8 4 7 3 2" xfId="14963" xr:uid="{AAE19DF7-0F60-4675-A84E-7397B06AF84B}"/>
    <cellStyle name="Normal 8 4 7 4" xfId="10745" xr:uid="{4B5625D7-0E30-4DCD-9485-C7FADEA0262A}"/>
    <cellStyle name="Normal 8 4 8" xfId="2650" xr:uid="{00000000-0005-0000-0000-00001C1E0000}"/>
    <cellStyle name="Normal 8 4 8 2" xfId="6934" xr:uid="{00000000-0005-0000-0000-00001D1E0000}"/>
    <cellStyle name="Normal 8 4 8 2 2" xfId="15376" xr:uid="{D7C5037A-1F64-42E0-9C2A-C1210BB471C6}"/>
    <cellStyle name="Normal 8 4 8 3" xfId="11158" xr:uid="{0EFFBAEB-FD53-4264-8E28-5AA61CFC3C8B}"/>
    <cellStyle name="Normal 8 4 9" xfId="4869" xr:uid="{00000000-0005-0000-0000-00001E1E0000}"/>
    <cellStyle name="Normal 8 4 9 2" xfId="13311" xr:uid="{6CC98775-F1D0-45B6-8EEE-4F74207EBA9F}"/>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6989E75A-98BB-4A8B-B252-F45D3AD6C840}"/>
    <cellStyle name="Normal 8 5 2 2 2 3" xfId="11656" xr:uid="{A0116FB4-8FD1-4841-AD30-DA4FEA9476F2}"/>
    <cellStyle name="Normal 8 5 2 2 3" xfId="5287" xr:uid="{00000000-0005-0000-0000-0000241E0000}"/>
    <cellStyle name="Normal 8 5 2 2 3 2" xfId="13729" xr:uid="{7B079E34-B96F-418D-895D-8F93FDD525B3}"/>
    <cellStyle name="Normal 8 5 2 2 4" xfId="9511" xr:uid="{A535C54B-173A-45A8-A181-75F13C3B3509}"/>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6FFD28A2-FF6E-4B2F-9BC4-B57F3D511839}"/>
    <cellStyle name="Normal 8 5 2 3 2 3" xfId="12069" xr:uid="{EDBB5304-0EFE-45F7-AB38-373025B22A09}"/>
    <cellStyle name="Normal 8 5 2 3 3" xfId="5700" xr:uid="{00000000-0005-0000-0000-0000281E0000}"/>
    <cellStyle name="Normal 8 5 2 3 3 2" xfId="14142" xr:uid="{895E6E67-DFE0-49E8-B302-4C490A45AAF2}"/>
    <cellStyle name="Normal 8 5 2 3 4" xfId="9924" xr:uid="{131EBEB0-B0F9-47A7-A093-31D79FB534BA}"/>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F238069B-FA03-42E3-BE70-9A41B6123286}"/>
    <cellStyle name="Normal 8 5 2 4 2 3" xfId="12482" xr:uid="{6515A9CA-803B-4A04-8C7B-EB788F5C5475}"/>
    <cellStyle name="Normal 8 5 2 4 3" xfId="6113" xr:uid="{00000000-0005-0000-0000-00002C1E0000}"/>
    <cellStyle name="Normal 8 5 2 4 3 2" xfId="14555" xr:uid="{34C372BD-CCF2-448E-AA13-9017062D68E7}"/>
    <cellStyle name="Normal 8 5 2 4 4" xfId="10337" xr:uid="{83842CE7-E2E2-4678-B24E-9B592E014F15}"/>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ADAD56C5-1271-4F20-BB43-0B5FCA669DEE}"/>
    <cellStyle name="Normal 8 5 2 5 2 3" xfId="12895" xr:uid="{19FB2E71-5E2D-4282-AB72-7CA473FA0017}"/>
    <cellStyle name="Normal 8 5 2 5 3" xfId="6526" xr:uid="{00000000-0005-0000-0000-0000301E0000}"/>
    <cellStyle name="Normal 8 5 2 5 3 2" xfId="14968" xr:uid="{0D901159-B016-411D-B96D-A52FC5EEBB19}"/>
    <cellStyle name="Normal 8 5 2 5 4" xfId="10750" xr:uid="{44B840FB-9EF9-4340-8C24-5A57DAAE2ADF}"/>
    <cellStyle name="Normal 8 5 2 6" xfId="2655" xr:uid="{00000000-0005-0000-0000-0000311E0000}"/>
    <cellStyle name="Normal 8 5 2 6 2" xfId="6939" xr:uid="{00000000-0005-0000-0000-0000321E0000}"/>
    <cellStyle name="Normal 8 5 2 6 2 2" xfId="15381" xr:uid="{C647CD44-B04C-40F3-958E-6417D105C825}"/>
    <cellStyle name="Normal 8 5 2 6 3" xfId="11163" xr:uid="{EE44A6A5-148F-4122-B30A-137C52874472}"/>
    <cellStyle name="Normal 8 5 2 7" xfId="4874" xr:uid="{00000000-0005-0000-0000-0000331E0000}"/>
    <cellStyle name="Normal 8 5 2 7 2" xfId="13316" xr:uid="{AA809F4F-AB47-4635-9029-205AEB3E1587}"/>
    <cellStyle name="Normal 8 5 2 8" xfId="9098" xr:uid="{D1CF96D5-3142-407A-AB36-EA9E0403C00D}"/>
    <cellStyle name="Normal 8 5 3" xfId="974" xr:uid="{00000000-0005-0000-0000-0000341E0000}"/>
    <cellStyle name="Normal 8 5 3 2" xfId="3208" xr:uid="{00000000-0005-0000-0000-0000351E0000}"/>
    <cellStyle name="Normal 8 5 3 2 2" xfId="7431" xr:uid="{00000000-0005-0000-0000-0000361E0000}"/>
    <cellStyle name="Normal 8 5 3 2 2 2" xfId="15873" xr:uid="{2968BA54-CBBD-435B-B034-3C9E2E379CD6}"/>
    <cellStyle name="Normal 8 5 3 2 3" xfId="11655" xr:uid="{AF457880-ADD3-41D1-840A-65CEC6B641B3}"/>
    <cellStyle name="Normal 8 5 3 3" xfId="5286" xr:uid="{00000000-0005-0000-0000-0000371E0000}"/>
    <cellStyle name="Normal 8 5 3 3 2" xfId="13728" xr:uid="{210587B7-E139-4BB1-AF6C-8B0F534D4F37}"/>
    <cellStyle name="Normal 8 5 3 4" xfId="9510" xr:uid="{87E925D0-CC08-4A20-878C-6D7E76B6C96F}"/>
    <cellStyle name="Normal 8 5 4" xfId="1391" xr:uid="{00000000-0005-0000-0000-0000381E0000}"/>
    <cellStyle name="Normal 8 5 4 2" xfId="3621" xr:uid="{00000000-0005-0000-0000-0000391E0000}"/>
    <cellStyle name="Normal 8 5 4 2 2" xfId="7844" xr:uid="{00000000-0005-0000-0000-00003A1E0000}"/>
    <cellStyle name="Normal 8 5 4 2 2 2" xfId="16286" xr:uid="{A0CC62B2-9736-4031-8355-D5FD4EC983AF}"/>
    <cellStyle name="Normal 8 5 4 2 3" xfId="12068" xr:uid="{0EC1B584-182C-4D56-BEE5-9CF5DE72F991}"/>
    <cellStyle name="Normal 8 5 4 3" xfId="5699" xr:uid="{00000000-0005-0000-0000-00003B1E0000}"/>
    <cellStyle name="Normal 8 5 4 3 2" xfId="14141" xr:uid="{4BF97E3D-7837-46AD-87B3-BD464FCB4AA0}"/>
    <cellStyle name="Normal 8 5 4 4" xfId="9923" xr:uid="{7A4605B2-FB39-45D1-8502-109BDDA755B0}"/>
    <cellStyle name="Normal 8 5 5" xfId="1804" xr:uid="{00000000-0005-0000-0000-00003C1E0000}"/>
    <cellStyle name="Normal 8 5 5 2" xfId="4034" xr:uid="{00000000-0005-0000-0000-00003D1E0000}"/>
    <cellStyle name="Normal 8 5 5 2 2" xfId="8257" xr:uid="{00000000-0005-0000-0000-00003E1E0000}"/>
    <cellStyle name="Normal 8 5 5 2 2 2" xfId="16699" xr:uid="{35EBEE8D-0585-4BCC-A1DE-FE0930C3747D}"/>
    <cellStyle name="Normal 8 5 5 2 3" xfId="12481" xr:uid="{D1D39549-ABB6-4E4D-A5D6-178A497F1327}"/>
    <cellStyle name="Normal 8 5 5 3" xfId="6112" xr:uid="{00000000-0005-0000-0000-00003F1E0000}"/>
    <cellStyle name="Normal 8 5 5 3 2" xfId="14554" xr:uid="{FEE4A015-DF01-4CE1-80B3-1F8EB19DE4F8}"/>
    <cellStyle name="Normal 8 5 5 4" xfId="10336" xr:uid="{9810E251-A8B8-413C-BE91-2263F85A5CF9}"/>
    <cellStyle name="Normal 8 5 6" xfId="2218" xr:uid="{00000000-0005-0000-0000-0000401E0000}"/>
    <cellStyle name="Normal 8 5 6 2" xfId="4447" xr:uid="{00000000-0005-0000-0000-0000411E0000}"/>
    <cellStyle name="Normal 8 5 6 2 2" xfId="8670" xr:uid="{00000000-0005-0000-0000-0000421E0000}"/>
    <cellStyle name="Normal 8 5 6 2 2 2" xfId="17112" xr:uid="{32D476F9-BDA0-4F62-832A-07B9BB4787FB}"/>
    <cellStyle name="Normal 8 5 6 2 3" xfId="12894" xr:uid="{181AC699-F135-4739-B4C6-6C85B3C3D7C2}"/>
    <cellStyle name="Normal 8 5 6 3" xfId="6525" xr:uid="{00000000-0005-0000-0000-0000431E0000}"/>
    <cellStyle name="Normal 8 5 6 3 2" xfId="14967" xr:uid="{AC9C844A-CF69-4A78-ADB8-42661F6D4187}"/>
    <cellStyle name="Normal 8 5 6 4" xfId="10749" xr:uid="{6BAE7185-C935-4EDD-BFD9-5728B929DCAF}"/>
    <cellStyle name="Normal 8 5 7" xfId="2654" xr:uid="{00000000-0005-0000-0000-0000441E0000}"/>
    <cellStyle name="Normal 8 5 7 2" xfId="6938" xr:uid="{00000000-0005-0000-0000-0000451E0000}"/>
    <cellStyle name="Normal 8 5 7 2 2" xfId="15380" xr:uid="{0405E65A-C999-484E-ADD5-D1F9807AB2B1}"/>
    <cellStyle name="Normal 8 5 7 3" xfId="11162" xr:uid="{998A77C2-B183-4E80-8557-3782641BC6EA}"/>
    <cellStyle name="Normal 8 5 8" xfId="4873" xr:uid="{00000000-0005-0000-0000-0000461E0000}"/>
    <cellStyle name="Normal 8 5 8 2" xfId="13315" xr:uid="{73075D75-2D4F-4901-B543-CC8ACCB6D7C0}"/>
    <cellStyle name="Normal 8 5 9" xfId="9097" xr:uid="{30B71CEC-0D75-404E-8382-21A0063FAFDA}"/>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C5069897-2950-4D89-9759-CAFD0AC46312}"/>
    <cellStyle name="Normal 8 6 2 2 3" xfId="11657" xr:uid="{9486D408-90E2-4D27-BF34-95CAF1D9557E}"/>
    <cellStyle name="Normal 8 6 2 3" xfId="5288" xr:uid="{00000000-0005-0000-0000-00004B1E0000}"/>
    <cellStyle name="Normal 8 6 2 3 2" xfId="13730" xr:uid="{ECE16182-DF77-4EB3-A9C9-68CB63CA5AB6}"/>
    <cellStyle name="Normal 8 6 2 4" xfId="9512" xr:uid="{3455F380-629F-4A4D-AA36-4B08D6989C18}"/>
    <cellStyle name="Normal 8 6 3" xfId="1393" xr:uid="{00000000-0005-0000-0000-00004C1E0000}"/>
    <cellStyle name="Normal 8 6 3 2" xfId="3623" xr:uid="{00000000-0005-0000-0000-00004D1E0000}"/>
    <cellStyle name="Normal 8 6 3 2 2" xfId="7846" xr:uid="{00000000-0005-0000-0000-00004E1E0000}"/>
    <cellStyle name="Normal 8 6 3 2 2 2" xfId="16288" xr:uid="{12B794EA-4223-4398-8C9A-AAC2B696A29D}"/>
    <cellStyle name="Normal 8 6 3 2 3" xfId="12070" xr:uid="{7331D746-2460-4EDD-9DA1-E78365C7D572}"/>
    <cellStyle name="Normal 8 6 3 3" xfId="5701" xr:uid="{00000000-0005-0000-0000-00004F1E0000}"/>
    <cellStyle name="Normal 8 6 3 3 2" xfId="14143" xr:uid="{D2F5EF17-6B25-4471-9880-2121405A137D}"/>
    <cellStyle name="Normal 8 6 3 4" xfId="9925" xr:uid="{02F91581-9461-4851-92FE-5822187B9037}"/>
    <cellStyle name="Normal 8 6 4" xfId="1806" xr:uid="{00000000-0005-0000-0000-0000501E0000}"/>
    <cellStyle name="Normal 8 6 4 2" xfId="4036" xr:uid="{00000000-0005-0000-0000-0000511E0000}"/>
    <cellStyle name="Normal 8 6 4 2 2" xfId="8259" xr:uid="{00000000-0005-0000-0000-0000521E0000}"/>
    <cellStyle name="Normal 8 6 4 2 2 2" xfId="16701" xr:uid="{06067FA5-D59A-404C-8B43-44814887C062}"/>
    <cellStyle name="Normal 8 6 4 2 3" xfId="12483" xr:uid="{06B7E0C4-9307-49C9-BBFC-E80D8063F4B5}"/>
    <cellStyle name="Normal 8 6 4 3" xfId="6114" xr:uid="{00000000-0005-0000-0000-0000531E0000}"/>
    <cellStyle name="Normal 8 6 4 3 2" xfId="14556" xr:uid="{FE214857-0433-4B09-8A11-CAD151D11670}"/>
    <cellStyle name="Normal 8 6 4 4" xfId="10338" xr:uid="{265643A0-FC0D-4CD6-AA11-1DBED3A5AF18}"/>
    <cellStyle name="Normal 8 6 5" xfId="2220" xr:uid="{00000000-0005-0000-0000-0000541E0000}"/>
    <cellStyle name="Normal 8 6 5 2" xfId="4449" xr:uid="{00000000-0005-0000-0000-0000551E0000}"/>
    <cellStyle name="Normal 8 6 5 2 2" xfId="8672" xr:uid="{00000000-0005-0000-0000-0000561E0000}"/>
    <cellStyle name="Normal 8 6 5 2 2 2" xfId="17114" xr:uid="{72B28ACE-6D4A-4306-9902-E32E3D54E444}"/>
    <cellStyle name="Normal 8 6 5 2 3" xfId="12896" xr:uid="{A4953E99-9F2E-42E6-B006-00425019FF23}"/>
    <cellStyle name="Normal 8 6 5 3" xfId="6527" xr:uid="{00000000-0005-0000-0000-0000571E0000}"/>
    <cellStyle name="Normal 8 6 5 3 2" xfId="14969" xr:uid="{29240A6B-6708-4BD2-A1F7-AD676DBBDB39}"/>
    <cellStyle name="Normal 8 6 5 4" xfId="10751" xr:uid="{3421C4FB-56B2-4615-9CDF-5A3EE9A1556F}"/>
    <cellStyle name="Normal 8 6 6" xfId="2656" xr:uid="{00000000-0005-0000-0000-0000581E0000}"/>
    <cellStyle name="Normal 8 6 6 2" xfId="6940" xr:uid="{00000000-0005-0000-0000-0000591E0000}"/>
    <cellStyle name="Normal 8 6 6 2 2" xfId="15382" xr:uid="{46707064-1E40-498C-BF38-1C110D6F5FBC}"/>
    <cellStyle name="Normal 8 6 6 3" xfId="11164" xr:uid="{BC906F32-A246-49CB-AA0D-C10EB13CB0F0}"/>
    <cellStyle name="Normal 8 6 7" xfId="4875" xr:uid="{00000000-0005-0000-0000-00005A1E0000}"/>
    <cellStyle name="Normal 8 6 7 2" xfId="13317" xr:uid="{4D8B60F5-645C-430F-A321-DA57A9EC167B}"/>
    <cellStyle name="Normal 8 6 8" xfId="9099" xr:uid="{290CAB55-BF49-45D6-AE39-80071CF7126F}"/>
    <cellStyle name="Normal 8 7" xfId="945" xr:uid="{00000000-0005-0000-0000-00005B1E0000}"/>
    <cellStyle name="Normal 8 7 2" xfId="3179" xr:uid="{00000000-0005-0000-0000-00005C1E0000}"/>
    <cellStyle name="Normal 8 7 2 2" xfId="7402" xr:uid="{00000000-0005-0000-0000-00005D1E0000}"/>
    <cellStyle name="Normal 8 7 2 2 2" xfId="15844" xr:uid="{D10FC5E7-6CF3-4DC8-9C64-2522B9111119}"/>
    <cellStyle name="Normal 8 7 2 3" xfId="11626" xr:uid="{6FDCD833-5AF6-492C-AD69-B27554CB5C02}"/>
    <cellStyle name="Normal 8 7 3" xfId="5257" xr:uid="{00000000-0005-0000-0000-00005E1E0000}"/>
    <cellStyle name="Normal 8 7 3 2" xfId="13699" xr:uid="{317E93B5-045B-4D42-A8B7-8CECDCB50F6F}"/>
    <cellStyle name="Normal 8 7 4" xfId="9481" xr:uid="{51AB3BAC-4299-49A0-9BB2-6A63340F2164}"/>
    <cellStyle name="Normal 8 8" xfId="1362" xr:uid="{00000000-0005-0000-0000-00005F1E0000}"/>
    <cellStyle name="Normal 8 8 2" xfId="3592" xr:uid="{00000000-0005-0000-0000-0000601E0000}"/>
    <cellStyle name="Normal 8 8 2 2" xfId="7815" xr:uid="{00000000-0005-0000-0000-0000611E0000}"/>
    <cellStyle name="Normal 8 8 2 2 2" xfId="16257" xr:uid="{F981A95D-16B1-4FA0-9181-8C9FB442C208}"/>
    <cellStyle name="Normal 8 8 2 3" xfId="12039" xr:uid="{F48D2DCA-E0AC-443B-8D31-78B94CAF4C56}"/>
    <cellStyle name="Normal 8 8 3" xfId="5670" xr:uid="{00000000-0005-0000-0000-0000621E0000}"/>
    <cellStyle name="Normal 8 8 3 2" xfId="14112" xr:uid="{81BAB4B6-84C7-4794-8AC2-8F629D893D92}"/>
    <cellStyle name="Normal 8 8 4" xfId="9894" xr:uid="{EAB50091-A1A3-4B43-A400-3EAFDB332CF7}"/>
    <cellStyle name="Normal 8 9" xfId="1775" xr:uid="{00000000-0005-0000-0000-0000631E0000}"/>
    <cellStyle name="Normal 8 9 2" xfId="4005" xr:uid="{00000000-0005-0000-0000-0000641E0000}"/>
    <cellStyle name="Normal 8 9 2 2" xfId="8228" xr:uid="{00000000-0005-0000-0000-0000651E0000}"/>
    <cellStyle name="Normal 8 9 2 2 2" xfId="16670" xr:uid="{D42A4BAD-5A20-4B38-8200-F2FDC9A3DC2A}"/>
    <cellStyle name="Normal 8 9 2 3" xfId="12452" xr:uid="{6850BB84-EDAD-40C7-892E-64959935C7EC}"/>
    <cellStyle name="Normal 8 9 3" xfId="6083" xr:uid="{00000000-0005-0000-0000-0000661E0000}"/>
    <cellStyle name="Normal 8 9 3 2" xfId="14525" xr:uid="{D625D636-47F1-46C3-BEDC-55EF1A0F6B74}"/>
    <cellStyle name="Normal 8 9 4" xfId="10307" xr:uid="{7379182A-8A3E-43B4-AC56-0B998A4BBE26}"/>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02E23FA5-A1A6-47ED-8AA5-6F552A319868}"/>
    <cellStyle name="Normal 9 2 10 3" xfId="11165" xr:uid="{39DADBE0-7B69-45C0-9656-365D42FFFBFA}"/>
    <cellStyle name="Normal 9 2 11" xfId="4876" xr:uid="{00000000-0005-0000-0000-00006B1E0000}"/>
    <cellStyle name="Normal 9 2 11 2" xfId="13318" xr:uid="{6722FC3D-AEC5-4D26-90A4-6E5E8FC2591A}"/>
    <cellStyle name="Normal 9 2 12" xfId="9100" xr:uid="{FE5B555E-2C7A-463B-A171-055EA87F74C7}"/>
    <cellStyle name="Normal 9 2 2" xfId="512" xr:uid="{00000000-0005-0000-0000-00006C1E0000}"/>
    <cellStyle name="Normal 9 2 2 10" xfId="4877" xr:uid="{00000000-0005-0000-0000-00006D1E0000}"/>
    <cellStyle name="Normal 9 2 2 10 2" xfId="13319" xr:uid="{13697213-441B-4038-9E8E-8818A71A4939}"/>
    <cellStyle name="Normal 9 2 2 11" xfId="9101" xr:uid="{C2B223DD-0E77-402C-B789-E3E0FBF1EF9C}"/>
    <cellStyle name="Normal 9 2 2 2" xfId="513" xr:uid="{00000000-0005-0000-0000-00006E1E0000}"/>
    <cellStyle name="Normal 9 2 2 2 10" xfId="9102" xr:uid="{B8EC9D16-4465-4AEE-A3AC-F72F38C5F1D6}"/>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56574B5D-56C5-4ADC-A7D3-F28897FCFFFF}"/>
    <cellStyle name="Normal 9 2 2 2 2 2 2 2 3" xfId="11662" xr:uid="{BB89AA92-8384-4555-8BEF-4710370FD6C8}"/>
    <cellStyle name="Normal 9 2 2 2 2 2 2 3" xfId="5293" xr:uid="{00000000-0005-0000-0000-0000741E0000}"/>
    <cellStyle name="Normal 9 2 2 2 2 2 2 3 2" xfId="13735" xr:uid="{E7182014-2E10-46DB-B259-37263572EE2B}"/>
    <cellStyle name="Normal 9 2 2 2 2 2 2 4" xfId="9517" xr:uid="{5A9443F7-C794-4820-8D15-961054AD4E1B}"/>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6918EA04-6EAE-44A6-874E-F15DF740E0AB}"/>
    <cellStyle name="Normal 9 2 2 2 2 2 3 2 3" xfId="12075" xr:uid="{193F720C-B9B0-456D-BC10-5462E68B5B7F}"/>
    <cellStyle name="Normal 9 2 2 2 2 2 3 3" xfId="5706" xr:uid="{00000000-0005-0000-0000-0000781E0000}"/>
    <cellStyle name="Normal 9 2 2 2 2 2 3 3 2" xfId="14148" xr:uid="{63E930C4-BF68-4B74-8B52-D52121B3A558}"/>
    <cellStyle name="Normal 9 2 2 2 2 2 3 4" xfId="9930" xr:uid="{13690CAC-B220-4A70-8649-E88AB969AF8D}"/>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8E74CC37-D865-4690-BBA3-9F72AE813A3E}"/>
    <cellStyle name="Normal 9 2 2 2 2 2 4 2 3" xfId="12488" xr:uid="{5F21DC94-1ECB-41FF-B32F-089A5D623CB6}"/>
    <cellStyle name="Normal 9 2 2 2 2 2 4 3" xfId="6119" xr:uid="{00000000-0005-0000-0000-00007C1E0000}"/>
    <cellStyle name="Normal 9 2 2 2 2 2 4 3 2" xfId="14561" xr:uid="{670BFBE3-328C-42F6-A76E-A686704FAB67}"/>
    <cellStyle name="Normal 9 2 2 2 2 2 4 4" xfId="10343" xr:uid="{60CD0EA4-BA3E-42FE-AB03-097D60CC8E2D}"/>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609C3E2A-2CEC-48C7-94DC-033A96E0E2A1}"/>
    <cellStyle name="Normal 9 2 2 2 2 2 5 2 3" xfId="12901" xr:uid="{917C194C-4052-4802-9E15-55CA2D87A193}"/>
    <cellStyle name="Normal 9 2 2 2 2 2 5 3" xfId="6532" xr:uid="{00000000-0005-0000-0000-0000801E0000}"/>
    <cellStyle name="Normal 9 2 2 2 2 2 5 3 2" xfId="14974" xr:uid="{6A591D5D-F7E9-42E4-B765-F5755CD3BA37}"/>
    <cellStyle name="Normal 9 2 2 2 2 2 5 4" xfId="10756" xr:uid="{48039A63-3424-4BE2-ABE1-DF923DDBF489}"/>
    <cellStyle name="Normal 9 2 2 2 2 2 6" xfId="2661" xr:uid="{00000000-0005-0000-0000-0000811E0000}"/>
    <cellStyle name="Normal 9 2 2 2 2 2 6 2" xfId="6945" xr:uid="{00000000-0005-0000-0000-0000821E0000}"/>
    <cellStyle name="Normal 9 2 2 2 2 2 6 2 2" xfId="15387" xr:uid="{995B66AD-ECBA-44B8-99BC-69E8EA09BBD2}"/>
    <cellStyle name="Normal 9 2 2 2 2 2 6 3" xfId="11169" xr:uid="{1320C788-FA6F-4262-A8D4-0EFF7E1EBE00}"/>
    <cellStyle name="Normal 9 2 2 2 2 2 7" xfId="4880" xr:uid="{00000000-0005-0000-0000-0000831E0000}"/>
    <cellStyle name="Normal 9 2 2 2 2 2 7 2" xfId="13322" xr:uid="{5CD90D60-B252-4B83-97A7-0CF7D619AA4E}"/>
    <cellStyle name="Normal 9 2 2 2 2 2 8" xfId="9104" xr:uid="{24E54AAF-8A97-4FFC-AC30-66AA6A8E28FF}"/>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B81163C1-6B59-4A3B-A134-6EC705AD54E5}"/>
    <cellStyle name="Normal 9 2 2 2 2 3 2 3" xfId="11661" xr:uid="{656A6BDE-6988-40C9-89BE-B24A59104BC6}"/>
    <cellStyle name="Normal 9 2 2 2 2 3 3" xfId="5292" xr:uid="{00000000-0005-0000-0000-0000871E0000}"/>
    <cellStyle name="Normal 9 2 2 2 2 3 3 2" xfId="13734" xr:uid="{65D0F924-DE54-4691-9B91-A0F01E197FDA}"/>
    <cellStyle name="Normal 9 2 2 2 2 3 4" xfId="9516" xr:uid="{FDA70611-2C78-4F14-AABF-5C5C35B9C51D}"/>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03592C45-33EC-4C6B-990A-62C0149E249C}"/>
    <cellStyle name="Normal 9 2 2 2 2 4 2 3" xfId="12074" xr:uid="{0D8C18B3-D115-4C54-ACED-F3CDD63EA5CA}"/>
    <cellStyle name="Normal 9 2 2 2 2 4 3" xfId="5705" xr:uid="{00000000-0005-0000-0000-00008B1E0000}"/>
    <cellStyle name="Normal 9 2 2 2 2 4 3 2" xfId="14147" xr:uid="{D64490E1-1BE8-49C4-A2A4-7CD0451DBBA0}"/>
    <cellStyle name="Normal 9 2 2 2 2 4 4" xfId="9929" xr:uid="{61AA564F-FDE8-4C1F-96B7-29AA91BEF939}"/>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9CE2CE74-D7D9-4A10-BF5F-58742C9168D1}"/>
    <cellStyle name="Normal 9 2 2 2 2 5 2 3" xfId="12487" xr:uid="{8DE92E7E-1114-46A1-974E-AC45349B0470}"/>
    <cellStyle name="Normal 9 2 2 2 2 5 3" xfId="6118" xr:uid="{00000000-0005-0000-0000-00008F1E0000}"/>
    <cellStyle name="Normal 9 2 2 2 2 5 3 2" xfId="14560" xr:uid="{95EF7375-909C-4AA2-892D-254DF57ABEE8}"/>
    <cellStyle name="Normal 9 2 2 2 2 5 4" xfId="10342" xr:uid="{B07C6E8D-E6A7-4410-BDEB-B7331E822B3B}"/>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96172B6E-43C9-479D-834F-363B033A053E}"/>
    <cellStyle name="Normal 9 2 2 2 2 6 2 3" xfId="12900" xr:uid="{00D5F7CC-D284-422A-8374-CA13492F3424}"/>
    <cellStyle name="Normal 9 2 2 2 2 6 3" xfId="6531" xr:uid="{00000000-0005-0000-0000-0000931E0000}"/>
    <cellStyle name="Normal 9 2 2 2 2 6 3 2" xfId="14973" xr:uid="{8D4737BA-0449-4112-85A9-190A5346C61D}"/>
    <cellStyle name="Normal 9 2 2 2 2 6 4" xfId="10755" xr:uid="{7E11EB5A-5C25-4E50-A989-69115E10C602}"/>
    <cellStyle name="Normal 9 2 2 2 2 7" xfId="2660" xr:uid="{00000000-0005-0000-0000-0000941E0000}"/>
    <cellStyle name="Normal 9 2 2 2 2 7 2" xfId="6944" xr:uid="{00000000-0005-0000-0000-0000951E0000}"/>
    <cellStyle name="Normal 9 2 2 2 2 7 2 2" xfId="15386" xr:uid="{F26831E9-07F9-413C-BB71-ECC5253324FE}"/>
    <cellStyle name="Normal 9 2 2 2 2 7 3" xfId="11168" xr:uid="{51494022-F12E-4DB7-91F5-044C3857B660}"/>
    <cellStyle name="Normal 9 2 2 2 2 8" xfId="4879" xr:uid="{00000000-0005-0000-0000-0000961E0000}"/>
    <cellStyle name="Normal 9 2 2 2 2 8 2" xfId="13321" xr:uid="{D3F7EE7D-DFE3-467E-8D7D-300DFE06B60E}"/>
    <cellStyle name="Normal 9 2 2 2 2 9" xfId="9103" xr:uid="{BD47B195-8170-4163-AC93-D70FF3384D68}"/>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C2AA4359-5644-4761-993D-5B3BFF05B3DA}"/>
    <cellStyle name="Normal 9 2 2 2 3 2 2 3" xfId="11663" xr:uid="{3D41B0BD-9BFA-4F51-8A65-F69A33E30CA9}"/>
    <cellStyle name="Normal 9 2 2 2 3 2 3" xfId="5294" xr:uid="{00000000-0005-0000-0000-00009B1E0000}"/>
    <cellStyle name="Normal 9 2 2 2 3 2 3 2" xfId="13736" xr:uid="{B2AA4276-E448-410F-A9E1-5780F15C07EB}"/>
    <cellStyle name="Normal 9 2 2 2 3 2 4" xfId="9518" xr:uid="{529FCF6E-B2C7-442B-83FA-0AC43741D3BB}"/>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E010DBAC-D4A7-467C-8862-C0E60EFBA226}"/>
    <cellStyle name="Normal 9 2 2 2 3 3 2 3" xfId="12076" xr:uid="{6AB8A58B-E3A6-47FB-8FA1-0BFFE78764A7}"/>
    <cellStyle name="Normal 9 2 2 2 3 3 3" xfId="5707" xr:uid="{00000000-0005-0000-0000-00009F1E0000}"/>
    <cellStyle name="Normal 9 2 2 2 3 3 3 2" xfId="14149" xr:uid="{E9B497E3-64BE-4F0B-A092-87BF99C9B878}"/>
    <cellStyle name="Normal 9 2 2 2 3 3 4" xfId="9931" xr:uid="{F3D30AC0-56DA-42BC-A10F-FEA87A8F69FC}"/>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544B7D95-CC99-4760-BDD5-A64C4BE96A64}"/>
    <cellStyle name="Normal 9 2 2 2 3 4 2 3" xfId="12489" xr:uid="{6CC33784-7194-46B3-B81B-714B5357AD8F}"/>
    <cellStyle name="Normal 9 2 2 2 3 4 3" xfId="6120" xr:uid="{00000000-0005-0000-0000-0000A31E0000}"/>
    <cellStyle name="Normal 9 2 2 2 3 4 3 2" xfId="14562" xr:uid="{960DC733-437D-4B14-93AA-37EA715EBA04}"/>
    <cellStyle name="Normal 9 2 2 2 3 4 4" xfId="10344" xr:uid="{1DD5983A-9FE5-4058-A3CF-90E49FC2331A}"/>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A308B1B5-5098-43F3-B6A2-A130C80F2977}"/>
    <cellStyle name="Normal 9 2 2 2 3 5 2 3" xfId="12902" xr:uid="{EC018F69-0229-486E-B7CA-BA990E04C0C2}"/>
    <cellStyle name="Normal 9 2 2 2 3 5 3" xfId="6533" xr:uid="{00000000-0005-0000-0000-0000A71E0000}"/>
    <cellStyle name="Normal 9 2 2 2 3 5 3 2" xfId="14975" xr:uid="{1C5819FF-29E7-420F-A3AA-FFFB2C0F2FF4}"/>
    <cellStyle name="Normal 9 2 2 2 3 5 4" xfId="10757" xr:uid="{01E3F0F0-B3EA-4DB0-B308-EAE477CF4080}"/>
    <cellStyle name="Normal 9 2 2 2 3 6" xfId="2662" xr:uid="{00000000-0005-0000-0000-0000A81E0000}"/>
    <cellStyle name="Normal 9 2 2 2 3 6 2" xfId="6946" xr:uid="{00000000-0005-0000-0000-0000A91E0000}"/>
    <cellStyle name="Normal 9 2 2 2 3 6 2 2" xfId="15388" xr:uid="{97E5ADCB-2A6B-43DD-BAB9-B871D033B544}"/>
    <cellStyle name="Normal 9 2 2 2 3 6 3" xfId="11170" xr:uid="{DAE1AE9B-16AB-48A9-8298-42771624D750}"/>
    <cellStyle name="Normal 9 2 2 2 3 7" xfId="4881" xr:uid="{00000000-0005-0000-0000-0000AA1E0000}"/>
    <cellStyle name="Normal 9 2 2 2 3 7 2" xfId="13323" xr:uid="{145F05BC-8F3A-4000-A897-7C292DC954B3}"/>
    <cellStyle name="Normal 9 2 2 2 3 8" xfId="9105" xr:uid="{74AD1039-CCB6-4E98-A05B-5D9B322B6D1C}"/>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10C8F760-17D3-4886-8735-1B142C8BB7EC}"/>
    <cellStyle name="Normal 9 2 2 2 4 2 3" xfId="11660" xr:uid="{2529B09F-B5E8-48F1-BFA2-5942FDDD965E}"/>
    <cellStyle name="Normal 9 2 2 2 4 3" xfId="5291" xr:uid="{00000000-0005-0000-0000-0000AE1E0000}"/>
    <cellStyle name="Normal 9 2 2 2 4 3 2" xfId="13733" xr:uid="{0C2B5067-823F-4DF0-B542-8AA1572ADBF4}"/>
    <cellStyle name="Normal 9 2 2 2 4 4" xfId="9515" xr:uid="{4C39C29A-5AE2-414B-9863-27C34882607B}"/>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3A8C65F0-5C92-46D6-B5A2-32AE362C3E0E}"/>
    <cellStyle name="Normal 9 2 2 2 5 2 3" xfId="12073" xr:uid="{5A9AF4F7-B4DE-4A66-B5DA-32038BB419B7}"/>
    <cellStyle name="Normal 9 2 2 2 5 3" xfId="5704" xr:uid="{00000000-0005-0000-0000-0000B21E0000}"/>
    <cellStyle name="Normal 9 2 2 2 5 3 2" xfId="14146" xr:uid="{8FED48ED-236C-4B8D-970C-149C05577611}"/>
    <cellStyle name="Normal 9 2 2 2 5 4" xfId="9928" xr:uid="{02953437-9AF8-479F-8584-EDD105D79EAC}"/>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49A9B478-E217-478D-A21B-CA9BD9014AD9}"/>
    <cellStyle name="Normal 9 2 2 2 6 2 3" xfId="12486" xr:uid="{87B51EB3-C5F2-45B9-9AE0-8EB5EF66B559}"/>
    <cellStyle name="Normal 9 2 2 2 6 3" xfId="6117" xr:uid="{00000000-0005-0000-0000-0000B61E0000}"/>
    <cellStyle name="Normal 9 2 2 2 6 3 2" xfId="14559" xr:uid="{C82B2612-0998-4E5A-828E-2599DDA78E58}"/>
    <cellStyle name="Normal 9 2 2 2 6 4" xfId="10341" xr:uid="{1865900A-603E-4D33-AF70-604DDED232B8}"/>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E3C70479-8938-4C94-8BFA-02BC3EB6E671}"/>
    <cellStyle name="Normal 9 2 2 2 7 2 3" xfId="12899" xr:uid="{B5F9594B-796D-47FE-9771-986CCD5624D0}"/>
    <cellStyle name="Normal 9 2 2 2 7 3" xfId="6530" xr:uid="{00000000-0005-0000-0000-0000BA1E0000}"/>
    <cellStyle name="Normal 9 2 2 2 7 3 2" xfId="14972" xr:uid="{C2CAA876-4CD7-4CAB-8EC4-B722074CE65D}"/>
    <cellStyle name="Normal 9 2 2 2 7 4" xfId="10754" xr:uid="{76A00528-F87F-4EF7-A4EE-04987759F597}"/>
    <cellStyle name="Normal 9 2 2 2 8" xfId="2659" xr:uid="{00000000-0005-0000-0000-0000BB1E0000}"/>
    <cellStyle name="Normal 9 2 2 2 8 2" xfId="6943" xr:uid="{00000000-0005-0000-0000-0000BC1E0000}"/>
    <cellStyle name="Normal 9 2 2 2 8 2 2" xfId="15385" xr:uid="{EFF2EFFD-1F6D-4003-8C3C-110E32C152C6}"/>
    <cellStyle name="Normal 9 2 2 2 8 3" xfId="11167" xr:uid="{DEE15683-63B2-4B49-B565-09C7B8C629AA}"/>
    <cellStyle name="Normal 9 2 2 2 9" xfId="4878" xr:uid="{00000000-0005-0000-0000-0000BD1E0000}"/>
    <cellStyle name="Normal 9 2 2 2 9 2" xfId="13320" xr:uid="{AC3F73B1-D37A-4DF5-94E5-04B3057058C8}"/>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94DC83EF-BBEC-4EB3-9A3F-AB76602DE689}"/>
    <cellStyle name="Normal 9 2 2 3 2 2 2 3" xfId="11665" xr:uid="{619AA92B-F3B8-42A5-814E-AB8475BD4774}"/>
    <cellStyle name="Normal 9 2 2 3 2 2 3" xfId="5296" xr:uid="{00000000-0005-0000-0000-0000C31E0000}"/>
    <cellStyle name="Normal 9 2 2 3 2 2 3 2" xfId="13738" xr:uid="{C96B4E97-5C4F-45CE-8974-5FC8B810B66C}"/>
    <cellStyle name="Normal 9 2 2 3 2 2 4" xfId="9520" xr:uid="{4602838B-78AB-4B7D-9AD9-343C0D32349C}"/>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BF8FC295-75C3-49E8-A6FD-5701DB14CC04}"/>
    <cellStyle name="Normal 9 2 2 3 2 3 2 3" xfId="12078" xr:uid="{69C16D5D-05DD-4D46-B697-D4C68C2F0E45}"/>
    <cellStyle name="Normal 9 2 2 3 2 3 3" xfId="5709" xr:uid="{00000000-0005-0000-0000-0000C71E0000}"/>
    <cellStyle name="Normal 9 2 2 3 2 3 3 2" xfId="14151" xr:uid="{D4785E57-54E8-4720-9AD4-2776C7A3F125}"/>
    <cellStyle name="Normal 9 2 2 3 2 3 4" xfId="9933" xr:uid="{5A338239-365A-4EC1-99BE-4F7696C6E1D9}"/>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588823DF-2F38-4459-9699-6231F2D7C12D}"/>
    <cellStyle name="Normal 9 2 2 3 2 4 2 3" xfId="12491" xr:uid="{0666E0C9-0EEA-4A14-8883-DD4211BC29F5}"/>
    <cellStyle name="Normal 9 2 2 3 2 4 3" xfId="6122" xr:uid="{00000000-0005-0000-0000-0000CB1E0000}"/>
    <cellStyle name="Normal 9 2 2 3 2 4 3 2" xfId="14564" xr:uid="{E845E5D8-CF53-4239-981B-EB4F4A43B910}"/>
    <cellStyle name="Normal 9 2 2 3 2 4 4" xfId="10346" xr:uid="{BCAC0079-68E7-4ACA-B4E5-33FA17D02A1E}"/>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FD4C6E59-9ED1-45F7-940C-FF983F2BE6D7}"/>
    <cellStyle name="Normal 9 2 2 3 2 5 2 3" xfId="12904" xr:uid="{E10AD330-93B9-4D45-94E0-2D6ADAEE4AA3}"/>
    <cellStyle name="Normal 9 2 2 3 2 5 3" xfId="6535" xr:uid="{00000000-0005-0000-0000-0000CF1E0000}"/>
    <cellStyle name="Normal 9 2 2 3 2 5 3 2" xfId="14977" xr:uid="{8A232A57-DA20-4E26-BC59-9DBFB7D0EEF0}"/>
    <cellStyle name="Normal 9 2 2 3 2 5 4" xfId="10759" xr:uid="{1F12739D-B4F4-4940-B03E-E613FA013CB6}"/>
    <cellStyle name="Normal 9 2 2 3 2 6" xfId="2664" xr:uid="{00000000-0005-0000-0000-0000D01E0000}"/>
    <cellStyle name="Normal 9 2 2 3 2 6 2" xfId="6948" xr:uid="{00000000-0005-0000-0000-0000D11E0000}"/>
    <cellStyle name="Normal 9 2 2 3 2 6 2 2" xfId="15390" xr:uid="{55AF18DF-69BA-46A7-9F6F-D592E905183E}"/>
    <cellStyle name="Normal 9 2 2 3 2 6 3" xfId="11172" xr:uid="{EDF2A19B-F03B-4B7D-9590-4FCEA8E12F21}"/>
    <cellStyle name="Normal 9 2 2 3 2 7" xfId="4883" xr:uid="{00000000-0005-0000-0000-0000D21E0000}"/>
    <cellStyle name="Normal 9 2 2 3 2 7 2" xfId="13325" xr:uid="{14F9AEE3-CC57-4492-ABB2-9ECCF6C6A44B}"/>
    <cellStyle name="Normal 9 2 2 3 2 8" xfId="9107" xr:uid="{A80CC83B-A22D-435F-8FAF-CEA7388C7E18}"/>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635CB3BF-B26E-4C21-8823-60E1B366861F}"/>
    <cellStyle name="Normal 9 2 2 3 3 2 3" xfId="11664" xr:uid="{72DB5AF5-7622-47FB-B99D-2BE12359FDAE}"/>
    <cellStyle name="Normal 9 2 2 3 3 3" xfId="5295" xr:uid="{00000000-0005-0000-0000-0000D61E0000}"/>
    <cellStyle name="Normal 9 2 2 3 3 3 2" xfId="13737" xr:uid="{C8053C7C-3B89-4002-8982-6A3D5605EA21}"/>
    <cellStyle name="Normal 9 2 2 3 3 4" xfId="9519" xr:uid="{00D10479-BB19-44E6-B174-F66291F66B72}"/>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3E256347-10C5-4380-B66D-7F05544EC854}"/>
    <cellStyle name="Normal 9 2 2 3 4 2 3" xfId="12077" xr:uid="{083D7C17-AFB8-46C2-8EFB-C99E2D13238B}"/>
    <cellStyle name="Normal 9 2 2 3 4 3" xfId="5708" xr:uid="{00000000-0005-0000-0000-0000DA1E0000}"/>
    <cellStyle name="Normal 9 2 2 3 4 3 2" xfId="14150" xr:uid="{E8F61EB5-FF79-4C6F-B3EF-66A8FE53C781}"/>
    <cellStyle name="Normal 9 2 2 3 4 4" xfId="9932" xr:uid="{3211A7B0-FE73-418D-802B-3ECD2B3478C1}"/>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308FCFE8-A244-4A23-BE44-E62392F26804}"/>
    <cellStyle name="Normal 9 2 2 3 5 2 3" xfId="12490" xr:uid="{43F67BBF-F687-4EE5-8126-85946645FC74}"/>
    <cellStyle name="Normal 9 2 2 3 5 3" xfId="6121" xr:uid="{00000000-0005-0000-0000-0000DE1E0000}"/>
    <cellStyle name="Normal 9 2 2 3 5 3 2" xfId="14563" xr:uid="{3AE09F4D-ACF4-48DF-8DA1-1507FACCE600}"/>
    <cellStyle name="Normal 9 2 2 3 5 4" xfId="10345" xr:uid="{47601408-643A-4562-9936-6251FDB1A265}"/>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34288A15-072B-4B9D-8751-D33B181B9525}"/>
    <cellStyle name="Normal 9 2 2 3 6 2 3" xfId="12903" xr:uid="{A9D1BA18-744C-445B-91B8-2C4885F0ED6E}"/>
    <cellStyle name="Normal 9 2 2 3 6 3" xfId="6534" xr:uid="{00000000-0005-0000-0000-0000E21E0000}"/>
    <cellStyle name="Normal 9 2 2 3 6 3 2" xfId="14976" xr:uid="{A4236552-4668-4729-AA52-7C84C98A2783}"/>
    <cellStyle name="Normal 9 2 2 3 6 4" xfId="10758" xr:uid="{F624C419-4E89-48EB-9FB0-F3E61E3B7975}"/>
    <cellStyle name="Normal 9 2 2 3 7" xfId="2663" xr:uid="{00000000-0005-0000-0000-0000E31E0000}"/>
    <cellStyle name="Normal 9 2 2 3 7 2" xfId="6947" xr:uid="{00000000-0005-0000-0000-0000E41E0000}"/>
    <cellStyle name="Normal 9 2 2 3 7 2 2" xfId="15389" xr:uid="{DB1CEFF5-CC03-4FDE-A3E6-0653F9D04215}"/>
    <cellStyle name="Normal 9 2 2 3 7 3" xfId="11171" xr:uid="{11FF539B-07F3-4318-9DE1-F3FB2990D6FC}"/>
    <cellStyle name="Normal 9 2 2 3 8" xfId="4882" xr:uid="{00000000-0005-0000-0000-0000E51E0000}"/>
    <cellStyle name="Normal 9 2 2 3 8 2" xfId="13324" xr:uid="{C0BEBEFB-7EA6-4DF0-BCA4-A76632936F14}"/>
    <cellStyle name="Normal 9 2 2 3 9" xfId="9106" xr:uid="{34F35D43-31F8-4B37-962C-661794C8B7A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D8B01F24-3BF1-4BF2-8A74-1CE14836F368}"/>
    <cellStyle name="Normal 9 2 2 4 2 2 3" xfId="11666" xr:uid="{4247E8BF-7E52-4512-809B-0038651D1E9C}"/>
    <cellStyle name="Normal 9 2 2 4 2 3" xfId="5297" xr:uid="{00000000-0005-0000-0000-0000EA1E0000}"/>
    <cellStyle name="Normal 9 2 2 4 2 3 2" xfId="13739" xr:uid="{727EB5FD-B06F-415E-8C1A-D01F2D3A67F0}"/>
    <cellStyle name="Normal 9 2 2 4 2 4" xfId="9521" xr:uid="{D959B51D-AEE1-4677-B27A-8D1C1B6400E4}"/>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984E912D-4354-4033-B2CB-08133714FF88}"/>
    <cellStyle name="Normal 9 2 2 4 3 2 3" xfId="12079" xr:uid="{2266F4C2-4DC2-48B0-815F-2145E7B1B833}"/>
    <cellStyle name="Normal 9 2 2 4 3 3" xfId="5710" xr:uid="{00000000-0005-0000-0000-0000EE1E0000}"/>
    <cellStyle name="Normal 9 2 2 4 3 3 2" xfId="14152" xr:uid="{4E1326C0-136F-4FED-81E9-4668043FF05D}"/>
    <cellStyle name="Normal 9 2 2 4 3 4" xfId="9934" xr:uid="{7973EF74-FA33-4D20-9C26-C3F300D55E43}"/>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2625C465-67D2-41DD-A363-E5D268B15EC2}"/>
    <cellStyle name="Normal 9 2 2 4 4 2 3" xfId="12492" xr:uid="{AF5FCB2E-A4FD-4653-A21A-9D0061A79D22}"/>
    <cellStyle name="Normal 9 2 2 4 4 3" xfId="6123" xr:uid="{00000000-0005-0000-0000-0000F21E0000}"/>
    <cellStyle name="Normal 9 2 2 4 4 3 2" xfId="14565" xr:uid="{966D7FAB-DD6C-42F5-BB7A-E165FBC22979}"/>
    <cellStyle name="Normal 9 2 2 4 4 4" xfId="10347" xr:uid="{429CCA4F-2541-44F3-B431-37E74B5A16E9}"/>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D9EC691D-29CA-4FA4-9F95-00894C752EF9}"/>
    <cellStyle name="Normal 9 2 2 4 5 2 3" xfId="12905" xr:uid="{4D8EA44D-68CC-49DE-BCF1-777CC1ECBD57}"/>
    <cellStyle name="Normal 9 2 2 4 5 3" xfId="6536" xr:uid="{00000000-0005-0000-0000-0000F61E0000}"/>
    <cellStyle name="Normal 9 2 2 4 5 3 2" xfId="14978" xr:uid="{4237DB0C-9EA3-4A1F-B853-94B7C5D56744}"/>
    <cellStyle name="Normal 9 2 2 4 5 4" xfId="10760" xr:uid="{2B9F59B8-9826-450F-B61F-03F315225C46}"/>
    <cellStyle name="Normal 9 2 2 4 6" xfId="2665" xr:uid="{00000000-0005-0000-0000-0000F71E0000}"/>
    <cellStyle name="Normal 9 2 2 4 6 2" xfId="6949" xr:uid="{00000000-0005-0000-0000-0000F81E0000}"/>
    <cellStyle name="Normal 9 2 2 4 6 2 2" xfId="15391" xr:uid="{A746DA15-5B2E-41D1-AF6B-737906AD7CC4}"/>
    <cellStyle name="Normal 9 2 2 4 6 3" xfId="11173" xr:uid="{68175413-7AB8-4D35-B989-F94246710A36}"/>
    <cellStyle name="Normal 9 2 2 4 7" xfId="4884" xr:uid="{00000000-0005-0000-0000-0000F91E0000}"/>
    <cellStyle name="Normal 9 2 2 4 7 2" xfId="13326" xr:uid="{2CE1C665-8E63-4406-B305-216B6F565E95}"/>
    <cellStyle name="Normal 9 2 2 4 8" xfId="9108" xr:uid="{1E213ABD-911A-4129-927D-44AE485523E3}"/>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02FC3F1B-2F46-41FF-A26B-0FC96F152809}"/>
    <cellStyle name="Normal 9 2 2 5 2 3" xfId="11659" xr:uid="{EE002E15-3D6F-4E0A-BB53-743EEB20648B}"/>
    <cellStyle name="Normal 9 2 2 5 3" xfId="5290" xr:uid="{00000000-0005-0000-0000-0000FD1E0000}"/>
    <cellStyle name="Normal 9 2 2 5 3 2" xfId="13732" xr:uid="{87ECDD55-8F9F-4B36-ABD8-67E5057626C4}"/>
    <cellStyle name="Normal 9 2 2 5 4" xfId="9514" xr:uid="{3C37E5F2-99C9-47E8-AB20-166AC785D668}"/>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3B329351-6323-4FB6-B82D-D00A615EB8DE}"/>
    <cellStyle name="Normal 9 2 2 6 2 3" xfId="12072" xr:uid="{D02466BF-599D-4B97-B81E-C82473E52ECB}"/>
    <cellStyle name="Normal 9 2 2 6 3" xfId="5703" xr:uid="{00000000-0005-0000-0000-0000011F0000}"/>
    <cellStyle name="Normal 9 2 2 6 3 2" xfId="14145" xr:uid="{77A8175C-A454-48E6-B984-AFB740290FFE}"/>
    <cellStyle name="Normal 9 2 2 6 4" xfId="9927" xr:uid="{62DF7C60-B9EF-40EC-A152-3B86117D7466}"/>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A6289C76-2EDD-4FDE-B0A5-56F5B638CBEC}"/>
    <cellStyle name="Normal 9 2 2 7 2 3" xfId="12485" xr:uid="{8329326F-8579-4A3C-8D98-49CB73455191}"/>
    <cellStyle name="Normal 9 2 2 7 3" xfId="6116" xr:uid="{00000000-0005-0000-0000-0000051F0000}"/>
    <cellStyle name="Normal 9 2 2 7 3 2" xfId="14558" xr:uid="{D7B1ECEE-AD7E-4A11-A107-4CC271DDDEB9}"/>
    <cellStyle name="Normal 9 2 2 7 4" xfId="10340" xr:uid="{7D49A864-51F7-4B20-80A2-4B5F08CB54AE}"/>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811D6356-1EDC-4D3B-BB51-662B00A818C5}"/>
    <cellStyle name="Normal 9 2 2 8 2 3" xfId="12898" xr:uid="{40BCACF1-639F-4477-999B-C7BADBA79EAB}"/>
    <cellStyle name="Normal 9 2 2 8 3" xfId="6529" xr:uid="{00000000-0005-0000-0000-0000091F0000}"/>
    <cellStyle name="Normal 9 2 2 8 3 2" xfId="14971" xr:uid="{29DFF9DC-A274-4A10-881E-117526ABC6B4}"/>
    <cellStyle name="Normal 9 2 2 8 4" xfId="10753" xr:uid="{C9D8AA1C-CE8A-4B4E-B79E-147CAD44CBD7}"/>
    <cellStyle name="Normal 9 2 2 9" xfId="2658" xr:uid="{00000000-0005-0000-0000-00000A1F0000}"/>
    <cellStyle name="Normal 9 2 2 9 2" xfId="6942" xr:uid="{00000000-0005-0000-0000-00000B1F0000}"/>
    <cellStyle name="Normal 9 2 2 9 2 2" xfId="15384" xr:uid="{8202B0E7-8371-45CD-946A-0CBDF491AC3D}"/>
    <cellStyle name="Normal 9 2 2 9 3" xfId="11166" xr:uid="{C7116C2C-614A-44F5-A23D-3FC269101DF8}"/>
    <cellStyle name="Normal 9 2 3" xfId="520" xr:uid="{00000000-0005-0000-0000-00000C1F0000}"/>
    <cellStyle name="Normal 9 2 3 10" xfId="9109" xr:uid="{F1745F33-7FC4-4AAA-8140-0BB2001D267B}"/>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96012D51-71A3-4D0C-B1F6-09E37466F540}"/>
    <cellStyle name="Normal 9 2 3 2 2 2 2 3" xfId="11669" xr:uid="{DC96C31F-F4C2-4108-A0F4-D8D4D2A840AD}"/>
    <cellStyle name="Normal 9 2 3 2 2 2 3" xfId="5300" xr:uid="{00000000-0005-0000-0000-0000121F0000}"/>
    <cellStyle name="Normal 9 2 3 2 2 2 3 2" xfId="13742" xr:uid="{6C16C5AB-8354-4976-BC49-94F5A4C2BE54}"/>
    <cellStyle name="Normal 9 2 3 2 2 2 4" xfId="9524" xr:uid="{D82FA358-E1A6-4272-BF63-9107F11C9C48}"/>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710DBB90-7303-4E71-B218-8CF95E2B9D55}"/>
    <cellStyle name="Normal 9 2 3 2 2 3 2 3" xfId="12082" xr:uid="{1AFE492F-A378-4283-8515-F7FF36AFAAE9}"/>
    <cellStyle name="Normal 9 2 3 2 2 3 3" xfId="5713" xr:uid="{00000000-0005-0000-0000-0000161F0000}"/>
    <cellStyle name="Normal 9 2 3 2 2 3 3 2" xfId="14155" xr:uid="{490FF271-9FD3-4DA3-B652-31C4091FC57D}"/>
    <cellStyle name="Normal 9 2 3 2 2 3 4" xfId="9937" xr:uid="{78E1766C-A5B0-4933-865A-50063A9639BE}"/>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66C4DAFF-280C-4B3C-8523-FA4C6B1CF686}"/>
    <cellStyle name="Normal 9 2 3 2 2 4 2 3" xfId="12495" xr:uid="{EB2D8365-24F6-4DA8-B663-CCE16240CC0B}"/>
    <cellStyle name="Normal 9 2 3 2 2 4 3" xfId="6126" xr:uid="{00000000-0005-0000-0000-00001A1F0000}"/>
    <cellStyle name="Normal 9 2 3 2 2 4 3 2" xfId="14568" xr:uid="{F4F906C8-4A07-4525-936C-D56BEB217DF0}"/>
    <cellStyle name="Normal 9 2 3 2 2 4 4" xfId="10350" xr:uid="{CF168D2A-C5FA-4018-8A86-6A713DE2E9EF}"/>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6D48412F-C0CF-4DBA-A217-A50C2161FBDE}"/>
    <cellStyle name="Normal 9 2 3 2 2 5 2 3" xfId="12908" xr:uid="{3782D46F-802F-4ADE-AA2F-EBF58FD7384C}"/>
    <cellStyle name="Normal 9 2 3 2 2 5 3" xfId="6539" xr:uid="{00000000-0005-0000-0000-00001E1F0000}"/>
    <cellStyle name="Normal 9 2 3 2 2 5 3 2" xfId="14981" xr:uid="{ED2D44DC-3B64-4FF3-AE6B-1D3082C05B6D}"/>
    <cellStyle name="Normal 9 2 3 2 2 5 4" xfId="10763" xr:uid="{19196892-D8A4-4C0F-8A99-2B6D6EFE54D7}"/>
    <cellStyle name="Normal 9 2 3 2 2 6" xfId="2668" xr:uid="{00000000-0005-0000-0000-00001F1F0000}"/>
    <cellStyle name="Normal 9 2 3 2 2 6 2" xfId="6952" xr:uid="{00000000-0005-0000-0000-0000201F0000}"/>
    <cellStyle name="Normal 9 2 3 2 2 6 2 2" xfId="15394" xr:uid="{EF5C0254-6316-489F-BBA0-A5D20656EFB8}"/>
    <cellStyle name="Normal 9 2 3 2 2 6 3" xfId="11176" xr:uid="{0DFCC37B-BB0E-45CB-AE0E-078F5F95A1FB}"/>
    <cellStyle name="Normal 9 2 3 2 2 7" xfId="4887" xr:uid="{00000000-0005-0000-0000-0000211F0000}"/>
    <cellStyle name="Normal 9 2 3 2 2 7 2" xfId="13329" xr:uid="{D1CA2379-E3C8-4333-98C4-B7B70C44C6C2}"/>
    <cellStyle name="Normal 9 2 3 2 2 8" xfId="9111" xr:uid="{FA1F32E2-8414-4651-926D-5DB2E65F4B3A}"/>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8AEAE655-9358-4811-B459-3739CBE0E3D0}"/>
    <cellStyle name="Normal 9 2 3 2 3 2 3" xfId="11668" xr:uid="{C0E0BB53-36A8-4EFE-9F25-982A68AF8D86}"/>
    <cellStyle name="Normal 9 2 3 2 3 3" xfId="5299" xr:uid="{00000000-0005-0000-0000-0000251F0000}"/>
    <cellStyle name="Normal 9 2 3 2 3 3 2" xfId="13741" xr:uid="{47971D95-F06D-4AFC-8B94-E4BB4A3E2118}"/>
    <cellStyle name="Normal 9 2 3 2 3 4" xfId="9523" xr:uid="{C7D70862-F1C5-4E6A-B57F-898856CA10F7}"/>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17C8A2CE-BC31-4077-B918-EF826994D28D}"/>
    <cellStyle name="Normal 9 2 3 2 4 2 3" xfId="12081" xr:uid="{C75EE7CB-E7ED-409D-A45F-FA6AE8DA7B6F}"/>
    <cellStyle name="Normal 9 2 3 2 4 3" xfId="5712" xr:uid="{00000000-0005-0000-0000-0000291F0000}"/>
    <cellStyle name="Normal 9 2 3 2 4 3 2" xfId="14154" xr:uid="{BB1CA905-460F-49E2-ACBA-548E94D4D824}"/>
    <cellStyle name="Normal 9 2 3 2 4 4" xfId="9936" xr:uid="{1F1AF95C-4269-440F-8226-A1832BF60EE9}"/>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DB207348-2507-4684-8CAE-51D6798DD40F}"/>
    <cellStyle name="Normal 9 2 3 2 5 2 3" xfId="12494" xr:uid="{D3656EC4-95E0-4E5A-808F-9FFDA198E312}"/>
    <cellStyle name="Normal 9 2 3 2 5 3" xfId="6125" xr:uid="{00000000-0005-0000-0000-00002D1F0000}"/>
    <cellStyle name="Normal 9 2 3 2 5 3 2" xfId="14567" xr:uid="{5161E3AB-F988-4F07-BC86-6EF29C103EC2}"/>
    <cellStyle name="Normal 9 2 3 2 5 4" xfId="10349" xr:uid="{8B07091A-E4C9-49D7-8B75-1FBB7B18A502}"/>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FA6C8039-39D0-4F5B-A2F6-FCA76E0F82ED}"/>
    <cellStyle name="Normal 9 2 3 2 6 2 3" xfId="12907" xr:uid="{A27F98D4-2127-4CF5-B8F0-1A56AAC90E8C}"/>
    <cellStyle name="Normal 9 2 3 2 6 3" xfId="6538" xr:uid="{00000000-0005-0000-0000-0000311F0000}"/>
    <cellStyle name="Normal 9 2 3 2 6 3 2" xfId="14980" xr:uid="{4123A9BF-513C-4BA4-BA4F-9F5684BE7675}"/>
    <cellStyle name="Normal 9 2 3 2 6 4" xfId="10762" xr:uid="{B0ACFB1D-83EA-49FC-9769-5C107DCF57F6}"/>
    <cellStyle name="Normal 9 2 3 2 7" xfId="2667" xr:uid="{00000000-0005-0000-0000-0000321F0000}"/>
    <cellStyle name="Normal 9 2 3 2 7 2" xfId="6951" xr:uid="{00000000-0005-0000-0000-0000331F0000}"/>
    <cellStyle name="Normal 9 2 3 2 7 2 2" xfId="15393" xr:uid="{77F65B67-D784-4C12-8B47-F4695CE49FEC}"/>
    <cellStyle name="Normal 9 2 3 2 7 3" xfId="11175" xr:uid="{59683CD6-6367-4C87-BF81-E0F90C6ECDE4}"/>
    <cellStyle name="Normal 9 2 3 2 8" xfId="4886" xr:uid="{00000000-0005-0000-0000-0000341F0000}"/>
    <cellStyle name="Normal 9 2 3 2 8 2" xfId="13328" xr:uid="{934C331B-6177-4359-878E-88521D0DABA4}"/>
    <cellStyle name="Normal 9 2 3 2 9" xfId="9110" xr:uid="{9ACC3BB0-D18F-4C9C-B92A-783D22788D39}"/>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F281BC74-1E0B-4602-B1F4-B6DDC9360DC5}"/>
    <cellStyle name="Normal 9 2 3 3 2 2 3" xfId="11670" xr:uid="{82229C47-A7BA-4674-AC53-A7A3C5739394}"/>
    <cellStyle name="Normal 9 2 3 3 2 3" xfId="5301" xr:uid="{00000000-0005-0000-0000-0000391F0000}"/>
    <cellStyle name="Normal 9 2 3 3 2 3 2" xfId="13743" xr:uid="{91D47C2F-D4A6-4554-B24D-FD4031BF4184}"/>
    <cellStyle name="Normal 9 2 3 3 2 4" xfId="9525" xr:uid="{5FFEFC8F-16F5-4A4F-A9BA-7DD468E3A47D}"/>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9A920271-B407-40CF-BAFD-52A9FEC80FC1}"/>
    <cellStyle name="Normal 9 2 3 3 3 2 3" xfId="12083" xr:uid="{F1C9E7F8-DB36-422A-B3D1-704B61C58AC2}"/>
    <cellStyle name="Normal 9 2 3 3 3 3" xfId="5714" xr:uid="{00000000-0005-0000-0000-00003D1F0000}"/>
    <cellStyle name="Normal 9 2 3 3 3 3 2" xfId="14156" xr:uid="{7947CD1E-D650-4E71-9806-55A7A3BC1245}"/>
    <cellStyle name="Normal 9 2 3 3 3 4" xfId="9938" xr:uid="{13D93E2A-71C4-48DA-AA72-5505D07EBF31}"/>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BE6C14B7-8568-48E3-9CE5-C4F8FD6DD2B3}"/>
    <cellStyle name="Normal 9 2 3 3 4 2 3" xfId="12496" xr:uid="{1018F035-8FE8-4602-AF5C-4381D73D898F}"/>
    <cellStyle name="Normal 9 2 3 3 4 3" xfId="6127" xr:uid="{00000000-0005-0000-0000-0000411F0000}"/>
    <cellStyle name="Normal 9 2 3 3 4 3 2" xfId="14569" xr:uid="{A9BA7833-9A3E-4629-BD6D-B20FFCBBB11E}"/>
    <cellStyle name="Normal 9 2 3 3 4 4" xfId="10351" xr:uid="{10951590-2829-44DA-82E6-C67B4FD10ABA}"/>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7CCDCBEE-9EC8-49A5-AFCF-45E146C0AC5C}"/>
    <cellStyle name="Normal 9 2 3 3 5 2 3" xfId="12909" xr:uid="{64E6A6AB-BE85-4933-9F27-9E694A174854}"/>
    <cellStyle name="Normal 9 2 3 3 5 3" xfId="6540" xr:uid="{00000000-0005-0000-0000-0000451F0000}"/>
    <cellStyle name="Normal 9 2 3 3 5 3 2" xfId="14982" xr:uid="{33C62C6E-F628-41DA-AF07-51F75FAF476C}"/>
    <cellStyle name="Normal 9 2 3 3 5 4" xfId="10764" xr:uid="{9B475E00-87C0-4418-BDBC-CE2E11CB6EDC}"/>
    <cellStyle name="Normal 9 2 3 3 6" xfId="2669" xr:uid="{00000000-0005-0000-0000-0000461F0000}"/>
    <cellStyle name="Normal 9 2 3 3 6 2" xfId="6953" xr:uid="{00000000-0005-0000-0000-0000471F0000}"/>
    <cellStyle name="Normal 9 2 3 3 6 2 2" xfId="15395" xr:uid="{A6133333-0AC3-4D04-B67F-B6596E02C539}"/>
    <cellStyle name="Normal 9 2 3 3 6 3" xfId="11177" xr:uid="{71AB288F-E44A-4DFF-AF1F-8EDC4D214918}"/>
    <cellStyle name="Normal 9 2 3 3 7" xfId="4888" xr:uid="{00000000-0005-0000-0000-0000481F0000}"/>
    <cellStyle name="Normal 9 2 3 3 7 2" xfId="13330" xr:uid="{9BD91B6A-586F-4061-B774-5E2B4E8AA94C}"/>
    <cellStyle name="Normal 9 2 3 3 8" xfId="9112" xr:uid="{FA4B7E60-8529-496F-A28C-3C60EA8E5437}"/>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133B3C5C-A637-496B-858D-FE382FD9EB92}"/>
    <cellStyle name="Normal 9 2 3 4 2 3" xfId="11667" xr:uid="{573B051D-3BAB-455A-B500-0C9C4B6932F5}"/>
    <cellStyle name="Normal 9 2 3 4 3" xfId="5298" xr:uid="{00000000-0005-0000-0000-00004C1F0000}"/>
    <cellStyle name="Normal 9 2 3 4 3 2" xfId="13740" xr:uid="{05DF162C-E337-46E4-A2AE-861D54717DE9}"/>
    <cellStyle name="Normal 9 2 3 4 4" xfId="9522" xr:uid="{73E58C32-4E54-4CCA-A077-2FDE0798B895}"/>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C8FA1355-7D49-4FDB-8D2C-9D3ED54B74A0}"/>
    <cellStyle name="Normal 9 2 3 5 2 3" xfId="12080" xr:uid="{82FFBA12-0D4E-436B-97AC-76F6A05040EC}"/>
    <cellStyle name="Normal 9 2 3 5 3" xfId="5711" xr:uid="{00000000-0005-0000-0000-0000501F0000}"/>
    <cellStyle name="Normal 9 2 3 5 3 2" xfId="14153" xr:uid="{4CD44589-A633-4C2E-B859-038F86BEDFDA}"/>
    <cellStyle name="Normal 9 2 3 5 4" xfId="9935" xr:uid="{727F3156-96C8-4206-AAAF-A67D22341950}"/>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3B8A2B0C-45AF-468D-AA03-25780D7FF3EB}"/>
    <cellStyle name="Normal 9 2 3 6 2 3" xfId="12493" xr:uid="{3867CC48-19D3-4BDD-B1DB-5DDF6320B13F}"/>
    <cellStyle name="Normal 9 2 3 6 3" xfId="6124" xr:uid="{00000000-0005-0000-0000-0000541F0000}"/>
    <cellStyle name="Normal 9 2 3 6 3 2" xfId="14566" xr:uid="{473BF5D9-114C-4A6F-8473-8B60CC9EED55}"/>
    <cellStyle name="Normal 9 2 3 6 4" xfId="10348" xr:uid="{B22AE643-9E38-43EC-B199-0E309FE03693}"/>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04FF7C7E-6A76-4D6D-8FCD-94C22678B360}"/>
    <cellStyle name="Normal 9 2 3 7 2 3" xfId="12906" xr:uid="{42C4891D-7F04-484E-ACD9-B324C4107EFB}"/>
    <cellStyle name="Normal 9 2 3 7 3" xfId="6537" xr:uid="{00000000-0005-0000-0000-0000581F0000}"/>
    <cellStyle name="Normal 9 2 3 7 3 2" xfId="14979" xr:uid="{C605E514-7146-489A-8CF8-F02570BE33B2}"/>
    <cellStyle name="Normal 9 2 3 7 4" xfId="10761" xr:uid="{BCAD2146-5723-4333-A98F-70B35DE03271}"/>
    <cellStyle name="Normal 9 2 3 8" xfId="2666" xr:uid="{00000000-0005-0000-0000-0000591F0000}"/>
    <cellStyle name="Normal 9 2 3 8 2" xfId="6950" xr:uid="{00000000-0005-0000-0000-00005A1F0000}"/>
    <cellStyle name="Normal 9 2 3 8 2 2" xfId="15392" xr:uid="{307AA4C9-DCF6-4A1B-819D-7F3B046911E8}"/>
    <cellStyle name="Normal 9 2 3 8 3" xfId="11174" xr:uid="{45BC77E9-6D0D-4200-9EA6-51AF2EA73693}"/>
    <cellStyle name="Normal 9 2 3 9" xfId="4885" xr:uid="{00000000-0005-0000-0000-00005B1F0000}"/>
    <cellStyle name="Normal 9 2 3 9 2" xfId="13327" xr:uid="{9F2F657C-E440-4F3E-A11A-E2FCA8713F36}"/>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99D83126-B8F4-4D2B-9D43-468241DBB39C}"/>
    <cellStyle name="Normal 9 2 4 2 2 2 3" xfId="11672" xr:uid="{1A71D860-A078-4CF6-985A-7BEAFA9D052A}"/>
    <cellStyle name="Normal 9 2 4 2 2 3" xfId="5303" xr:uid="{00000000-0005-0000-0000-0000611F0000}"/>
    <cellStyle name="Normal 9 2 4 2 2 3 2" xfId="13745" xr:uid="{5B0D85B8-086D-41FB-84F7-17BD90E6B07A}"/>
    <cellStyle name="Normal 9 2 4 2 2 4" xfId="9527" xr:uid="{7411839E-90BF-463A-A32F-D663AAC84260}"/>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8050516F-D39E-4C61-B2F8-C6D70774FE4B}"/>
    <cellStyle name="Normal 9 2 4 2 3 2 3" xfId="12085" xr:uid="{EBA0C900-FDA5-4E11-93D6-4298674B7F73}"/>
    <cellStyle name="Normal 9 2 4 2 3 3" xfId="5716" xr:uid="{00000000-0005-0000-0000-0000651F0000}"/>
    <cellStyle name="Normal 9 2 4 2 3 3 2" xfId="14158" xr:uid="{1EB3C46C-836C-4D29-8C98-379D15D901F5}"/>
    <cellStyle name="Normal 9 2 4 2 3 4" xfId="9940" xr:uid="{32242DE9-5AB4-4A38-9278-AD3A5604775C}"/>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859C2AA4-3E40-436C-9457-C6C0763B2606}"/>
    <cellStyle name="Normal 9 2 4 2 4 2 3" xfId="12498" xr:uid="{F662DFBE-60E2-46C9-A0CE-FDF9D57A172F}"/>
    <cellStyle name="Normal 9 2 4 2 4 3" xfId="6129" xr:uid="{00000000-0005-0000-0000-0000691F0000}"/>
    <cellStyle name="Normal 9 2 4 2 4 3 2" xfId="14571" xr:uid="{F403B4B6-98D1-4FBE-ADDB-7299D5BF6C0C}"/>
    <cellStyle name="Normal 9 2 4 2 4 4" xfId="10353" xr:uid="{75C95CFA-5E14-4FF6-9B12-22891323D152}"/>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EA154B9E-43B0-4840-B29D-888D2F4C0D23}"/>
    <cellStyle name="Normal 9 2 4 2 5 2 3" xfId="12911" xr:uid="{2ADC4B63-0A5A-48E6-90FE-C823D499887F}"/>
    <cellStyle name="Normal 9 2 4 2 5 3" xfId="6542" xr:uid="{00000000-0005-0000-0000-00006D1F0000}"/>
    <cellStyle name="Normal 9 2 4 2 5 3 2" xfId="14984" xr:uid="{52A313A1-D9C9-4CB4-9866-51A0F4869A3E}"/>
    <cellStyle name="Normal 9 2 4 2 5 4" xfId="10766" xr:uid="{34E891A9-466D-42EA-80F2-E4E37EFB3D23}"/>
    <cellStyle name="Normal 9 2 4 2 6" xfId="2671" xr:uid="{00000000-0005-0000-0000-00006E1F0000}"/>
    <cellStyle name="Normal 9 2 4 2 6 2" xfId="6955" xr:uid="{00000000-0005-0000-0000-00006F1F0000}"/>
    <cellStyle name="Normal 9 2 4 2 6 2 2" xfId="15397" xr:uid="{8DB24587-FB98-4189-ACAB-0984598AC809}"/>
    <cellStyle name="Normal 9 2 4 2 6 3" xfId="11179" xr:uid="{9F8AF2B8-8008-4B03-862C-A8795D14E8E1}"/>
    <cellStyle name="Normal 9 2 4 2 7" xfId="4890" xr:uid="{00000000-0005-0000-0000-0000701F0000}"/>
    <cellStyle name="Normal 9 2 4 2 7 2" xfId="13332" xr:uid="{D6DF5B33-3CDB-49EB-B34D-007766F60DFE}"/>
    <cellStyle name="Normal 9 2 4 2 8" xfId="9114" xr:uid="{6D6B8FA4-923D-4C53-8E9F-461AB254150A}"/>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5E2B2105-7EF2-4FEC-B25E-33F81BF90C77}"/>
    <cellStyle name="Normal 9 2 4 3 2 3" xfId="11671" xr:uid="{8025534D-B67D-4EEA-90D2-6FD8F96260D1}"/>
    <cellStyle name="Normal 9 2 4 3 3" xfId="5302" xr:uid="{00000000-0005-0000-0000-0000741F0000}"/>
    <cellStyle name="Normal 9 2 4 3 3 2" xfId="13744" xr:uid="{8487902B-D3B2-4791-BEE1-8AC4A3CF9D9D}"/>
    <cellStyle name="Normal 9 2 4 3 4" xfId="9526" xr:uid="{595C4D7E-E430-46E0-859B-EC7979D97A6F}"/>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CD697663-211F-4D21-B467-475F6E001CFD}"/>
    <cellStyle name="Normal 9 2 4 4 2 3" xfId="12084" xr:uid="{D7869D7B-2C06-4A89-9077-6762CD1F033A}"/>
    <cellStyle name="Normal 9 2 4 4 3" xfId="5715" xr:uid="{00000000-0005-0000-0000-0000781F0000}"/>
    <cellStyle name="Normal 9 2 4 4 3 2" xfId="14157" xr:uid="{31054864-588D-48DA-B521-D907997E00A4}"/>
    <cellStyle name="Normal 9 2 4 4 4" xfId="9939" xr:uid="{9079D850-675D-4FA4-9FB9-78159D3E688A}"/>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3C778F81-E4DC-4EEB-82C6-D6B05AFBD3A9}"/>
    <cellStyle name="Normal 9 2 4 5 2 3" xfId="12497" xr:uid="{6687E0B0-42BB-4954-A675-71F00CC9040D}"/>
    <cellStyle name="Normal 9 2 4 5 3" xfId="6128" xr:uid="{00000000-0005-0000-0000-00007C1F0000}"/>
    <cellStyle name="Normal 9 2 4 5 3 2" xfId="14570" xr:uid="{1BEB54AC-4379-453F-9D47-482692388BB3}"/>
    <cellStyle name="Normal 9 2 4 5 4" xfId="10352" xr:uid="{710C3B87-B614-485C-B2AB-E7F13ABCE68A}"/>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8258AE31-DBEF-4BCF-89AC-F1BF022128DC}"/>
    <cellStyle name="Normal 9 2 4 6 2 3" xfId="12910" xr:uid="{2CF16345-A59E-407E-9519-DB407F946A75}"/>
    <cellStyle name="Normal 9 2 4 6 3" xfId="6541" xr:uid="{00000000-0005-0000-0000-0000801F0000}"/>
    <cellStyle name="Normal 9 2 4 6 3 2" xfId="14983" xr:uid="{8DEC0AAA-6E2C-4EE2-8214-6AC3BD06AD21}"/>
    <cellStyle name="Normal 9 2 4 6 4" xfId="10765" xr:uid="{4C507F76-5BA6-4295-BD7D-59641BB502E9}"/>
    <cellStyle name="Normal 9 2 4 7" xfId="2670" xr:uid="{00000000-0005-0000-0000-0000811F0000}"/>
    <cellStyle name="Normal 9 2 4 7 2" xfId="6954" xr:uid="{00000000-0005-0000-0000-0000821F0000}"/>
    <cellStyle name="Normal 9 2 4 7 2 2" xfId="15396" xr:uid="{6A4632E4-B445-451C-B98E-487357CE4A26}"/>
    <cellStyle name="Normal 9 2 4 7 3" xfId="11178" xr:uid="{63905578-004C-4711-A1AA-3C0EB347EDC0}"/>
    <cellStyle name="Normal 9 2 4 8" xfId="4889" xr:uid="{00000000-0005-0000-0000-0000831F0000}"/>
    <cellStyle name="Normal 9 2 4 8 2" xfId="13331" xr:uid="{57345954-4F71-4B13-BDD9-6AD649AA7E2C}"/>
    <cellStyle name="Normal 9 2 4 9" xfId="9113" xr:uid="{37E0FB94-C3F8-47DF-AC33-ED0973D10699}"/>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D83A803A-07C3-4182-8557-E45E9F9DDF18}"/>
    <cellStyle name="Normal 9 2 5 2 2 3" xfId="11673" xr:uid="{53AFD8BD-291D-4C5B-880D-9A5387FD820E}"/>
    <cellStyle name="Normal 9 2 5 2 3" xfId="5304" xr:uid="{00000000-0005-0000-0000-0000881F0000}"/>
    <cellStyle name="Normal 9 2 5 2 3 2" xfId="13746" xr:uid="{C5BEB037-F338-4492-849E-761FBD9710D5}"/>
    <cellStyle name="Normal 9 2 5 2 4" xfId="9528" xr:uid="{6A508CC1-2129-46EE-9AD7-C23B7AC6AE33}"/>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DD25CAC4-A219-47C7-87A0-EF60512DBFBE}"/>
    <cellStyle name="Normal 9 2 5 3 2 3" xfId="12086" xr:uid="{F6F031AA-2C3E-4B8D-9EDA-D8A3F124B07B}"/>
    <cellStyle name="Normal 9 2 5 3 3" xfId="5717" xr:uid="{00000000-0005-0000-0000-00008C1F0000}"/>
    <cellStyle name="Normal 9 2 5 3 3 2" xfId="14159" xr:uid="{6D259BA4-EDE9-4FB3-BAC1-56F3A7D42ED5}"/>
    <cellStyle name="Normal 9 2 5 3 4" xfId="9941" xr:uid="{3EC3574D-4410-41DE-89AA-7E161D88D876}"/>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82EFDA6F-908C-4C74-8BE6-EF9D12350A44}"/>
    <cellStyle name="Normal 9 2 5 4 2 3" xfId="12499" xr:uid="{1FB7197B-45FA-42D4-B684-29B6D2818A21}"/>
    <cellStyle name="Normal 9 2 5 4 3" xfId="6130" xr:uid="{00000000-0005-0000-0000-0000901F0000}"/>
    <cellStyle name="Normal 9 2 5 4 3 2" xfId="14572" xr:uid="{DC5E2288-7102-4743-95A8-796F8F5665DB}"/>
    <cellStyle name="Normal 9 2 5 4 4" xfId="10354" xr:uid="{82D591DD-8452-4CB9-9845-26DC3458DC58}"/>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5A72668C-8ACF-492B-8932-C0E1FBEF96C0}"/>
    <cellStyle name="Normal 9 2 5 5 2 3" xfId="12912" xr:uid="{FE6D3629-E48D-4C39-8897-15B74B52DDBF}"/>
    <cellStyle name="Normal 9 2 5 5 3" xfId="6543" xr:uid="{00000000-0005-0000-0000-0000941F0000}"/>
    <cellStyle name="Normal 9 2 5 5 3 2" xfId="14985" xr:uid="{F55CA53C-1EAF-4B8C-B4D7-DAAED6E84FEB}"/>
    <cellStyle name="Normal 9 2 5 5 4" xfId="10767" xr:uid="{3FD9D713-2F8F-42E8-A970-191A523B4A01}"/>
    <cellStyle name="Normal 9 2 5 6" xfId="2672" xr:uid="{00000000-0005-0000-0000-0000951F0000}"/>
    <cellStyle name="Normal 9 2 5 6 2" xfId="6956" xr:uid="{00000000-0005-0000-0000-0000961F0000}"/>
    <cellStyle name="Normal 9 2 5 6 2 2" xfId="15398" xr:uid="{506578A4-72A3-48BF-997D-D6BD930C1C87}"/>
    <cellStyle name="Normal 9 2 5 6 3" xfId="11180" xr:uid="{A978DAB1-0B15-4AD0-B7D1-70BBB87806EB}"/>
    <cellStyle name="Normal 9 2 5 7" xfId="4891" xr:uid="{00000000-0005-0000-0000-0000971F0000}"/>
    <cellStyle name="Normal 9 2 5 7 2" xfId="13333" xr:uid="{712294DE-3F53-4B35-B61B-714853212C98}"/>
    <cellStyle name="Normal 9 2 5 8" xfId="9115" xr:uid="{5072C7B4-15C7-4BAA-9D70-6005EA39D8DB}"/>
    <cellStyle name="Normal 9 2 6" xfId="978" xr:uid="{00000000-0005-0000-0000-0000981F0000}"/>
    <cellStyle name="Normal 9 2 6 2" xfId="3211" xr:uid="{00000000-0005-0000-0000-0000991F0000}"/>
    <cellStyle name="Normal 9 2 6 2 2" xfId="7434" xr:uid="{00000000-0005-0000-0000-00009A1F0000}"/>
    <cellStyle name="Normal 9 2 6 2 2 2" xfId="15876" xr:uid="{62FC0B6D-B1C4-4CE8-9F95-62D1CEFF9F5D}"/>
    <cellStyle name="Normal 9 2 6 2 3" xfId="11658" xr:uid="{E5F3C904-FB74-483A-95B0-5C72EAFD8BA6}"/>
    <cellStyle name="Normal 9 2 6 3" xfId="5289" xr:uid="{00000000-0005-0000-0000-00009B1F0000}"/>
    <cellStyle name="Normal 9 2 6 3 2" xfId="13731" xr:uid="{88F4DC4C-4ED9-4071-94B4-185AE66F1166}"/>
    <cellStyle name="Normal 9 2 6 4" xfId="9513" xr:uid="{3657E143-4C74-4996-8A2D-BF8F7FCD0E61}"/>
    <cellStyle name="Normal 9 2 7" xfId="1394" xr:uid="{00000000-0005-0000-0000-00009C1F0000}"/>
    <cellStyle name="Normal 9 2 7 2" xfId="3624" xr:uid="{00000000-0005-0000-0000-00009D1F0000}"/>
    <cellStyle name="Normal 9 2 7 2 2" xfId="7847" xr:uid="{00000000-0005-0000-0000-00009E1F0000}"/>
    <cellStyle name="Normal 9 2 7 2 2 2" xfId="16289" xr:uid="{28054099-820F-487E-9DF9-3AD989EFA92E}"/>
    <cellStyle name="Normal 9 2 7 2 3" xfId="12071" xr:uid="{781C9245-6484-457A-A29A-AA0563E8B378}"/>
    <cellStyle name="Normal 9 2 7 3" xfId="5702" xr:uid="{00000000-0005-0000-0000-00009F1F0000}"/>
    <cellStyle name="Normal 9 2 7 3 2" xfId="14144" xr:uid="{4CF7631E-5FE7-4DB9-8324-6A9EC6C59D98}"/>
    <cellStyle name="Normal 9 2 7 4" xfId="9926" xr:uid="{5BCE02B6-1D2C-4650-BABC-562E2527C84A}"/>
    <cellStyle name="Normal 9 2 8" xfId="1807" xr:uid="{00000000-0005-0000-0000-0000A01F0000}"/>
    <cellStyle name="Normal 9 2 8 2" xfId="4037" xr:uid="{00000000-0005-0000-0000-0000A11F0000}"/>
    <cellStyle name="Normal 9 2 8 2 2" xfId="8260" xr:uid="{00000000-0005-0000-0000-0000A21F0000}"/>
    <cellStyle name="Normal 9 2 8 2 2 2" xfId="16702" xr:uid="{227AE2E8-AAE6-4DC0-9673-D9FFCE670203}"/>
    <cellStyle name="Normal 9 2 8 2 3" xfId="12484" xr:uid="{15A5E835-162A-4A7F-BB04-270C154DEF0D}"/>
    <cellStyle name="Normal 9 2 8 3" xfId="6115" xr:uid="{00000000-0005-0000-0000-0000A31F0000}"/>
    <cellStyle name="Normal 9 2 8 3 2" xfId="14557" xr:uid="{806A5071-C21A-4F70-AEDA-9DD0CE7AD92E}"/>
    <cellStyle name="Normal 9 2 8 4" xfId="10339" xr:uid="{7EC4368A-AD6D-449A-A4EC-37C3A86F4253}"/>
    <cellStyle name="Normal 9 2 9" xfId="2221" xr:uid="{00000000-0005-0000-0000-0000A41F0000}"/>
    <cellStyle name="Normal 9 2 9 2" xfId="4450" xr:uid="{00000000-0005-0000-0000-0000A51F0000}"/>
    <cellStyle name="Normal 9 2 9 2 2" xfId="8673" xr:uid="{00000000-0005-0000-0000-0000A61F0000}"/>
    <cellStyle name="Normal 9 2 9 2 2 2" xfId="17115" xr:uid="{A95A6297-A107-446B-BD34-EBEDAA0AD4D9}"/>
    <cellStyle name="Normal 9 2 9 2 3" xfId="12897" xr:uid="{64E55671-D260-4985-B2EB-065136776AD6}"/>
    <cellStyle name="Normal 9 2 9 3" xfId="6528" xr:uid="{00000000-0005-0000-0000-0000A71F0000}"/>
    <cellStyle name="Normal 9 2 9 3 2" xfId="14970" xr:uid="{A56635CD-C291-457D-AB5A-2461AFFD0774}"/>
    <cellStyle name="Normal 9 2 9 4" xfId="10752" xr:uid="{EDFFF4FD-A49F-434D-BF56-BFA8A55937B0}"/>
    <cellStyle name="Normal 9 3" xfId="527" xr:uid="{00000000-0005-0000-0000-0000A81F0000}"/>
    <cellStyle name="Normal 9 3 10" xfId="4892" xr:uid="{00000000-0005-0000-0000-0000A91F0000}"/>
    <cellStyle name="Normal 9 3 10 2" xfId="13334" xr:uid="{4293F0F3-B982-4937-B753-3C6895B31215}"/>
    <cellStyle name="Normal 9 3 11" xfId="9116" xr:uid="{80267DD2-1923-4273-BFB1-735EC20D75F7}"/>
    <cellStyle name="Normal 9 3 2" xfId="528" xr:uid="{00000000-0005-0000-0000-0000AA1F0000}"/>
    <cellStyle name="Normal 9 3 2 10" xfId="9117" xr:uid="{8CA7BD75-9C72-403D-AFC3-42EAAEA2F63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B5008394-99E2-4E3D-9F69-7EC71D24C0AE}"/>
    <cellStyle name="Normal 9 3 2 2 2 2 2 3" xfId="11677" xr:uid="{123C2EBD-9302-4492-A61A-2AF051333677}"/>
    <cellStyle name="Normal 9 3 2 2 2 2 3" xfId="5308" xr:uid="{00000000-0005-0000-0000-0000B01F0000}"/>
    <cellStyle name="Normal 9 3 2 2 2 2 3 2" xfId="13750" xr:uid="{9BBC97D0-B849-4A20-9222-45E8A1BB630A}"/>
    <cellStyle name="Normal 9 3 2 2 2 2 4" xfId="9532" xr:uid="{75DAEACA-3BE3-4DA3-A76D-DE695F679284}"/>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7A7682FE-602B-4927-AABA-D3B5EE52BF74}"/>
    <cellStyle name="Normal 9 3 2 2 2 3 2 3" xfId="12090" xr:uid="{BFC99D7B-BBCC-4BF6-87F8-7EDA6C78C432}"/>
    <cellStyle name="Normal 9 3 2 2 2 3 3" xfId="5721" xr:uid="{00000000-0005-0000-0000-0000B41F0000}"/>
    <cellStyle name="Normal 9 3 2 2 2 3 3 2" xfId="14163" xr:uid="{1CD82459-B772-40D0-9866-90F677E64021}"/>
    <cellStyle name="Normal 9 3 2 2 2 3 4" xfId="9945" xr:uid="{1C75F26E-11B0-456E-8876-04FCF0DF963F}"/>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FB75C638-F2A5-4026-9601-2816E330B634}"/>
    <cellStyle name="Normal 9 3 2 2 2 4 2 3" xfId="12503" xr:uid="{75F96B4E-61D9-461F-A9B8-4A341A35C91C}"/>
    <cellStyle name="Normal 9 3 2 2 2 4 3" xfId="6134" xr:uid="{00000000-0005-0000-0000-0000B81F0000}"/>
    <cellStyle name="Normal 9 3 2 2 2 4 3 2" xfId="14576" xr:uid="{578345F9-B0B8-491A-AD22-D2AA58A1227E}"/>
    <cellStyle name="Normal 9 3 2 2 2 4 4" xfId="10358" xr:uid="{B198DD35-1F51-42EC-BB3D-937268749DF6}"/>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87CC4FA7-3DB2-4EEC-B34F-A689C1F0B877}"/>
    <cellStyle name="Normal 9 3 2 2 2 5 2 3" xfId="12916" xr:uid="{074B20D4-DCA8-4E3F-95B0-6DA6DD7145DC}"/>
    <cellStyle name="Normal 9 3 2 2 2 5 3" xfId="6547" xr:uid="{00000000-0005-0000-0000-0000BC1F0000}"/>
    <cellStyle name="Normal 9 3 2 2 2 5 3 2" xfId="14989" xr:uid="{5A4ACBE0-7978-4861-90A5-B40AEF9C5057}"/>
    <cellStyle name="Normal 9 3 2 2 2 5 4" xfId="10771" xr:uid="{CBB9704E-2FE2-4AB8-892E-B8179AC5EED3}"/>
    <cellStyle name="Normal 9 3 2 2 2 6" xfId="2676" xr:uid="{00000000-0005-0000-0000-0000BD1F0000}"/>
    <cellStyle name="Normal 9 3 2 2 2 6 2" xfId="6960" xr:uid="{00000000-0005-0000-0000-0000BE1F0000}"/>
    <cellStyle name="Normal 9 3 2 2 2 6 2 2" xfId="15402" xr:uid="{612FA344-ABFE-415C-B15B-A6CFAA5A163A}"/>
    <cellStyle name="Normal 9 3 2 2 2 6 3" xfId="11184" xr:uid="{D4333CAE-8773-4D89-BFA7-68B46A1D7B10}"/>
    <cellStyle name="Normal 9 3 2 2 2 7" xfId="4895" xr:uid="{00000000-0005-0000-0000-0000BF1F0000}"/>
    <cellStyle name="Normal 9 3 2 2 2 7 2" xfId="13337" xr:uid="{3F20ACD0-8731-4E9A-BF8F-2F1C464397CB}"/>
    <cellStyle name="Normal 9 3 2 2 2 8" xfId="9119" xr:uid="{3E9A7C18-BABC-41DE-8EA2-A007B08BDA74}"/>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2D2BD0F4-E101-44CF-A6A7-7D0777937190}"/>
    <cellStyle name="Normal 9 3 2 2 3 2 3" xfId="11676" xr:uid="{025C14FE-7B55-426F-A1A4-F80C180C8E19}"/>
    <cellStyle name="Normal 9 3 2 2 3 3" xfId="5307" xr:uid="{00000000-0005-0000-0000-0000C31F0000}"/>
    <cellStyle name="Normal 9 3 2 2 3 3 2" xfId="13749" xr:uid="{B5235964-1BD4-4C0E-A820-FD3B5D0C4167}"/>
    <cellStyle name="Normal 9 3 2 2 3 4" xfId="9531" xr:uid="{5B4B637E-573C-4033-BC89-09D95E1BFABA}"/>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01A5927C-A767-4155-896D-C4AC7D892262}"/>
    <cellStyle name="Normal 9 3 2 2 4 2 3" xfId="12089" xr:uid="{E16EAE7C-F897-42D0-9F3F-962E7EF09E99}"/>
    <cellStyle name="Normal 9 3 2 2 4 3" xfId="5720" xr:uid="{00000000-0005-0000-0000-0000C71F0000}"/>
    <cellStyle name="Normal 9 3 2 2 4 3 2" xfId="14162" xr:uid="{5E760F50-0BA6-4C7B-ADB2-C74C689D9451}"/>
    <cellStyle name="Normal 9 3 2 2 4 4" xfId="9944" xr:uid="{575FC165-AE4C-4B36-9121-0508FF2BE749}"/>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C465B27B-CCFA-4929-A70F-AC6B79E395CD}"/>
    <cellStyle name="Normal 9 3 2 2 5 2 3" xfId="12502" xr:uid="{637EA1D5-740E-4A9B-ACE9-A2B30F501636}"/>
    <cellStyle name="Normal 9 3 2 2 5 3" xfId="6133" xr:uid="{00000000-0005-0000-0000-0000CB1F0000}"/>
    <cellStyle name="Normal 9 3 2 2 5 3 2" xfId="14575" xr:uid="{030DCF04-6DEE-4C39-89EB-0BA0FAA30F20}"/>
    <cellStyle name="Normal 9 3 2 2 5 4" xfId="10357" xr:uid="{E1551DAD-A6EE-4593-8A6D-D7AFFBF29E9D}"/>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26FE1B36-5590-42F1-BA5C-7654A5C2F101}"/>
    <cellStyle name="Normal 9 3 2 2 6 2 3" xfId="12915" xr:uid="{A8976DE4-DB0E-45F7-92DE-D1779BC30DBA}"/>
    <cellStyle name="Normal 9 3 2 2 6 3" xfId="6546" xr:uid="{00000000-0005-0000-0000-0000CF1F0000}"/>
    <cellStyle name="Normal 9 3 2 2 6 3 2" xfId="14988" xr:uid="{05FF15B7-C1D8-41E7-8C60-23369BC3BCA9}"/>
    <cellStyle name="Normal 9 3 2 2 6 4" xfId="10770" xr:uid="{5863DDDF-D868-40EC-8BFC-CE153860E589}"/>
    <cellStyle name="Normal 9 3 2 2 7" xfId="2675" xr:uid="{00000000-0005-0000-0000-0000D01F0000}"/>
    <cellStyle name="Normal 9 3 2 2 7 2" xfId="6959" xr:uid="{00000000-0005-0000-0000-0000D11F0000}"/>
    <cellStyle name="Normal 9 3 2 2 7 2 2" xfId="15401" xr:uid="{35B0ADC6-92E8-41A8-B396-C3530EAEA161}"/>
    <cellStyle name="Normal 9 3 2 2 7 3" xfId="11183" xr:uid="{74C3A50E-88B6-4A20-AAA7-A917A5251D75}"/>
    <cellStyle name="Normal 9 3 2 2 8" xfId="4894" xr:uid="{00000000-0005-0000-0000-0000D21F0000}"/>
    <cellStyle name="Normal 9 3 2 2 8 2" xfId="13336" xr:uid="{812C2697-B93B-4EDE-A642-D31B29F1CECF}"/>
    <cellStyle name="Normal 9 3 2 2 9" xfId="9118" xr:uid="{89F48A1F-91C5-4383-9C34-35A04F48B787}"/>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06E14E78-C1B7-46E2-8D45-AFEDF4476192}"/>
    <cellStyle name="Normal 9 3 2 3 2 2 3" xfId="11678" xr:uid="{38EAB5E4-E8F4-438F-A021-6A0E3A3F1F21}"/>
    <cellStyle name="Normal 9 3 2 3 2 3" xfId="5309" xr:uid="{00000000-0005-0000-0000-0000D71F0000}"/>
    <cellStyle name="Normal 9 3 2 3 2 3 2" xfId="13751" xr:uid="{0A419E58-2932-435F-B514-F6B46AB516C9}"/>
    <cellStyle name="Normal 9 3 2 3 2 4" xfId="9533" xr:uid="{FB438418-DC87-427C-9545-8C2E42B6C535}"/>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A1A3AA0E-1B05-4221-BCEC-5AE5AE8E8DA3}"/>
    <cellStyle name="Normal 9 3 2 3 3 2 3" xfId="12091" xr:uid="{DBB54A43-AADB-4551-8030-4D08B77592FD}"/>
    <cellStyle name="Normal 9 3 2 3 3 3" xfId="5722" xr:uid="{00000000-0005-0000-0000-0000DB1F0000}"/>
    <cellStyle name="Normal 9 3 2 3 3 3 2" xfId="14164" xr:uid="{6D62BB5B-BC47-4AB8-A355-8F7743882867}"/>
    <cellStyle name="Normal 9 3 2 3 3 4" xfId="9946" xr:uid="{E6CD61A0-405A-4624-B4A9-81CDD9449100}"/>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14820433-FECF-46DF-8F06-3A55C8441AFE}"/>
    <cellStyle name="Normal 9 3 2 3 4 2 3" xfId="12504" xr:uid="{1AFF4725-1AC0-4159-92C8-9F5B823C9A63}"/>
    <cellStyle name="Normal 9 3 2 3 4 3" xfId="6135" xr:uid="{00000000-0005-0000-0000-0000DF1F0000}"/>
    <cellStyle name="Normal 9 3 2 3 4 3 2" xfId="14577" xr:uid="{39FAC187-0C96-4E0F-83C8-D2A2EC4ED2A1}"/>
    <cellStyle name="Normal 9 3 2 3 4 4" xfId="10359" xr:uid="{14F790E0-67F6-48B7-A193-011B0BFF7AD2}"/>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BFF75F37-8D92-44DA-BA87-5FD796BD3420}"/>
    <cellStyle name="Normal 9 3 2 3 5 2 3" xfId="12917" xr:uid="{D594C553-17FF-4557-B4C4-44819D4DD937}"/>
    <cellStyle name="Normal 9 3 2 3 5 3" xfId="6548" xr:uid="{00000000-0005-0000-0000-0000E31F0000}"/>
    <cellStyle name="Normal 9 3 2 3 5 3 2" xfId="14990" xr:uid="{CB4B9CCA-FB86-4ECA-86F1-2FC9647904B0}"/>
    <cellStyle name="Normal 9 3 2 3 5 4" xfId="10772" xr:uid="{B8061B1D-7713-4548-A458-409BC8AD3C17}"/>
    <cellStyle name="Normal 9 3 2 3 6" xfId="2677" xr:uid="{00000000-0005-0000-0000-0000E41F0000}"/>
    <cellStyle name="Normal 9 3 2 3 6 2" xfId="6961" xr:uid="{00000000-0005-0000-0000-0000E51F0000}"/>
    <cellStyle name="Normal 9 3 2 3 6 2 2" xfId="15403" xr:uid="{F4EAE627-3BFA-4452-AD49-F4C9E7D4A901}"/>
    <cellStyle name="Normal 9 3 2 3 6 3" xfId="11185" xr:uid="{80102688-22FE-4698-9014-8E80CF1F6BF3}"/>
    <cellStyle name="Normal 9 3 2 3 7" xfId="4896" xr:uid="{00000000-0005-0000-0000-0000E61F0000}"/>
    <cellStyle name="Normal 9 3 2 3 7 2" xfId="13338" xr:uid="{647F523B-0EBB-4044-940F-1A3A58063493}"/>
    <cellStyle name="Normal 9 3 2 3 8" xfId="9120" xr:uid="{A4D849C4-130B-4384-8FA6-9F9E1E2ACE54}"/>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05302102-3140-453D-AED8-52B745CE00F5}"/>
    <cellStyle name="Normal 9 3 2 4 2 3" xfId="11675" xr:uid="{CA2AD6D1-13BB-41FD-894B-93A735DF1F53}"/>
    <cellStyle name="Normal 9 3 2 4 3" xfId="5306" xr:uid="{00000000-0005-0000-0000-0000EA1F0000}"/>
    <cellStyle name="Normal 9 3 2 4 3 2" xfId="13748" xr:uid="{914EF3E7-1235-499A-95E1-03DF02E041B5}"/>
    <cellStyle name="Normal 9 3 2 4 4" xfId="9530" xr:uid="{3401C895-193F-4C17-9FA5-C2AFD2C733E3}"/>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64C3F9D5-284F-4D82-9673-38AC2F966D47}"/>
    <cellStyle name="Normal 9 3 2 5 2 3" xfId="12088" xr:uid="{270CBAA1-F81C-4F7C-9359-2A50A6B5F404}"/>
    <cellStyle name="Normal 9 3 2 5 3" xfId="5719" xr:uid="{00000000-0005-0000-0000-0000EE1F0000}"/>
    <cellStyle name="Normal 9 3 2 5 3 2" xfId="14161" xr:uid="{473486DC-D2A6-48B7-8C6D-52FCF89B597D}"/>
    <cellStyle name="Normal 9 3 2 5 4" xfId="9943" xr:uid="{E251A10C-2DA2-4FFE-BFA4-CFCD762F1B80}"/>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2EFBC364-FE61-4944-84D9-EEDF5FFCF720}"/>
    <cellStyle name="Normal 9 3 2 6 2 3" xfId="12501" xr:uid="{B8DF769F-6E19-48CB-8819-6585C6C61A3B}"/>
    <cellStyle name="Normal 9 3 2 6 3" xfId="6132" xr:uid="{00000000-0005-0000-0000-0000F21F0000}"/>
    <cellStyle name="Normal 9 3 2 6 3 2" xfId="14574" xr:uid="{EAE48077-CB40-4779-9DEB-09580ABA0E19}"/>
    <cellStyle name="Normal 9 3 2 6 4" xfId="10356" xr:uid="{95DC7D85-8E7B-46FE-A93A-0B40B86C22B8}"/>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00551FA6-EF44-4B5D-9ED1-0F30DA0C2F25}"/>
    <cellStyle name="Normal 9 3 2 7 2 3" xfId="12914" xr:uid="{4B7F39D6-5565-4EBB-91C2-329EE7BE3701}"/>
    <cellStyle name="Normal 9 3 2 7 3" xfId="6545" xr:uid="{00000000-0005-0000-0000-0000F61F0000}"/>
    <cellStyle name="Normal 9 3 2 7 3 2" xfId="14987" xr:uid="{1D80473F-7AD2-4173-85E3-C9C21072E91D}"/>
    <cellStyle name="Normal 9 3 2 7 4" xfId="10769" xr:uid="{5FB6B239-B729-4C20-9728-83B473878396}"/>
    <cellStyle name="Normal 9 3 2 8" xfId="2674" xr:uid="{00000000-0005-0000-0000-0000F71F0000}"/>
    <cellStyle name="Normal 9 3 2 8 2" xfId="6958" xr:uid="{00000000-0005-0000-0000-0000F81F0000}"/>
    <cellStyle name="Normal 9 3 2 8 2 2" xfId="15400" xr:uid="{0C67A6F4-B801-4AE8-AEB0-D47E4B42D3E5}"/>
    <cellStyle name="Normal 9 3 2 8 3" xfId="11182" xr:uid="{AEE78030-4129-486C-88AE-F1BF7F164EB1}"/>
    <cellStyle name="Normal 9 3 2 9" xfId="4893" xr:uid="{00000000-0005-0000-0000-0000F91F0000}"/>
    <cellStyle name="Normal 9 3 2 9 2" xfId="13335" xr:uid="{47B3C867-5F04-462F-8EF3-4DB85F2084BC}"/>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0575A780-9594-455B-BB4F-6225FAA98492}"/>
    <cellStyle name="Normal 9 3 3 2 2 2 3" xfId="11680" xr:uid="{56F0F4EF-6EED-432B-8D8D-9915E0E281D3}"/>
    <cellStyle name="Normal 9 3 3 2 2 3" xfId="5311" xr:uid="{00000000-0005-0000-0000-0000FF1F0000}"/>
    <cellStyle name="Normal 9 3 3 2 2 3 2" xfId="13753" xr:uid="{BA1AA649-6451-4F72-8FE5-347AB6752697}"/>
    <cellStyle name="Normal 9 3 3 2 2 4" xfId="9535" xr:uid="{9EC96277-A455-4F9B-84AE-5F4F30217B5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E7422605-3705-4373-9BFC-13783350E37D}"/>
    <cellStyle name="Normal 9 3 3 2 3 2 3" xfId="12093" xr:uid="{C52EB57F-A157-47F8-ADEF-A8EB0A715693}"/>
    <cellStyle name="Normal 9 3 3 2 3 3" xfId="5724" xr:uid="{00000000-0005-0000-0000-000003200000}"/>
    <cellStyle name="Normal 9 3 3 2 3 3 2" xfId="14166" xr:uid="{48827C91-577E-4AF1-96F5-CA4AACC16818}"/>
    <cellStyle name="Normal 9 3 3 2 3 4" xfId="9948" xr:uid="{5C8F5213-224B-493E-BB3F-14665A3ABF41}"/>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3BF691E5-37D2-4448-8294-1B1DB752C39E}"/>
    <cellStyle name="Normal 9 3 3 2 4 2 3" xfId="12506" xr:uid="{11F17946-06DD-4BDD-80D0-D53EB823B4DD}"/>
    <cellStyle name="Normal 9 3 3 2 4 3" xfId="6137" xr:uid="{00000000-0005-0000-0000-000007200000}"/>
    <cellStyle name="Normal 9 3 3 2 4 3 2" xfId="14579" xr:uid="{E335E525-A1F9-481D-BA92-346207E55A10}"/>
    <cellStyle name="Normal 9 3 3 2 4 4" xfId="10361" xr:uid="{3DBC7AB9-83CD-4333-85AA-53A8B359BD7F}"/>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0903E037-18A3-4E68-BBC8-E0EE10F4B022}"/>
    <cellStyle name="Normal 9 3 3 2 5 2 3" xfId="12919" xr:uid="{1A28FE67-6685-423A-8402-DDA0F386D6E1}"/>
    <cellStyle name="Normal 9 3 3 2 5 3" xfId="6550" xr:uid="{00000000-0005-0000-0000-00000B200000}"/>
    <cellStyle name="Normal 9 3 3 2 5 3 2" xfId="14992" xr:uid="{C08D20A7-A99E-436C-B786-F4D2E128ED1A}"/>
    <cellStyle name="Normal 9 3 3 2 5 4" xfId="10774" xr:uid="{B18228A9-AAE9-4B9A-BB7F-8B14CDAA43E5}"/>
    <cellStyle name="Normal 9 3 3 2 6" xfId="2679" xr:uid="{00000000-0005-0000-0000-00000C200000}"/>
    <cellStyle name="Normal 9 3 3 2 6 2" xfId="6963" xr:uid="{00000000-0005-0000-0000-00000D200000}"/>
    <cellStyle name="Normal 9 3 3 2 6 2 2" xfId="15405" xr:uid="{23DC1D31-2EC2-416E-825A-CF656044EF6F}"/>
    <cellStyle name="Normal 9 3 3 2 6 3" xfId="11187" xr:uid="{AFC81E02-808E-4837-89E6-AC6C70C10952}"/>
    <cellStyle name="Normal 9 3 3 2 7" xfId="4898" xr:uid="{00000000-0005-0000-0000-00000E200000}"/>
    <cellStyle name="Normal 9 3 3 2 7 2" xfId="13340" xr:uid="{8F6665B3-B4CB-43DF-8AC6-FFF4F7E690E3}"/>
    <cellStyle name="Normal 9 3 3 2 8" xfId="9122" xr:uid="{C688658E-9D30-458D-9B2A-A554BBBF0A81}"/>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9A402F39-CFE0-4990-AE97-739EB7579991}"/>
    <cellStyle name="Normal 9 3 3 3 2 3" xfId="11679" xr:uid="{D59CE80A-F774-431D-A4C3-9823A995DDEE}"/>
    <cellStyle name="Normal 9 3 3 3 3" xfId="5310" xr:uid="{00000000-0005-0000-0000-000012200000}"/>
    <cellStyle name="Normal 9 3 3 3 3 2" xfId="13752" xr:uid="{C7D0447D-255C-4E4F-8879-474D4C65DFDF}"/>
    <cellStyle name="Normal 9 3 3 3 4" xfId="9534" xr:uid="{EBE94DDF-A498-4F15-BF10-40A321BF52BC}"/>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F6E5A146-0F5C-42EC-AEF7-EA308A82CC25}"/>
    <cellStyle name="Normal 9 3 3 4 2 3" xfId="12092" xr:uid="{5CE111D6-5ADD-4F63-91C4-C02ACEE32A0B}"/>
    <cellStyle name="Normal 9 3 3 4 3" xfId="5723" xr:uid="{00000000-0005-0000-0000-000016200000}"/>
    <cellStyle name="Normal 9 3 3 4 3 2" xfId="14165" xr:uid="{937C53BA-3389-4AF1-89FE-5D848AA594C5}"/>
    <cellStyle name="Normal 9 3 3 4 4" xfId="9947" xr:uid="{718ECD4A-3C99-4B95-957F-71E6056FE440}"/>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5D425711-3888-4498-B907-77EF0EAE9614}"/>
    <cellStyle name="Normal 9 3 3 5 2 3" xfId="12505" xr:uid="{FB1072A9-19F5-41C9-A0EE-1AC4B7B7F116}"/>
    <cellStyle name="Normal 9 3 3 5 3" xfId="6136" xr:uid="{00000000-0005-0000-0000-00001A200000}"/>
    <cellStyle name="Normal 9 3 3 5 3 2" xfId="14578" xr:uid="{978BB578-6089-4DD7-9B5E-6C93C0D44C85}"/>
    <cellStyle name="Normal 9 3 3 5 4" xfId="10360" xr:uid="{47A8FB7E-B755-40F8-BFAE-133508F691D3}"/>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63F09673-464C-4C1F-BA32-41AFAD01B1BE}"/>
    <cellStyle name="Normal 9 3 3 6 2 3" xfId="12918" xr:uid="{92A67B64-83AE-42D5-8354-7C07D7329085}"/>
    <cellStyle name="Normal 9 3 3 6 3" xfId="6549" xr:uid="{00000000-0005-0000-0000-00001E200000}"/>
    <cellStyle name="Normal 9 3 3 6 3 2" xfId="14991" xr:uid="{1DB64C93-E9D6-4D4F-8045-49D45CE79602}"/>
    <cellStyle name="Normal 9 3 3 6 4" xfId="10773" xr:uid="{34DBBDEF-9AF0-4C9E-AD85-5AFDD8567684}"/>
    <cellStyle name="Normal 9 3 3 7" xfId="2678" xr:uid="{00000000-0005-0000-0000-00001F200000}"/>
    <cellStyle name="Normal 9 3 3 7 2" xfId="6962" xr:uid="{00000000-0005-0000-0000-000020200000}"/>
    <cellStyle name="Normal 9 3 3 7 2 2" xfId="15404" xr:uid="{88C2143B-243F-4BAA-9F35-456E3FBD3300}"/>
    <cellStyle name="Normal 9 3 3 7 3" xfId="11186" xr:uid="{C181756F-9276-4360-809F-985C2AFFC9C3}"/>
    <cellStyle name="Normal 9 3 3 8" xfId="4897" xr:uid="{00000000-0005-0000-0000-000021200000}"/>
    <cellStyle name="Normal 9 3 3 8 2" xfId="13339" xr:uid="{91D06374-78CA-43FD-8E73-BE15DCAACF39}"/>
    <cellStyle name="Normal 9 3 3 9" xfId="9121" xr:uid="{F7900788-58F2-4F80-91DB-DA153C27A7E8}"/>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59F6D689-C0FA-410C-BEBE-A64C3323ADDD}"/>
    <cellStyle name="Normal 9 3 4 2 2 3" xfId="11681" xr:uid="{C49A63CB-3A7F-4CF4-B6BC-2957377CFC2B}"/>
    <cellStyle name="Normal 9 3 4 2 3" xfId="5312" xr:uid="{00000000-0005-0000-0000-000026200000}"/>
    <cellStyle name="Normal 9 3 4 2 3 2" xfId="13754" xr:uid="{C7165A6F-6C82-484D-8029-9CDC15CC0629}"/>
    <cellStyle name="Normal 9 3 4 2 4" xfId="9536" xr:uid="{C60B3E74-A743-4D07-A24F-933A88EA53F4}"/>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B2D8EF43-987B-4839-9780-D9D9CBE027A9}"/>
    <cellStyle name="Normal 9 3 4 3 2 3" xfId="12094" xr:uid="{B37104C6-441E-4EA0-AC1B-93F190F8B3DE}"/>
    <cellStyle name="Normal 9 3 4 3 3" xfId="5725" xr:uid="{00000000-0005-0000-0000-00002A200000}"/>
    <cellStyle name="Normal 9 3 4 3 3 2" xfId="14167" xr:uid="{BE15FDCE-6122-471A-9C1A-932533FFCB5B}"/>
    <cellStyle name="Normal 9 3 4 3 4" xfId="9949" xr:uid="{648F8BA5-1316-4066-BCCD-DC3B34881EA5}"/>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E7FAB346-D316-4496-BC22-7667896E0DD5}"/>
    <cellStyle name="Normal 9 3 4 4 2 3" xfId="12507" xr:uid="{56C5A06F-5B9D-4383-9CE6-56D499F160F2}"/>
    <cellStyle name="Normal 9 3 4 4 3" xfId="6138" xr:uid="{00000000-0005-0000-0000-00002E200000}"/>
    <cellStyle name="Normal 9 3 4 4 3 2" xfId="14580" xr:uid="{A665DB9B-2F6E-41D0-8185-74DFB6037651}"/>
    <cellStyle name="Normal 9 3 4 4 4" xfId="10362" xr:uid="{95ACA9CB-7AC9-47CC-BD15-0622C37F0F62}"/>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5ED81C93-4A82-419D-B90B-5092D90CB036}"/>
    <cellStyle name="Normal 9 3 4 5 2 3" xfId="12920" xr:uid="{CA91AC37-532C-4972-9F1C-F84AF93A852F}"/>
    <cellStyle name="Normal 9 3 4 5 3" xfId="6551" xr:uid="{00000000-0005-0000-0000-000032200000}"/>
    <cellStyle name="Normal 9 3 4 5 3 2" xfId="14993" xr:uid="{11292489-A0FA-42EC-872F-A720DDA9008D}"/>
    <cellStyle name="Normal 9 3 4 5 4" xfId="10775" xr:uid="{D05E6FBB-8A55-4E07-AA2B-DAAC7251BC08}"/>
    <cellStyle name="Normal 9 3 4 6" xfId="2680" xr:uid="{00000000-0005-0000-0000-000033200000}"/>
    <cellStyle name="Normal 9 3 4 6 2" xfId="6964" xr:uid="{00000000-0005-0000-0000-000034200000}"/>
    <cellStyle name="Normal 9 3 4 6 2 2" xfId="15406" xr:uid="{B913B75A-0A2F-49F2-8107-24B2B4850F82}"/>
    <cellStyle name="Normal 9 3 4 6 3" xfId="11188" xr:uid="{1E0FE4E7-8F41-4694-BFD3-BF814A8FB39D}"/>
    <cellStyle name="Normal 9 3 4 7" xfId="4899" xr:uid="{00000000-0005-0000-0000-000035200000}"/>
    <cellStyle name="Normal 9 3 4 7 2" xfId="13341" xr:uid="{32A3D385-4AFB-488E-9B86-CC551E69A604}"/>
    <cellStyle name="Normal 9 3 4 8" xfId="9123" xr:uid="{04BFFF4A-64AB-49BB-964F-B66AB188D2CC}"/>
    <cellStyle name="Normal 9 3 5" xfId="994" xr:uid="{00000000-0005-0000-0000-000036200000}"/>
    <cellStyle name="Normal 9 3 5 2" xfId="3227" xr:uid="{00000000-0005-0000-0000-000037200000}"/>
    <cellStyle name="Normal 9 3 5 2 2" xfId="7450" xr:uid="{00000000-0005-0000-0000-000038200000}"/>
    <cellStyle name="Normal 9 3 5 2 2 2" xfId="15892" xr:uid="{13BE1061-BC5C-43F6-9BE9-BB7A40D30910}"/>
    <cellStyle name="Normal 9 3 5 2 3" xfId="11674" xr:uid="{8A490B55-23FF-441F-BAFB-502A781D54C5}"/>
    <cellStyle name="Normal 9 3 5 3" xfId="5305" xr:uid="{00000000-0005-0000-0000-000039200000}"/>
    <cellStyle name="Normal 9 3 5 3 2" xfId="13747" xr:uid="{405F7937-2D39-4A1D-908D-7CECD5027025}"/>
    <cellStyle name="Normal 9 3 5 4" xfId="9529" xr:uid="{350E9B5F-B7B0-4896-B328-509177E7CD76}"/>
    <cellStyle name="Normal 9 3 6" xfId="1410" xr:uid="{00000000-0005-0000-0000-00003A200000}"/>
    <cellStyle name="Normal 9 3 6 2" xfId="3640" xr:uid="{00000000-0005-0000-0000-00003B200000}"/>
    <cellStyle name="Normal 9 3 6 2 2" xfId="7863" xr:uid="{00000000-0005-0000-0000-00003C200000}"/>
    <cellStyle name="Normal 9 3 6 2 2 2" xfId="16305" xr:uid="{7BB3E512-FB58-4DA2-A3A0-8F4778526495}"/>
    <cellStyle name="Normal 9 3 6 2 3" xfId="12087" xr:uid="{618F1E86-1423-47F4-8AB1-B2ED580C1D76}"/>
    <cellStyle name="Normal 9 3 6 3" xfId="5718" xr:uid="{00000000-0005-0000-0000-00003D200000}"/>
    <cellStyle name="Normal 9 3 6 3 2" xfId="14160" xr:uid="{517491C8-C94C-48E1-BD7B-78DB8BAFD2DC}"/>
    <cellStyle name="Normal 9 3 6 4" xfId="9942" xr:uid="{27DE495E-1ED4-481E-8459-BAFDBD942758}"/>
    <cellStyle name="Normal 9 3 7" xfId="1823" xr:uid="{00000000-0005-0000-0000-00003E200000}"/>
    <cellStyle name="Normal 9 3 7 2" xfId="4053" xr:uid="{00000000-0005-0000-0000-00003F200000}"/>
    <cellStyle name="Normal 9 3 7 2 2" xfId="8276" xr:uid="{00000000-0005-0000-0000-000040200000}"/>
    <cellStyle name="Normal 9 3 7 2 2 2" xfId="16718" xr:uid="{484223A7-1DA1-490D-B753-28DCFE6EBE81}"/>
    <cellStyle name="Normal 9 3 7 2 3" xfId="12500" xr:uid="{2EBAA8BB-F6AD-4FB5-B365-83B68E98154F}"/>
    <cellStyle name="Normal 9 3 7 3" xfId="6131" xr:uid="{00000000-0005-0000-0000-000041200000}"/>
    <cellStyle name="Normal 9 3 7 3 2" xfId="14573" xr:uid="{E484BA9A-3BB7-4C6F-96A1-E1F73B418987}"/>
    <cellStyle name="Normal 9 3 7 4" xfId="10355" xr:uid="{42A1EB9C-D5C3-45D6-B2BB-2D47B1002F98}"/>
    <cellStyle name="Normal 9 3 8" xfId="2237" xr:uid="{00000000-0005-0000-0000-000042200000}"/>
    <cellStyle name="Normal 9 3 8 2" xfId="4466" xr:uid="{00000000-0005-0000-0000-000043200000}"/>
    <cellStyle name="Normal 9 3 8 2 2" xfId="8689" xr:uid="{00000000-0005-0000-0000-000044200000}"/>
    <cellStyle name="Normal 9 3 8 2 2 2" xfId="17131" xr:uid="{39A7C0A2-00F1-4237-87E1-7016D4481C3B}"/>
    <cellStyle name="Normal 9 3 8 2 3" xfId="12913" xr:uid="{45DF23E5-8C3D-4900-910C-CB9BC63E37AE}"/>
    <cellStyle name="Normal 9 3 8 3" xfId="6544" xr:uid="{00000000-0005-0000-0000-000045200000}"/>
    <cellStyle name="Normal 9 3 8 3 2" xfId="14986" xr:uid="{F5376A7D-6AF6-4E3D-B445-152AB98C50A3}"/>
    <cellStyle name="Normal 9 3 8 4" xfId="10768" xr:uid="{F643CAAC-8FBC-4B9D-AD09-D040825BE969}"/>
    <cellStyle name="Normal 9 3 9" xfId="2673" xr:uid="{00000000-0005-0000-0000-000046200000}"/>
    <cellStyle name="Normal 9 3 9 2" xfId="6957" xr:uid="{00000000-0005-0000-0000-000047200000}"/>
    <cellStyle name="Normal 9 3 9 2 2" xfId="15399" xr:uid="{AE148392-BD89-4C75-B72D-B2EC53081EEF}"/>
    <cellStyle name="Normal 9 3 9 3" xfId="11181" xr:uid="{3CB6C9DB-6D3F-4AB5-89EA-CB5ED9DCB4DF}"/>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ED018E38-BC0F-42AF-B99A-0E9F44BD291B}"/>
    <cellStyle name="Normal 9 5 2 2 2 3" xfId="11683" xr:uid="{93117293-B531-4EA3-BEAD-ED95F9F80FDC}"/>
    <cellStyle name="Normal 9 5 2 2 3" xfId="5314" xr:uid="{00000000-0005-0000-0000-00004F200000}"/>
    <cellStyle name="Normal 9 5 2 2 3 2" xfId="13756" xr:uid="{7D30F09E-BED4-4D9F-BAA5-1B7AC9BD4CF5}"/>
    <cellStyle name="Normal 9 5 2 2 4" xfId="9538" xr:uid="{ADEBB0E5-60C2-4280-9862-71611878FAB4}"/>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37A80396-DB56-4937-A197-50FCEDD406B1}"/>
    <cellStyle name="Normal 9 5 2 3 2 3" xfId="12096" xr:uid="{9264A4C4-0400-49F1-BB01-9DAD091D88BC}"/>
    <cellStyle name="Normal 9 5 2 3 3" xfId="5727" xr:uid="{00000000-0005-0000-0000-000053200000}"/>
    <cellStyle name="Normal 9 5 2 3 3 2" xfId="14169" xr:uid="{2BE774E3-22F8-4D0D-A4C7-06CBC364FFDC}"/>
    <cellStyle name="Normal 9 5 2 3 4" xfId="9951" xr:uid="{1535C8A7-E247-4E6E-80C5-F0EBF0F47CE1}"/>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4FB7A977-0F7F-4E03-B986-AB06AC056EF0}"/>
    <cellStyle name="Normal 9 5 2 4 2 3" xfId="12509" xr:uid="{547E909C-E767-4049-ACF3-7CD59C1B4486}"/>
    <cellStyle name="Normal 9 5 2 4 3" xfId="6140" xr:uid="{00000000-0005-0000-0000-000057200000}"/>
    <cellStyle name="Normal 9 5 2 4 3 2" xfId="14582" xr:uid="{E93ECD6C-AF58-4DD4-986B-D2333CC7B157}"/>
    <cellStyle name="Normal 9 5 2 4 4" xfId="10364" xr:uid="{02B5C8D3-FA22-427C-9432-66A211775E0C}"/>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3CCFEA22-1664-4F0B-A3C1-BDE0E4BF5525}"/>
    <cellStyle name="Normal 9 5 2 5 2 3" xfId="12922" xr:uid="{16CCABBD-75F3-43EC-8C78-3C83029E23B0}"/>
    <cellStyle name="Normal 9 5 2 5 3" xfId="6553" xr:uid="{00000000-0005-0000-0000-00005B200000}"/>
    <cellStyle name="Normal 9 5 2 5 3 2" xfId="14995" xr:uid="{6C6AC99A-A266-46D0-A1D5-E26F6BC9EF23}"/>
    <cellStyle name="Normal 9 5 2 5 4" xfId="10777" xr:uid="{691BC89C-5D5C-41D0-860C-CE08536D005A}"/>
    <cellStyle name="Normal 9 5 2 6" xfId="2682" xr:uid="{00000000-0005-0000-0000-00005C200000}"/>
    <cellStyle name="Normal 9 5 2 6 2" xfId="6966" xr:uid="{00000000-0005-0000-0000-00005D200000}"/>
    <cellStyle name="Normal 9 5 2 6 2 2" xfId="15408" xr:uid="{EF2B9BAD-839A-4910-B919-231AD524B319}"/>
    <cellStyle name="Normal 9 5 2 6 3" xfId="11190" xr:uid="{E41061D1-711B-407E-999E-DED17BD62684}"/>
    <cellStyle name="Normal 9 5 2 7" xfId="4901" xr:uid="{00000000-0005-0000-0000-00005E200000}"/>
    <cellStyle name="Normal 9 5 2 7 2" xfId="13343" xr:uid="{28702323-B150-44E1-B6B5-EA6E97BDEA36}"/>
    <cellStyle name="Normal 9 5 2 8" xfId="9125" xr:uid="{3DBB815A-CD15-45F8-85DA-E99E48F9FB84}"/>
    <cellStyle name="Normal 9 5 3" xfId="1003" xr:uid="{00000000-0005-0000-0000-00005F200000}"/>
    <cellStyle name="Normal 9 5 3 2" xfId="3235" xr:uid="{00000000-0005-0000-0000-000060200000}"/>
    <cellStyle name="Normal 9 5 3 2 2" xfId="7458" xr:uid="{00000000-0005-0000-0000-000061200000}"/>
    <cellStyle name="Normal 9 5 3 2 2 2" xfId="15900" xr:uid="{B36B952B-F179-4A64-81B8-98CDD01088CA}"/>
    <cellStyle name="Normal 9 5 3 2 3" xfId="11682" xr:uid="{FA11E9A0-AB52-4E25-942F-A25AF874537C}"/>
    <cellStyle name="Normal 9 5 3 3" xfId="5313" xr:uid="{00000000-0005-0000-0000-000062200000}"/>
    <cellStyle name="Normal 9 5 3 3 2" xfId="13755" xr:uid="{C357B9C6-5ED2-4D07-9927-C09E57CFCE59}"/>
    <cellStyle name="Normal 9 5 3 4" xfId="9537" xr:uid="{1C26ABFE-5796-4A7D-AD84-7330F9C1AA7A}"/>
    <cellStyle name="Normal 9 5 4" xfId="1418" xr:uid="{00000000-0005-0000-0000-000063200000}"/>
    <cellStyle name="Normal 9 5 4 2" xfId="3648" xr:uid="{00000000-0005-0000-0000-000064200000}"/>
    <cellStyle name="Normal 9 5 4 2 2" xfId="7871" xr:uid="{00000000-0005-0000-0000-000065200000}"/>
    <cellStyle name="Normal 9 5 4 2 2 2" xfId="16313" xr:uid="{8A148B9C-E562-4875-9063-B6D76ACAB465}"/>
    <cellStyle name="Normal 9 5 4 2 3" xfId="12095" xr:uid="{457B6C79-5DA9-4574-80C3-07C8D811F455}"/>
    <cellStyle name="Normal 9 5 4 3" xfId="5726" xr:uid="{00000000-0005-0000-0000-000066200000}"/>
    <cellStyle name="Normal 9 5 4 3 2" xfId="14168" xr:uid="{85EE0B81-DFB5-4B1D-9EBB-9F9D1477092A}"/>
    <cellStyle name="Normal 9 5 4 4" xfId="9950" xr:uid="{7FD5A03B-ABFF-40C1-B3CB-1C4BF8D08249}"/>
    <cellStyle name="Normal 9 5 5" xfId="1831" xr:uid="{00000000-0005-0000-0000-000067200000}"/>
    <cellStyle name="Normal 9 5 5 2" xfId="4061" xr:uid="{00000000-0005-0000-0000-000068200000}"/>
    <cellStyle name="Normal 9 5 5 2 2" xfId="8284" xr:uid="{00000000-0005-0000-0000-000069200000}"/>
    <cellStyle name="Normal 9 5 5 2 2 2" xfId="16726" xr:uid="{DD511739-28A1-4658-ABDB-9F7C28F12689}"/>
    <cellStyle name="Normal 9 5 5 2 3" xfId="12508" xr:uid="{842937FC-CF6A-4706-B821-A8F1BCDBEA11}"/>
    <cellStyle name="Normal 9 5 5 3" xfId="6139" xr:uid="{00000000-0005-0000-0000-00006A200000}"/>
    <cellStyle name="Normal 9 5 5 3 2" xfId="14581" xr:uid="{3C18BDB2-9BDC-42B9-83C6-3E3127EE8209}"/>
    <cellStyle name="Normal 9 5 5 4" xfId="10363" xr:uid="{49D08814-4F12-4CC4-A4FC-5F8659BB02AF}"/>
    <cellStyle name="Normal 9 5 6" xfId="2245" xr:uid="{00000000-0005-0000-0000-00006B200000}"/>
    <cellStyle name="Normal 9 5 6 2" xfId="4474" xr:uid="{00000000-0005-0000-0000-00006C200000}"/>
    <cellStyle name="Normal 9 5 6 2 2" xfId="8697" xr:uid="{00000000-0005-0000-0000-00006D200000}"/>
    <cellStyle name="Normal 9 5 6 2 2 2" xfId="17139" xr:uid="{FFAED5D9-47CE-4F5B-8FDE-C673A95332B1}"/>
    <cellStyle name="Normal 9 5 6 2 3" xfId="12921" xr:uid="{68F9AA0E-B47F-47DC-AEA1-86742F9D6B3C}"/>
    <cellStyle name="Normal 9 5 6 3" xfId="6552" xr:uid="{00000000-0005-0000-0000-00006E200000}"/>
    <cellStyle name="Normal 9 5 6 3 2" xfId="14994" xr:uid="{C06D085E-7E7C-4BFF-AACC-5CF0EE72A28E}"/>
    <cellStyle name="Normal 9 5 6 4" xfId="10776" xr:uid="{E5D48437-727B-4F6D-A4DA-840C693D4BD5}"/>
    <cellStyle name="Normal 9 5 7" xfId="2681" xr:uid="{00000000-0005-0000-0000-00006F200000}"/>
    <cellStyle name="Normal 9 5 7 2" xfId="6965" xr:uid="{00000000-0005-0000-0000-000070200000}"/>
    <cellStyle name="Normal 9 5 7 2 2" xfId="15407" xr:uid="{2951C663-FBAE-419B-8B4F-5EBC9B52F2D4}"/>
    <cellStyle name="Normal 9 5 7 3" xfId="11189" xr:uid="{F4A038A2-7EB3-4D1A-8B36-3B33D5BEC7EB}"/>
    <cellStyle name="Normal 9 5 8" xfId="4900" xr:uid="{00000000-0005-0000-0000-000071200000}"/>
    <cellStyle name="Normal 9 5 8 2" xfId="13342" xr:uid="{B61BB7B9-43B7-48BF-9B4C-42BBFAF2A0B5}"/>
    <cellStyle name="Normal 9 5 9" xfId="9124" xr:uid="{2DEB72F0-0678-4511-83A1-1E3582CF97EA}"/>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18ACF0DB-A66A-474C-A26B-E6BC5C02B31A}"/>
    <cellStyle name="Normal 9 6 2 2 3" xfId="11684" xr:uid="{D2495116-ED59-48FD-8A22-7097DBB4D2BB}"/>
    <cellStyle name="Normal 9 6 2 3" xfId="5315" xr:uid="{00000000-0005-0000-0000-000076200000}"/>
    <cellStyle name="Normal 9 6 2 3 2" xfId="13757" xr:uid="{C06CA4E2-EC3C-47BC-9913-13605DE08354}"/>
    <cellStyle name="Normal 9 6 2 4" xfId="9539" xr:uid="{9C41F50C-7847-41EE-BE5F-D54540E11F41}"/>
    <cellStyle name="Normal 9 6 3" xfId="1420" xr:uid="{00000000-0005-0000-0000-000077200000}"/>
    <cellStyle name="Normal 9 6 3 2" xfId="3650" xr:uid="{00000000-0005-0000-0000-000078200000}"/>
    <cellStyle name="Normal 9 6 3 2 2" xfId="7873" xr:uid="{00000000-0005-0000-0000-000079200000}"/>
    <cellStyle name="Normal 9 6 3 2 2 2" xfId="16315" xr:uid="{F6C72E0C-FB3A-44F3-BBD2-D1348EA8729F}"/>
    <cellStyle name="Normal 9 6 3 2 3" xfId="12097" xr:uid="{9C0CE3E8-4D70-4DDA-9C52-694FD977CC3A}"/>
    <cellStyle name="Normal 9 6 3 3" xfId="5728" xr:uid="{00000000-0005-0000-0000-00007A200000}"/>
    <cellStyle name="Normal 9 6 3 3 2" xfId="14170" xr:uid="{6299BED8-D644-4C98-9DA9-7027092790F6}"/>
    <cellStyle name="Normal 9 6 3 4" xfId="9952" xr:uid="{798F6E49-4F2D-4FBB-B7AA-380660A6C8BC}"/>
    <cellStyle name="Normal 9 6 4" xfId="1833" xr:uid="{00000000-0005-0000-0000-00007B200000}"/>
    <cellStyle name="Normal 9 6 4 2" xfId="4063" xr:uid="{00000000-0005-0000-0000-00007C200000}"/>
    <cellStyle name="Normal 9 6 4 2 2" xfId="8286" xr:uid="{00000000-0005-0000-0000-00007D200000}"/>
    <cellStyle name="Normal 9 6 4 2 2 2" xfId="16728" xr:uid="{D3430FA8-222F-4369-8929-8561D572FE3C}"/>
    <cellStyle name="Normal 9 6 4 2 3" xfId="12510" xr:uid="{DA3A996B-EF1C-48DE-B85C-A7CB4F13374F}"/>
    <cellStyle name="Normal 9 6 4 3" xfId="6141" xr:uid="{00000000-0005-0000-0000-00007E200000}"/>
    <cellStyle name="Normal 9 6 4 3 2" xfId="14583" xr:uid="{836F9545-9FAD-441B-91EC-9DEF8D58C6A4}"/>
    <cellStyle name="Normal 9 6 4 4" xfId="10365" xr:uid="{9F6448B3-8EF7-40E6-A3C4-D2E0AF68EE9B}"/>
    <cellStyle name="Normal 9 6 5" xfId="2247" xr:uid="{00000000-0005-0000-0000-00007F200000}"/>
    <cellStyle name="Normal 9 6 5 2" xfId="4476" xr:uid="{00000000-0005-0000-0000-000080200000}"/>
    <cellStyle name="Normal 9 6 5 2 2" xfId="8699" xr:uid="{00000000-0005-0000-0000-000081200000}"/>
    <cellStyle name="Normal 9 6 5 2 2 2" xfId="17141" xr:uid="{F5D58183-3340-41AE-B8CC-09DB00160D6C}"/>
    <cellStyle name="Normal 9 6 5 2 3" xfId="12923" xr:uid="{1EF32A03-5106-49B4-93B7-96D21BE5FBF0}"/>
    <cellStyle name="Normal 9 6 5 3" xfId="6554" xr:uid="{00000000-0005-0000-0000-000082200000}"/>
    <cellStyle name="Normal 9 6 5 3 2" xfId="14996" xr:uid="{1DC3508F-3C80-4D03-8621-19BA79463943}"/>
    <cellStyle name="Normal 9 6 5 4" xfId="10778" xr:uid="{41B10959-2A8C-4CEE-826B-0BC2E4313CD5}"/>
    <cellStyle name="Normal 9 6 6" xfId="2683" xr:uid="{00000000-0005-0000-0000-000083200000}"/>
    <cellStyle name="Normal 9 6 6 2" xfId="6967" xr:uid="{00000000-0005-0000-0000-000084200000}"/>
    <cellStyle name="Normal 9 6 6 2 2" xfId="15409" xr:uid="{97FC4E35-A1E9-46FD-8179-DA125910C7A3}"/>
    <cellStyle name="Normal 9 6 6 3" xfId="11191" xr:uid="{D1073F08-2C67-44B3-AE23-F6E84E9FCBD4}"/>
    <cellStyle name="Normal 9 6 7" xfId="4902" xr:uid="{00000000-0005-0000-0000-000085200000}"/>
    <cellStyle name="Normal 9 6 7 2" xfId="13344" xr:uid="{A175F990-61AA-4796-A261-D4DDA68C7955}"/>
    <cellStyle name="Normal 9 6 8" xfId="9126" xr:uid="{747C66C6-CEC0-4C8D-821E-2DB7F6F12142}"/>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782D585D-F788-4172-9D80-669C995302C3}"/>
    <cellStyle name="Note 2 2 10 3" xfId="11272" xr:uid="{8846B502-C630-48F5-BE45-42E71BE7DD5B}"/>
    <cellStyle name="Note 2 2 11" xfId="4903" xr:uid="{00000000-0005-0000-0000-000094200000}"/>
    <cellStyle name="Note 2 2 11 2" xfId="13345" xr:uid="{1C47D351-ABA7-4707-AA1C-9C00C762597E}"/>
    <cellStyle name="Note 2 2 12" xfId="9127" xr:uid="{DADBE997-13DC-419E-897A-B979E0E911E4}"/>
    <cellStyle name="Note 2 2 2" xfId="546" xr:uid="{00000000-0005-0000-0000-000095200000}"/>
    <cellStyle name="Note 2 2 2 10" xfId="4904" xr:uid="{00000000-0005-0000-0000-000096200000}"/>
    <cellStyle name="Note 2 2 2 10 2" xfId="13346" xr:uid="{BA4FC5C6-77D3-4707-B61E-70D7687933BF}"/>
    <cellStyle name="Note 2 2 2 11" xfId="9128" xr:uid="{792F417B-FE3F-472E-A482-CF344BECD564}"/>
    <cellStyle name="Note 2 2 2 2" xfId="547" xr:uid="{00000000-0005-0000-0000-000097200000}"/>
    <cellStyle name="Note 2 2 2 2 10" xfId="9129" xr:uid="{2ACAA39E-CCAE-482E-946B-FBB9006230D7}"/>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A6112977-C923-409A-B8B2-453A2551BC07}"/>
    <cellStyle name="Note 2 2 2 2 2 2 3" xfId="11687" xr:uid="{B3D6E48B-37DB-48D0-92C8-15178DA20AA6}"/>
    <cellStyle name="Note 2 2 2 2 2 3" xfId="5318" xr:uid="{00000000-0005-0000-0000-00009B200000}"/>
    <cellStyle name="Note 2 2 2 2 2 3 2" xfId="13760" xr:uid="{4A9F50E8-1C86-44AF-8672-3C7CA4314349}"/>
    <cellStyle name="Note 2 2 2 2 2 4" xfId="9542" xr:uid="{0B4A109F-05E1-48A8-AA82-D70E7FE13FD6}"/>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00EE2A41-671F-4539-8498-BD50340A645E}"/>
    <cellStyle name="Note 2 2 2 2 3 2 3" xfId="12100" xr:uid="{C1F7B93D-6EC6-4288-94CD-A4A1B150FE06}"/>
    <cellStyle name="Note 2 2 2 2 3 3" xfId="5731" xr:uid="{00000000-0005-0000-0000-00009F200000}"/>
    <cellStyle name="Note 2 2 2 2 3 3 2" xfId="14173" xr:uid="{46612D4E-CA17-4B4E-9336-641574191C6B}"/>
    <cellStyle name="Note 2 2 2 2 3 4" xfId="9955" xr:uid="{591B8DEF-0E66-4279-953B-8A28EE2D93AC}"/>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682831DC-94D0-4014-A580-3B14F28AFB29}"/>
    <cellStyle name="Note 2 2 2 2 4 2 3" xfId="12513" xr:uid="{DFE1E19A-2EAC-4B8C-A2BC-2D98C905CEE6}"/>
    <cellStyle name="Note 2 2 2 2 4 3" xfId="6144" xr:uid="{00000000-0005-0000-0000-0000A3200000}"/>
    <cellStyle name="Note 2 2 2 2 4 3 2" xfId="14586" xr:uid="{390DAF1C-6494-4917-B4D0-4E5333E59728}"/>
    <cellStyle name="Note 2 2 2 2 4 4" xfId="10368" xr:uid="{797558F9-D842-4002-B6C2-607BFC0682A8}"/>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E40AB7D6-0148-4159-98D1-FBD340047128}"/>
    <cellStyle name="Note 2 2 2 2 5 2 3" xfId="12926" xr:uid="{9D2CBB8D-4F6B-47D0-B4BE-8775AE816DBE}"/>
    <cellStyle name="Note 2 2 2 2 5 3" xfId="6557" xr:uid="{00000000-0005-0000-0000-0000A7200000}"/>
    <cellStyle name="Note 2 2 2 2 5 3 2" xfId="14999" xr:uid="{6AAB6D1B-9806-4AC1-B6B9-4CD76CC10A02}"/>
    <cellStyle name="Note 2 2 2 2 5 4" xfId="10781" xr:uid="{26D79373-10E7-4BD6-9799-6BC21FB675A2}"/>
    <cellStyle name="Note 2 2 2 2 6" xfId="2686" xr:uid="{00000000-0005-0000-0000-0000A8200000}"/>
    <cellStyle name="Note 2 2 2 2 6 2" xfId="6970" xr:uid="{00000000-0005-0000-0000-0000A9200000}"/>
    <cellStyle name="Note 2 2 2 2 6 2 2" xfId="15412" xr:uid="{9B76E47D-0B4D-43A6-9597-5CAC1AA62476}"/>
    <cellStyle name="Note 2 2 2 2 6 3" xfId="11194" xr:uid="{56B7D446-A2E7-4056-A46E-08E8648C35FD}"/>
    <cellStyle name="Note 2 2 2 2 7" xfId="2745" xr:uid="{00000000-0005-0000-0000-0000AA200000}"/>
    <cellStyle name="Note 2 2 2 2 8" xfId="2826" xr:uid="{00000000-0005-0000-0000-0000AB200000}"/>
    <cellStyle name="Note 2 2 2 2 8 2" xfId="7050" xr:uid="{00000000-0005-0000-0000-0000AC200000}"/>
    <cellStyle name="Note 2 2 2 2 8 2 2" xfId="15492" xr:uid="{443EDEA1-12A6-47BC-A5CD-C633E1AA065D}"/>
    <cellStyle name="Note 2 2 2 2 8 3" xfId="11274" xr:uid="{F22A41A6-BA75-47D4-99E4-15CAD87F7412}"/>
    <cellStyle name="Note 2 2 2 2 9" xfId="4905" xr:uid="{00000000-0005-0000-0000-0000AD200000}"/>
    <cellStyle name="Note 2 2 2 2 9 2" xfId="13347" xr:uid="{AC725998-2A3A-43BF-8DE6-454D156A3892}"/>
    <cellStyle name="Note 2 2 2 3" xfId="1007" xr:uid="{00000000-0005-0000-0000-0000AE200000}"/>
    <cellStyle name="Note 2 2 2 3 2" xfId="3239" xr:uid="{00000000-0005-0000-0000-0000AF200000}"/>
    <cellStyle name="Note 2 2 2 3 2 2" xfId="7462" xr:uid="{00000000-0005-0000-0000-0000B0200000}"/>
    <cellStyle name="Note 2 2 2 3 2 2 2" xfId="15904" xr:uid="{0798B62C-B1D1-4E7E-9BC4-E59736E01C81}"/>
    <cellStyle name="Note 2 2 2 3 2 3" xfId="11686" xr:uid="{71C40FC8-1102-4D35-8145-E94D70BF4AC0}"/>
    <cellStyle name="Note 2 2 2 3 3" xfId="5317" xr:uid="{00000000-0005-0000-0000-0000B1200000}"/>
    <cellStyle name="Note 2 2 2 3 3 2" xfId="13759" xr:uid="{9BF9AEC8-76C1-4DD9-94CF-1DDCE6CA8ACB}"/>
    <cellStyle name="Note 2 2 2 3 4" xfId="9541" xr:uid="{811539EB-4172-4471-85B2-4755CC86AAC1}"/>
    <cellStyle name="Note 2 2 2 4" xfId="1422" xr:uid="{00000000-0005-0000-0000-0000B2200000}"/>
    <cellStyle name="Note 2 2 2 4 2" xfId="3652" xr:uid="{00000000-0005-0000-0000-0000B3200000}"/>
    <cellStyle name="Note 2 2 2 4 2 2" xfId="7875" xr:uid="{00000000-0005-0000-0000-0000B4200000}"/>
    <cellStyle name="Note 2 2 2 4 2 2 2" xfId="16317" xr:uid="{3F6F6580-2859-4C5C-838F-FDF8AB6ACFDD}"/>
    <cellStyle name="Note 2 2 2 4 2 3" xfId="12099" xr:uid="{65EABFC9-0848-4A2D-9CD6-295E42655A33}"/>
    <cellStyle name="Note 2 2 2 4 3" xfId="5730" xr:uid="{00000000-0005-0000-0000-0000B5200000}"/>
    <cellStyle name="Note 2 2 2 4 3 2" xfId="14172" xr:uid="{B74450D9-DCC7-4F98-BB4E-AADD5DD3FBD4}"/>
    <cellStyle name="Note 2 2 2 4 4" xfId="9954" xr:uid="{458EB0A4-F3D3-4AAE-BB14-3DB3C943B64B}"/>
    <cellStyle name="Note 2 2 2 5" xfId="1836" xr:uid="{00000000-0005-0000-0000-0000B6200000}"/>
    <cellStyle name="Note 2 2 2 5 2" xfId="4065" xr:uid="{00000000-0005-0000-0000-0000B7200000}"/>
    <cellStyle name="Note 2 2 2 5 2 2" xfId="8288" xr:uid="{00000000-0005-0000-0000-0000B8200000}"/>
    <cellStyle name="Note 2 2 2 5 2 2 2" xfId="16730" xr:uid="{45C02F15-737B-4CD7-98EC-BF9CD7127271}"/>
    <cellStyle name="Note 2 2 2 5 2 3" xfId="12512" xr:uid="{AC547040-9BE6-440F-B755-B07ACB02FA95}"/>
    <cellStyle name="Note 2 2 2 5 3" xfId="6143" xr:uid="{00000000-0005-0000-0000-0000B9200000}"/>
    <cellStyle name="Note 2 2 2 5 3 2" xfId="14585" xr:uid="{F7F06ABA-39F5-4A16-A860-348AE3EEA7B5}"/>
    <cellStyle name="Note 2 2 2 5 4" xfId="10367" xr:uid="{9E3F2E0D-981A-46CD-A6CA-219396480C44}"/>
    <cellStyle name="Note 2 2 2 6" xfId="2249" xr:uid="{00000000-0005-0000-0000-0000BA200000}"/>
    <cellStyle name="Note 2 2 2 6 2" xfId="4478" xr:uid="{00000000-0005-0000-0000-0000BB200000}"/>
    <cellStyle name="Note 2 2 2 6 2 2" xfId="8701" xr:uid="{00000000-0005-0000-0000-0000BC200000}"/>
    <cellStyle name="Note 2 2 2 6 2 2 2" xfId="17143" xr:uid="{E78724FA-8059-4743-819B-DB8222AB350F}"/>
    <cellStyle name="Note 2 2 2 6 2 3" xfId="12925" xr:uid="{BC101ACB-5F79-42CB-9248-9E3D13DA54C0}"/>
    <cellStyle name="Note 2 2 2 6 3" xfId="6556" xr:uid="{00000000-0005-0000-0000-0000BD200000}"/>
    <cellStyle name="Note 2 2 2 6 3 2" xfId="14998" xr:uid="{075CBD29-CCF1-41B9-B3C7-F7FA98A527DC}"/>
    <cellStyle name="Note 2 2 2 6 4" xfId="10780" xr:uid="{52435AAB-8084-4BA4-A6F3-02EF7572ADED}"/>
    <cellStyle name="Note 2 2 2 7" xfId="2685" xr:uid="{00000000-0005-0000-0000-0000BE200000}"/>
    <cellStyle name="Note 2 2 2 7 2" xfId="6969" xr:uid="{00000000-0005-0000-0000-0000BF200000}"/>
    <cellStyle name="Note 2 2 2 7 2 2" xfId="15411" xr:uid="{FE9AB194-0917-4317-B8D6-E64934B60F45}"/>
    <cellStyle name="Note 2 2 2 7 3" xfId="11193" xr:uid="{9EBB4AB0-AE28-4F04-BC31-98C612B91415}"/>
    <cellStyle name="Note 2 2 2 8" xfId="2744" xr:uid="{00000000-0005-0000-0000-0000C0200000}"/>
    <cellStyle name="Note 2 2 2 9" xfId="2825" xr:uid="{00000000-0005-0000-0000-0000C1200000}"/>
    <cellStyle name="Note 2 2 2 9 2" xfId="7049" xr:uid="{00000000-0005-0000-0000-0000C2200000}"/>
    <cellStyle name="Note 2 2 2 9 2 2" xfId="15491" xr:uid="{F4AABE58-51D7-4DA8-A0EF-9433B939679B}"/>
    <cellStyle name="Note 2 2 2 9 3" xfId="11273" xr:uid="{E083ED0B-3847-4FDB-A5EC-47133A107FCF}"/>
    <cellStyle name="Note 2 2 3" xfId="548" xr:uid="{00000000-0005-0000-0000-0000C3200000}"/>
    <cellStyle name="Note 2 2 3 10" xfId="9130" xr:uid="{0E72014A-B453-4AD8-B51E-1DEB4A7E47E1}"/>
    <cellStyle name="Note 2 2 3 2" xfId="1009" xr:uid="{00000000-0005-0000-0000-0000C4200000}"/>
    <cellStyle name="Note 2 2 3 2 2" xfId="3241" xr:uid="{00000000-0005-0000-0000-0000C5200000}"/>
    <cellStyle name="Note 2 2 3 2 2 2" xfId="7464" xr:uid="{00000000-0005-0000-0000-0000C6200000}"/>
    <cellStyle name="Note 2 2 3 2 2 2 2" xfId="15906" xr:uid="{D8810349-0B1E-48D5-80C5-A0F04794D4A5}"/>
    <cellStyle name="Note 2 2 3 2 2 3" xfId="11688" xr:uid="{C9714603-8DE0-4F81-8F83-01516864FAE7}"/>
    <cellStyle name="Note 2 2 3 2 3" xfId="5319" xr:uid="{00000000-0005-0000-0000-0000C7200000}"/>
    <cellStyle name="Note 2 2 3 2 3 2" xfId="13761" xr:uid="{4E6CFB9C-9413-48DE-84D2-DFE5B86E27CA}"/>
    <cellStyle name="Note 2 2 3 2 4" xfId="9543" xr:uid="{A8CC7393-50E1-4BBD-BFCB-A9272D4CAD7C}"/>
    <cellStyle name="Note 2 2 3 3" xfId="1424" xr:uid="{00000000-0005-0000-0000-0000C8200000}"/>
    <cellStyle name="Note 2 2 3 3 2" xfId="3654" xr:uid="{00000000-0005-0000-0000-0000C9200000}"/>
    <cellStyle name="Note 2 2 3 3 2 2" xfId="7877" xr:uid="{00000000-0005-0000-0000-0000CA200000}"/>
    <cellStyle name="Note 2 2 3 3 2 2 2" xfId="16319" xr:uid="{220BBC79-A87C-461E-9D11-FABFE783A58D}"/>
    <cellStyle name="Note 2 2 3 3 2 3" xfId="12101" xr:uid="{0FF3B738-B407-4A3E-88CC-2CD84CE85C10}"/>
    <cellStyle name="Note 2 2 3 3 3" xfId="5732" xr:uid="{00000000-0005-0000-0000-0000CB200000}"/>
    <cellStyle name="Note 2 2 3 3 3 2" xfId="14174" xr:uid="{5B6DB0BE-917A-4D4F-8FF9-5396DEB5F643}"/>
    <cellStyle name="Note 2 2 3 3 4" xfId="9956" xr:uid="{5CA83BD0-C003-4848-861E-C76F2ED56CD9}"/>
    <cellStyle name="Note 2 2 3 4" xfId="1838" xr:uid="{00000000-0005-0000-0000-0000CC200000}"/>
    <cellStyle name="Note 2 2 3 4 2" xfId="4067" xr:uid="{00000000-0005-0000-0000-0000CD200000}"/>
    <cellStyle name="Note 2 2 3 4 2 2" xfId="8290" xr:uid="{00000000-0005-0000-0000-0000CE200000}"/>
    <cellStyle name="Note 2 2 3 4 2 2 2" xfId="16732" xr:uid="{AD7427C5-17D6-49F2-9A5C-7B666854C9E9}"/>
    <cellStyle name="Note 2 2 3 4 2 3" xfId="12514" xr:uid="{38857CC6-5BD3-4860-956E-1AA1FF50F35D}"/>
    <cellStyle name="Note 2 2 3 4 3" xfId="6145" xr:uid="{00000000-0005-0000-0000-0000CF200000}"/>
    <cellStyle name="Note 2 2 3 4 3 2" xfId="14587" xr:uid="{05F2A019-ADD4-4815-A546-EF185317994F}"/>
    <cellStyle name="Note 2 2 3 4 4" xfId="10369" xr:uid="{41545B54-86D4-4263-81FE-EC2A1F2DB7CC}"/>
    <cellStyle name="Note 2 2 3 5" xfId="2251" xr:uid="{00000000-0005-0000-0000-0000D0200000}"/>
    <cellStyle name="Note 2 2 3 5 2" xfId="4480" xr:uid="{00000000-0005-0000-0000-0000D1200000}"/>
    <cellStyle name="Note 2 2 3 5 2 2" xfId="8703" xr:uid="{00000000-0005-0000-0000-0000D2200000}"/>
    <cellStyle name="Note 2 2 3 5 2 2 2" xfId="17145" xr:uid="{20B87807-472F-4FDE-87E9-90BAA4B744C8}"/>
    <cellStyle name="Note 2 2 3 5 2 3" xfId="12927" xr:uid="{AA731FBE-3FBB-422C-B08E-DB40E0C7B1E3}"/>
    <cellStyle name="Note 2 2 3 5 3" xfId="6558" xr:uid="{00000000-0005-0000-0000-0000D3200000}"/>
    <cellStyle name="Note 2 2 3 5 3 2" xfId="15000" xr:uid="{4C090BFA-BB73-4FF9-9EDC-F180912B3662}"/>
    <cellStyle name="Note 2 2 3 5 4" xfId="10782" xr:uid="{47F4B35B-EF52-4059-91CD-C879F1CE54C2}"/>
    <cellStyle name="Note 2 2 3 6" xfId="2687" xr:uid="{00000000-0005-0000-0000-0000D4200000}"/>
    <cellStyle name="Note 2 2 3 6 2" xfId="6971" xr:uid="{00000000-0005-0000-0000-0000D5200000}"/>
    <cellStyle name="Note 2 2 3 6 2 2" xfId="15413" xr:uid="{38106672-0062-49C8-A2F5-B2686D49A813}"/>
    <cellStyle name="Note 2 2 3 6 3" xfId="11195" xr:uid="{535423F2-37C2-4447-9101-EB06C0E0601C}"/>
    <cellStyle name="Note 2 2 3 7" xfId="2746" xr:uid="{00000000-0005-0000-0000-0000D6200000}"/>
    <cellStyle name="Note 2 2 3 8" xfId="2827" xr:uid="{00000000-0005-0000-0000-0000D7200000}"/>
    <cellStyle name="Note 2 2 3 8 2" xfId="7051" xr:uid="{00000000-0005-0000-0000-0000D8200000}"/>
    <cellStyle name="Note 2 2 3 8 2 2" xfId="15493" xr:uid="{1A654535-AED8-4B92-A83C-877290FD76B8}"/>
    <cellStyle name="Note 2 2 3 8 3" xfId="11275" xr:uid="{2893ABFA-663C-4A36-99C1-24A28BBD3305}"/>
    <cellStyle name="Note 2 2 3 9" xfId="4906" xr:uid="{00000000-0005-0000-0000-0000D9200000}"/>
    <cellStyle name="Note 2 2 3 9 2" xfId="13348" xr:uid="{E7DBD3C1-BCE1-4ACD-B134-3912085E849C}"/>
    <cellStyle name="Note 2 2 4" xfId="1006" xr:uid="{00000000-0005-0000-0000-0000DA200000}"/>
    <cellStyle name="Note 2 2 4 2" xfId="3238" xr:uid="{00000000-0005-0000-0000-0000DB200000}"/>
    <cellStyle name="Note 2 2 4 2 2" xfId="7461" xr:uid="{00000000-0005-0000-0000-0000DC200000}"/>
    <cellStyle name="Note 2 2 4 2 2 2" xfId="15903" xr:uid="{C1D9A48F-95D3-4B73-94CD-92BC1466D663}"/>
    <cellStyle name="Note 2 2 4 2 3" xfId="11685" xr:uid="{9F8B1D5F-82D8-4308-8DA5-80F03ABC1A57}"/>
    <cellStyle name="Note 2 2 4 3" xfId="5316" xr:uid="{00000000-0005-0000-0000-0000DD200000}"/>
    <cellStyle name="Note 2 2 4 3 2" xfId="13758" xr:uid="{6CB9019E-C752-4A37-9FB5-4A523D0FF6B0}"/>
    <cellStyle name="Note 2 2 4 4" xfId="9540" xr:uid="{288F7EE9-E50F-43DC-B16B-42CD1AD39886}"/>
    <cellStyle name="Note 2 2 5" xfId="1421" xr:uid="{00000000-0005-0000-0000-0000DE200000}"/>
    <cellStyle name="Note 2 2 5 2" xfId="3651" xr:uid="{00000000-0005-0000-0000-0000DF200000}"/>
    <cellStyle name="Note 2 2 5 2 2" xfId="7874" xr:uid="{00000000-0005-0000-0000-0000E0200000}"/>
    <cellStyle name="Note 2 2 5 2 2 2" xfId="16316" xr:uid="{7304C2CC-F6C4-4337-A4A0-26652348FF74}"/>
    <cellStyle name="Note 2 2 5 2 3" xfId="12098" xr:uid="{A2B3297F-D077-447E-9721-5EE268E6B68A}"/>
    <cellStyle name="Note 2 2 5 3" xfId="5729" xr:uid="{00000000-0005-0000-0000-0000E1200000}"/>
    <cellStyle name="Note 2 2 5 3 2" xfId="14171" xr:uid="{2883FB0B-04D9-4D11-BC4F-06845DEDEEF9}"/>
    <cellStyle name="Note 2 2 5 4" xfId="9953" xr:uid="{04E6EF62-D290-49B6-9E57-DA64A5E18AC9}"/>
    <cellStyle name="Note 2 2 6" xfId="1835" xr:uid="{00000000-0005-0000-0000-0000E2200000}"/>
    <cellStyle name="Note 2 2 6 2" xfId="4064" xr:uid="{00000000-0005-0000-0000-0000E3200000}"/>
    <cellStyle name="Note 2 2 6 2 2" xfId="8287" xr:uid="{00000000-0005-0000-0000-0000E4200000}"/>
    <cellStyle name="Note 2 2 6 2 2 2" xfId="16729" xr:uid="{D5ADDD69-0EB0-4BC9-A3F8-1D89072D3206}"/>
    <cellStyle name="Note 2 2 6 2 3" xfId="12511" xr:uid="{5A43ACA2-086C-4F66-8004-8C129633B3B6}"/>
    <cellStyle name="Note 2 2 6 3" xfId="6142" xr:uid="{00000000-0005-0000-0000-0000E5200000}"/>
    <cellStyle name="Note 2 2 6 3 2" xfId="14584" xr:uid="{2E588B15-F6FE-46ED-AD52-AC6315E4001A}"/>
    <cellStyle name="Note 2 2 6 4" xfId="10366" xr:uid="{8B5492F4-1344-4560-8D76-AB05D1DBC701}"/>
    <cellStyle name="Note 2 2 7" xfId="2248" xr:uid="{00000000-0005-0000-0000-0000E6200000}"/>
    <cellStyle name="Note 2 2 7 2" xfId="4477" xr:uid="{00000000-0005-0000-0000-0000E7200000}"/>
    <cellStyle name="Note 2 2 7 2 2" xfId="8700" xr:uid="{00000000-0005-0000-0000-0000E8200000}"/>
    <cellStyle name="Note 2 2 7 2 2 2" xfId="17142" xr:uid="{1842ADD0-81A6-424B-8848-A0A969979436}"/>
    <cellStyle name="Note 2 2 7 2 3" xfId="12924" xr:uid="{6B8AD088-E735-48F0-A961-25AB098AB06D}"/>
    <cellStyle name="Note 2 2 7 3" xfId="6555" xr:uid="{00000000-0005-0000-0000-0000E9200000}"/>
    <cellStyle name="Note 2 2 7 3 2" xfId="14997" xr:uid="{F5E3C768-CCA9-494F-A79F-632BAA69D0E7}"/>
    <cellStyle name="Note 2 2 7 4" xfId="10779" xr:uid="{DDC9189A-C4EE-48FD-8FBE-1D93B8390FBA}"/>
    <cellStyle name="Note 2 2 8" xfId="2684" xr:uid="{00000000-0005-0000-0000-0000EA200000}"/>
    <cellStyle name="Note 2 2 8 2" xfId="6968" xr:uid="{00000000-0005-0000-0000-0000EB200000}"/>
    <cellStyle name="Note 2 2 8 2 2" xfId="15410" xr:uid="{CDFCCD6C-F3E0-4F69-8045-6B7F38393AB5}"/>
    <cellStyle name="Note 2 2 8 3" xfId="11192" xr:uid="{CFC4F0F3-3C0D-44BF-96FE-4D644D42302C}"/>
    <cellStyle name="Note 2 2 9" xfId="2743" xr:uid="{00000000-0005-0000-0000-0000EC200000}"/>
    <cellStyle name="Note 2 3" xfId="549" xr:uid="{00000000-0005-0000-0000-0000ED200000}"/>
    <cellStyle name="Note 2 3 10" xfId="4907" xr:uid="{00000000-0005-0000-0000-0000EE200000}"/>
    <cellStyle name="Note 2 3 10 2" xfId="13349" xr:uid="{3EA9ED3E-31D0-45AB-8719-F30C7B4CA90E}"/>
    <cellStyle name="Note 2 3 11" xfId="9131" xr:uid="{89997D05-881C-43B4-B39C-F64BFF87D365}"/>
    <cellStyle name="Note 2 3 2" xfId="550" xr:uid="{00000000-0005-0000-0000-0000EF200000}"/>
    <cellStyle name="Note 2 3 2 10" xfId="9132" xr:uid="{C8494DF5-8A1F-49C5-A86D-543E13CC43FC}"/>
    <cellStyle name="Note 2 3 2 2" xfId="1011" xr:uid="{00000000-0005-0000-0000-0000F0200000}"/>
    <cellStyle name="Note 2 3 2 2 2" xfId="3243" xr:uid="{00000000-0005-0000-0000-0000F1200000}"/>
    <cellStyle name="Note 2 3 2 2 2 2" xfId="7466" xr:uid="{00000000-0005-0000-0000-0000F2200000}"/>
    <cellStyle name="Note 2 3 2 2 2 2 2" xfId="15908" xr:uid="{D76397EE-2C57-4BA1-8DDC-7762D6C45AD0}"/>
    <cellStyle name="Note 2 3 2 2 2 3" xfId="11690" xr:uid="{3A164915-2621-4A08-B097-D6D02A76BDB4}"/>
    <cellStyle name="Note 2 3 2 2 3" xfId="5321" xr:uid="{00000000-0005-0000-0000-0000F3200000}"/>
    <cellStyle name="Note 2 3 2 2 3 2" xfId="13763" xr:uid="{373B33F1-6DA9-4A4A-B944-7E268953FFFE}"/>
    <cellStyle name="Note 2 3 2 2 4" xfId="9545" xr:uid="{508C80CB-0387-49CA-BBDA-280AC63B50D0}"/>
    <cellStyle name="Note 2 3 2 3" xfId="1426" xr:uid="{00000000-0005-0000-0000-0000F4200000}"/>
    <cellStyle name="Note 2 3 2 3 2" xfId="3656" xr:uid="{00000000-0005-0000-0000-0000F5200000}"/>
    <cellStyle name="Note 2 3 2 3 2 2" xfId="7879" xr:uid="{00000000-0005-0000-0000-0000F6200000}"/>
    <cellStyle name="Note 2 3 2 3 2 2 2" xfId="16321" xr:uid="{E87D2903-F8B1-4FE5-B811-24EC76426E02}"/>
    <cellStyle name="Note 2 3 2 3 2 3" xfId="12103" xr:uid="{B5B31A29-BBC0-4F02-A5E2-45FA0C40B399}"/>
    <cellStyle name="Note 2 3 2 3 3" xfId="5734" xr:uid="{00000000-0005-0000-0000-0000F7200000}"/>
    <cellStyle name="Note 2 3 2 3 3 2" xfId="14176" xr:uid="{23EB985F-9BD3-401F-8F8F-C20D4926B111}"/>
    <cellStyle name="Note 2 3 2 3 4" xfId="9958" xr:uid="{BBC1AE2A-9132-489E-B48A-DBCE13249EB9}"/>
    <cellStyle name="Note 2 3 2 4" xfId="1840" xr:uid="{00000000-0005-0000-0000-0000F8200000}"/>
    <cellStyle name="Note 2 3 2 4 2" xfId="4069" xr:uid="{00000000-0005-0000-0000-0000F9200000}"/>
    <cellStyle name="Note 2 3 2 4 2 2" xfId="8292" xr:uid="{00000000-0005-0000-0000-0000FA200000}"/>
    <cellStyle name="Note 2 3 2 4 2 2 2" xfId="16734" xr:uid="{9197C692-E4C3-4297-9DF1-9805BBF385B1}"/>
    <cellStyle name="Note 2 3 2 4 2 3" xfId="12516" xr:uid="{5A26C88F-0BBC-454A-8FEE-C851804345E5}"/>
    <cellStyle name="Note 2 3 2 4 3" xfId="6147" xr:uid="{00000000-0005-0000-0000-0000FB200000}"/>
    <cellStyle name="Note 2 3 2 4 3 2" xfId="14589" xr:uid="{068B95BB-B6C5-4AF8-A677-F2C327E856B8}"/>
    <cellStyle name="Note 2 3 2 4 4" xfId="10371" xr:uid="{C081234A-01B6-4C2B-BB80-93CA461BD343}"/>
    <cellStyle name="Note 2 3 2 5" xfId="2253" xr:uid="{00000000-0005-0000-0000-0000FC200000}"/>
    <cellStyle name="Note 2 3 2 5 2" xfId="4482" xr:uid="{00000000-0005-0000-0000-0000FD200000}"/>
    <cellStyle name="Note 2 3 2 5 2 2" xfId="8705" xr:uid="{00000000-0005-0000-0000-0000FE200000}"/>
    <cellStyle name="Note 2 3 2 5 2 2 2" xfId="17147" xr:uid="{F22E2D0B-FCDE-49AA-9E69-CB75DFDA05CF}"/>
    <cellStyle name="Note 2 3 2 5 2 3" xfId="12929" xr:uid="{8957A68E-C424-43FE-B7E2-F193C44B8F1B}"/>
    <cellStyle name="Note 2 3 2 5 3" xfId="6560" xr:uid="{00000000-0005-0000-0000-0000FF200000}"/>
    <cellStyle name="Note 2 3 2 5 3 2" xfId="15002" xr:uid="{38696B67-BCBC-45D9-95C0-628942F2D900}"/>
    <cellStyle name="Note 2 3 2 5 4" xfId="10784" xr:uid="{ED1DBF04-8292-469B-96AE-45965B00D980}"/>
    <cellStyle name="Note 2 3 2 6" xfId="2689" xr:uid="{00000000-0005-0000-0000-000000210000}"/>
    <cellStyle name="Note 2 3 2 6 2" xfId="6973" xr:uid="{00000000-0005-0000-0000-000001210000}"/>
    <cellStyle name="Note 2 3 2 6 2 2" xfId="15415" xr:uid="{E6209F07-22A9-40D1-8401-30ECF20F2003}"/>
    <cellStyle name="Note 2 3 2 6 3" xfId="11197" xr:uid="{1B0394F4-48BA-4F24-8052-4E0E10F4FCB5}"/>
    <cellStyle name="Note 2 3 2 7" xfId="2748" xr:uid="{00000000-0005-0000-0000-000002210000}"/>
    <cellStyle name="Note 2 3 2 8" xfId="2829" xr:uid="{00000000-0005-0000-0000-000003210000}"/>
    <cellStyle name="Note 2 3 2 8 2" xfId="7053" xr:uid="{00000000-0005-0000-0000-000004210000}"/>
    <cellStyle name="Note 2 3 2 8 2 2" xfId="15495" xr:uid="{78FF81B1-207F-45A7-8F71-F67104B78224}"/>
    <cellStyle name="Note 2 3 2 8 3" xfId="11277" xr:uid="{CB3E9D6F-7212-4606-A286-86BD0C92F01C}"/>
    <cellStyle name="Note 2 3 2 9" xfId="4908" xr:uid="{00000000-0005-0000-0000-000005210000}"/>
    <cellStyle name="Note 2 3 2 9 2" xfId="13350" xr:uid="{05DFF4B9-17EA-4D9B-922F-42AFE90EBB45}"/>
    <cellStyle name="Note 2 3 3" xfId="1010" xr:uid="{00000000-0005-0000-0000-000006210000}"/>
    <cellStyle name="Note 2 3 3 2" xfId="3242" xr:uid="{00000000-0005-0000-0000-000007210000}"/>
    <cellStyle name="Note 2 3 3 2 2" xfId="7465" xr:uid="{00000000-0005-0000-0000-000008210000}"/>
    <cellStyle name="Note 2 3 3 2 2 2" xfId="15907" xr:uid="{DD016CB0-88B0-4832-8BCE-06921FF4A6C9}"/>
    <cellStyle name="Note 2 3 3 2 3" xfId="11689" xr:uid="{F54D1CBE-7884-46B0-9F72-2AEF15D77FCC}"/>
    <cellStyle name="Note 2 3 3 3" xfId="5320" xr:uid="{00000000-0005-0000-0000-000009210000}"/>
    <cellStyle name="Note 2 3 3 3 2" xfId="13762" xr:uid="{CE2BF869-421C-43D6-92F2-C64A4649478C}"/>
    <cellStyle name="Note 2 3 3 4" xfId="9544" xr:uid="{A55181C9-428D-4BB9-9AFD-D3F52B6A1F12}"/>
    <cellStyle name="Note 2 3 4" xfId="1425" xr:uid="{00000000-0005-0000-0000-00000A210000}"/>
    <cellStyle name="Note 2 3 4 2" xfId="3655" xr:uid="{00000000-0005-0000-0000-00000B210000}"/>
    <cellStyle name="Note 2 3 4 2 2" xfId="7878" xr:uid="{00000000-0005-0000-0000-00000C210000}"/>
    <cellStyle name="Note 2 3 4 2 2 2" xfId="16320" xr:uid="{5B525AF1-AD0C-400E-AAF3-5760956AE8B0}"/>
    <cellStyle name="Note 2 3 4 2 3" xfId="12102" xr:uid="{7670AD17-C803-4082-9A34-4DDB714951D1}"/>
    <cellStyle name="Note 2 3 4 3" xfId="5733" xr:uid="{00000000-0005-0000-0000-00000D210000}"/>
    <cellStyle name="Note 2 3 4 3 2" xfId="14175" xr:uid="{AAA9E99A-9C50-49F3-94E0-42864F4476C6}"/>
    <cellStyle name="Note 2 3 4 4" xfId="9957" xr:uid="{ADA93ABB-4F58-4C2F-BD50-381F98722456}"/>
    <cellStyle name="Note 2 3 5" xfId="1839" xr:uid="{00000000-0005-0000-0000-00000E210000}"/>
    <cellStyle name="Note 2 3 5 2" xfId="4068" xr:uid="{00000000-0005-0000-0000-00000F210000}"/>
    <cellStyle name="Note 2 3 5 2 2" xfId="8291" xr:uid="{00000000-0005-0000-0000-000010210000}"/>
    <cellStyle name="Note 2 3 5 2 2 2" xfId="16733" xr:uid="{2508E24B-B11F-421F-94B8-083225F42508}"/>
    <cellStyle name="Note 2 3 5 2 3" xfId="12515" xr:uid="{0608CCCA-AB21-452B-91C3-22EE3A191000}"/>
    <cellStyle name="Note 2 3 5 3" xfId="6146" xr:uid="{00000000-0005-0000-0000-000011210000}"/>
    <cellStyle name="Note 2 3 5 3 2" xfId="14588" xr:uid="{1771712B-656C-4070-BD4A-569D39B8956A}"/>
    <cellStyle name="Note 2 3 5 4" xfId="10370" xr:uid="{9B366A6C-C172-423D-8B61-D222BF9940CA}"/>
    <cellStyle name="Note 2 3 6" xfId="2252" xr:uid="{00000000-0005-0000-0000-000012210000}"/>
    <cellStyle name="Note 2 3 6 2" xfId="4481" xr:uid="{00000000-0005-0000-0000-000013210000}"/>
    <cellStyle name="Note 2 3 6 2 2" xfId="8704" xr:uid="{00000000-0005-0000-0000-000014210000}"/>
    <cellStyle name="Note 2 3 6 2 2 2" xfId="17146" xr:uid="{D700A1A3-0973-4867-8B8B-BB9AAAA49E49}"/>
    <cellStyle name="Note 2 3 6 2 3" xfId="12928" xr:uid="{767796C6-7D7F-444E-BE7B-C51A07EAD1BA}"/>
    <cellStyle name="Note 2 3 6 3" xfId="6559" xr:uid="{00000000-0005-0000-0000-000015210000}"/>
    <cellStyle name="Note 2 3 6 3 2" xfId="15001" xr:uid="{A47BE1C1-1BF8-408A-BBE0-0582F204F5D4}"/>
    <cellStyle name="Note 2 3 6 4" xfId="10783" xr:uid="{DC6093FE-6A01-47AE-956D-11722F32A2E5}"/>
    <cellStyle name="Note 2 3 7" xfId="2688" xr:uid="{00000000-0005-0000-0000-000016210000}"/>
    <cellStyle name="Note 2 3 7 2" xfId="6972" xr:uid="{00000000-0005-0000-0000-000017210000}"/>
    <cellStyle name="Note 2 3 7 2 2" xfId="15414" xr:uid="{D66B63C9-CC1C-4E70-8E46-F0C8D4AA2D59}"/>
    <cellStyle name="Note 2 3 7 3" xfId="11196" xr:uid="{519CE11A-AE5A-4E2E-9B51-BF9B423DA955}"/>
    <cellStyle name="Note 2 3 8" xfId="2747" xr:uid="{00000000-0005-0000-0000-000018210000}"/>
    <cellStyle name="Note 2 3 9" xfId="2828" xr:uid="{00000000-0005-0000-0000-000019210000}"/>
    <cellStyle name="Note 2 3 9 2" xfId="7052" xr:uid="{00000000-0005-0000-0000-00001A210000}"/>
    <cellStyle name="Note 2 3 9 2 2" xfId="15494" xr:uid="{46A99DCE-57EB-4068-BA91-7E9B6B518FD2}"/>
    <cellStyle name="Note 2 3 9 3" xfId="11276" xr:uid="{81319790-BA57-4E21-92D9-C4A975E1F53B}"/>
    <cellStyle name="Note 2 4" xfId="551" xr:uid="{00000000-0005-0000-0000-00001B210000}"/>
    <cellStyle name="Note 2 4 10" xfId="9133" xr:uid="{27BF9A2E-30DE-4363-8BD2-D6F1FAE7A994}"/>
    <cellStyle name="Note 2 4 2" xfId="1012" xr:uid="{00000000-0005-0000-0000-00001C210000}"/>
    <cellStyle name="Note 2 4 2 2" xfId="3244" xr:uid="{00000000-0005-0000-0000-00001D210000}"/>
    <cellStyle name="Note 2 4 2 2 2" xfId="7467" xr:uid="{00000000-0005-0000-0000-00001E210000}"/>
    <cellStyle name="Note 2 4 2 2 2 2" xfId="15909" xr:uid="{DD11A686-2C4D-4BEF-A733-F32FA29D8B1F}"/>
    <cellStyle name="Note 2 4 2 2 3" xfId="11691" xr:uid="{D7D216D0-10FD-4773-97AB-ED6224D154F7}"/>
    <cellStyle name="Note 2 4 2 3" xfId="5322" xr:uid="{00000000-0005-0000-0000-00001F210000}"/>
    <cellStyle name="Note 2 4 2 3 2" xfId="13764" xr:uid="{00857BFA-205E-445A-A23A-5EC065777CA3}"/>
    <cellStyle name="Note 2 4 2 4" xfId="9546" xr:uid="{6EC513CB-E5E2-41D0-ADCE-3E5F3C30340D}"/>
    <cellStyle name="Note 2 4 3" xfId="1427" xr:uid="{00000000-0005-0000-0000-000020210000}"/>
    <cellStyle name="Note 2 4 3 2" xfId="3657" xr:uid="{00000000-0005-0000-0000-000021210000}"/>
    <cellStyle name="Note 2 4 3 2 2" xfId="7880" xr:uid="{00000000-0005-0000-0000-000022210000}"/>
    <cellStyle name="Note 2 4 3 2 2 2" xfId="16322" xr:uid="{8EF2E322-0F7E-494F-8840-3933D33311CA}"/>
    <cellStyle name="Note 2 4 3 2 3" xfId="12104" xr:uid="{88549391-1EFF-416E-9521-51EFBB33617A}"/>
    <cellStyle name="Note 2 4 3 3" xfId="5735" xr:uid="{00000000-0005-0000-0000-000023210000}"/>
    <cellStyle name="Note 2 4 3 3 2" xfId="14177" xr:uid="{A9B8B240-B0F7-4CA9-8F65-BD6CA864CE05}"/>
    <cellStyle name="Note 2 4 3 4" xfId="9959" xr:uid="{3F5AF596-2663-42F6-A115-CF7BD7CD6391}"/>
    <cellStyle name="Note 2 4 4" xfId="1841" xr:uid="{00000000-0005-0000-0000-000024210000}"/>
    <cellStyle name="Note 2 4 4 2" xfId="4070" xr:uid="{00000000-0005-0000-0000-000025210000}"/>
    <cellStyle name="Note 2 4 4 2 2" xfId="8293" xr:uid="{00000000-0005-0000-0000-000026210000}"/>
    <cellStyle name="Note 2 4 4 2 2 2" xfId="16735" xr:uid="{1D7D4249-C22D-460B-95E4-AC80B2799477}"/>
    <cellStyle name="Note 2 4 4 2 3" xfId="12517" xr:uid="{6D4268C2-FCA4-4A5B-903B-4E5927B1A9CE}"/>
    <cellStyle name="Note 2 4 4 3" xfId="6148" xr:uid="{00000000-0005-0000-0000-000027210000}"/>
    <cellStyle name="Note 2 4 4 3 2" xfId="14590" xr:uid="{716C0E75-75AC-4297-A470-745FF56BD450}"/>
    <cellStyle name="Note 2 4 4 4" xfId="10372" xr:uid="{961B6136-2155-44E5-87B7-34778B152713}"/>
    <cellStyle name="Note 2 4 5" xfId="2254" xr:uid="{00000000-0005-0000-0000-000028210000}"/>
    <cellStyle name="Note 2 4 5 2" xfId="4483" xr:uid="{00000000-0005-0000-0000-000029210000}"/>
    <cellStyle name="Note 2 4 5 2 2" xfId="8706" xr:uid="{00000000-0005-0000-0000-00002A210000}"/>
    <cellStyle name="Note 2 4 5 2 2 2" xfId="17148" xr:uid="{0B6CC0A1-8E44-44A5-A3DD-C400272567AB}"/>
    <cellStyle name="Note 2 4 5 2 3" xfId="12930" xr:uid="{5C13F6EF-BD16-428E-B46C-7EA591C62975}"/>
    <cellStyle name="Note 2 4 5 3" xfId="6561" xr:uid="{00000000-0005-0000-0000-00002B210000}"/>
    <cellStyle name="Note 2 4 5 3 2" xfId="15003" xr:uid="{94A14721-D5D5-4582-8AD8-F1AFCCB0B43D}"/>
    <cellStyle name="Note 2 4 5 4" xfId="10785" xr:uid="{2E3ECEBD-73A9-4542-9D2B-1D26A9F4BE0F}"/>
    <cellStyle name="Note 2 4 6" xfId="2690" xr:uid="{00000000-0005-0000-0000-00002C210000}"/>
    <cellStyle name="Note 2 4 6 2" xfId="6974" xr:uid="{00000000-0005-0000-0000-00002D210000}"/>
    <cellStyle name="Note 2 4 6 2 2" xfId="15416" xr:uid="{D8A9237C-5B81-4091-A3EC-D047E3DD5658}"/>
    <cellStyle name="Note 2 4 6 3" xfId="11198" xr:uid="{7E1403DE-6099-40A8-ABFD-52E333FFF5F1}"/>
    <cellStyle name="Note 2 4 7" xfId="2749" xr:uid="{00000000-0005-0000-0000-00002E210000}"/>
    <cellStyle name="Note 2 4 8" xfId="2830" xr:uid="{00000000-0005-0000-0000-00002F210000}"/>
    <cellStyle name="Note 2 4 8 2" xfId="7054" xr:uid="{00000000-0005-0000-0000-000030210000}"/>
    <cellStyle name="Note 2 4 8 2 2" xfId="15496" xr:uid="{5DE1C8BD-F69D-426A-AF7E-033A1F88470C}"/>
    <cellStyle name="Note 2 4 8 3" xfId="11278" xr:uid="{8807BD21-408C-4544-8FB4-C0D4CDD99460}"/>
    <cellStyle name="Note 2 4 9" xfId="4909" xr:uid="{00000000-0005-0000-0000-000031210000}"/>
    <cellStyle name="Note 2 4 9 2" xfId="13351" xr:uid="{B59DFC5E-2417-4534-BD6F-FBC5123EE244}"/>
    <cellStyle name="Note 2 5" xfId="552" xr:uid="{00000000-0005-0000-0000-000032210000}"/>
    <cellStyle name="Note 2 5 10" xfId="9134" xr:uid="{35E9EEC8-71B1-4DF1-93A4-B68DA59DBB05}"/>
    <cellStyle name="Note 2 5 2" xfId="1013" xr:uid="{00000000-0005-0000-0000-000033210000}"/>
    <cellStyle name="Note 2 5 2 2" xfId="3245" xr:uid="{00000000-0005-0000-0000-000034210000}"/>
    <cellStyle name="Note 2 5 2 2 2" xfId="7468" xr:uid="{00000000-0005-0000-0000-000035210000}"/>
    <cellStyle name="Note 2 5 2 2 2 2" xfId="15910" xr:uid="{7C662407-0F03-4BDB-90B4-3E7F8EE83442}"/>
    <cellStyle name="Note 2 5 2 2 3" xfId="11692" xr:uid="{BFC958A0-D3A3-45FB-9ADF-641D565CABAF}"/>
    <cellStyle name="Note 2 5 2 3" xfId="5323" xr:uid="{00000000-0005-0000-0000-000036210000}"/>
    <cellStyle name="Note 2 5 2 3 2" xfId="13765" xr:uid="{99CD560D-302E-41EF-AAA4-E30A2816E5E8}"/>
    <cellStyle name="Note 2 5 2 4" xfId="9547" xr:uid="{43529440-941E-4EFD-A1EC-1330D5894B21}"/>
    <cellStyle name="Note 2 5 3" xfId="1428" xr:uid="{00000000-0005-0000-0000-000037210000}"/>
    <cellStyle name="Note 2 5 3 2" xfId="3658" xr:uid="{00000000-0005-0000-0000-000038210000}"/>
    <cellStyle name="Note 2 5 3 2 2" xfId="7881" xr:uid="{00000000-0005-0000-0000-000039210000}"/>
    <cellStyle name="Note 2 5 3 2 2 2" xfId="16323" xr:uid="{3DE1E465-1A9D-4FE2-AC44-4C18FFDD4E25}"/>
    <cellStyle name="Note 2 5 3 2 3" xfId="12105" xr:uid="{2F723F2D-C88D-4A49-A4A7-E4727E18D606}"/>
    <cellStyle name="Note 2 5 3 3" xfId="5736" xr:uid="{00000000-0005-0000-0000-00003A210000}"/>
    <cellStyle name="Note 2 5 3 3 2" xfId="14178" xr:uid="{612DF09E-AF46-4A6F-9CCB-43E85C310501}"/>
    <cellStyle name="Note 2 5 3 4" xfId="9960" xr:uid="{71DD778E-A4CE-44DD-8E79-8DACD48A931F}"/>
    <cellStyle name="Note 2 5 4" xfId="1842" xr:uid="{00000000-0005-0000-0000-00003B210000}"/>
    <cellStyle name="Note 2 5 4 2" xfId="4071" xr:uid="{00000000-0005-0000-0000-00003C210000}"/>
    <cellStyle name="Note 2 5 4 2 2" xfId="8294" xr:uid="{00000000-0005-0000-0000-00003D210000}"/>
    <cellStyle name="Note 2 5 4 2 2 2" xfId="16736" xr:uid="{9F185DEB-71A0-4E4D-B9AF-EDDC78B5634C}"/>
    <cellStyle name="Note 2 5 4 2 3" xfId="12518" xr:uid="{F8FEDC3C-32FE-4A71-912B-93150E1874CE}"/>
    <cellStyle name="Note 2 5 4 3" xfId="6149" xr:uid="{00000000-0005-0000-0000-00003E210000}"/>
    <cellStyle name="Note 2 5 4 3 2" xfId="14591" xr:uid="{E9B7AD1D-92A8-4F01-A1C8-AEA3087FFCE4}"/>
    <cellStyle name="Note 2 5 4 4" xfId="10373" xr:uid="{BE06FB29-F616-4638-9D76-E2352BB698DB}"/>
    <cellStyle name="Note 2 5 5" xfId="2255" xr:uid="{00000000-0005-0000-0000-00003F210000}"/>
    <cellStyle name="Note 2 5 5 2" xfId="4484" xr:uid="{00000000-0005-0000-0000-000040210000}"/>
    <cellStyle name="Note 2 5 5 2 2" xfId="8707" xr:uid="{00000000-0005-0000-0000-000041210000}"/>
    <cellStyle name="Note 2 5 5 2 2 2" xfId="17149" xr:uid="{1FE89441-A128-491E-B9AC-E347B0DF4DD4}"/>
    <cellStyle name="Note 2 5 5 2 3" xfId="12931" xr:uid="{1E872109-3E04-4AA6-B400-8A8E96E2C155}"/>
    <cellStyle name="Note 2 5 5 3" xfId="6562" xr:uid="{00000000-0005-0000-0000-000042210000}"/>
    <cellStyle name="Note 2 5 5 3 2" xfId="15004" xr:uid="{E475639E-C1CC-4204-B1AD-ECD99A3713E7}"/>
    <cellStyle name="Note 2 5 5 4" xfId="10786" xr:uid="{252DE9B6-13B7-4239-B456-7F00B107D8AE}"/>
    <cellStyle name="Note 2 5 6" xfId="2691" xr:uid="{00000000-0005-0000-0000-000043210000}"/>
    <cellStyle name="Note 2 5 6 2" xfId="6975" xr:uid="{00000000-0005-0000-0000-000044210000}"/>
    <cellStyle name="Note 2 5 6 2 2" xfId="15417" xr:uid="{B6357EF3-49EE-43A2-A433-ABE2A0001E52}"/>
    <cellStyle name="Note 2 5 6 3" xfId="11199" xr:uid="{56D096AF-27AF-4B48-8CF9-7A389DCB617A}"/>
    <cellStyle name="Note 2 5 7" xfId="2750" xr:uid="{00000000-0005-0000-0000-000045210000}"/>
    <cellStyle name="Note 2 5 8" xfId="2831" xr:uid="{00000000-0005-0000-0000-000046210000}"/>
    <cellStyle name="Note 2 5 8 2" xfId="7055" xr:uid="{00000000-0005-0000-0000-000047210000}"/>
    <cellStyle name="Note 2 5 8 2 2" xfId="15497" xr:uid="{4E18199C-CC5F-4125-B548-33287992E93F}"/>
    <cellStyle name="Note 2 5 8 3" xfId="11279" xr:uid="{C2FB73A4-A2EE-45B7-8F1E-97DEAEFCF992}"/>
    <cellStyle name="Note 2 5 9" xfId="4910" xr:uid="{00000000-0005-0000-0000-000048210000}"/>
    <cellStyle name="Note 2 5 9 2" xfId="13352" xr:uid="{4629700F-2024-43A2-B5E4-E2AF8D3E003A}"/>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25FBA2CB-001E-4A08-8C27-DB8A8D1E54DD}"/>
    <cellStyle name="Note 3 2 10 3" xfId="11280" xr:uid="{B3D70B9B-F957-49E2-8F3C-9CFF1C3FEE1F}"/>
    <cellStyle name="Note 3 2 11" xfId="4911" xr:uid="{00000000-0005-0000-0000-00004D210000}"/>
    <cellStyle name="Note 3 2 11 2" xfId="13353" xr:uid="{62A4CCEB-4A0E-447F-A93C-C9895E499A05}"/>
    <cellStyle name="Note 3 2 12" xfId="9135" xr:uid="{F9200722-8CC6-4F84-B240-398898D4C907}"/>
    <cellStyle name="Note 3 2 2" xfId="555" xr:uid="{00000000-0005-0000-0000-00004E210000}"/>
    <cellStyle name="Note 3 2 2 10" xfId="4912" xr:uid="{00000000-0005-0000-0000-00004F210000}"/>
    <cellStyle name="Note 3 2 2 10 2" xfId="13354" xr:uid="{B0FB1AE4-8E46-44B8-854D-DF13CE75E883}"/>
    <cellStyle name="Note 3 2 2 11" xfId="9136" xr:uid="{FD7A98FD-6626-4A80-AF60-916F8A87A40F}"/>
    <cellStyle name="Note 3 2 2 2" xfId="556" xr:uid="{00000000-0005-0000-0000-000050210000}"/>
    <cellStyle name="Note 3 2 2 2 10" xfId="9137" xr:uid="{7FC2D54C-CF3E-4A5D-A477-F5ED96E7B6A0}"/>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455E6A51-1106-48E3-ABFB-3AA2F86F244D}"/>
    <cellStyle name="Note 3 2 2 2 2 2 3" xfId="11695" xr:uid="{AA0B60DE-E546-4DD0-836B-C34A3D49E7D0}"/>
    <cellStyle name="Note 3 2 2 2 2 3" xfId="5326" xr:uid="{00000000-0005-0000-0000-000054210000}"/>
    <cellStyle name="Note 3 2 2 2 2 3 2" xfId="13768" xr:uid="{016BD9EE-6DC6-48EC-9214-5C86813FD315}"/>
    <cellStyle name="Note 3 2 2 2 2 4" xfId="9550" xr:uid="{6703EC01-CB4D-4949-8FA1-355DFE354905}"/>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3BA86D3A-9465-4BEC-9AE8-2105759081BD}"/>
    <cellStyle name="Note 3 2 2 2 3 2 3" xfId="12108" xr:uid="{167AEEB1-B2E0-405A-8A7C-5C210852AFDF}"/>
    <cellStyle name="Note 3 2 2 2 3 3" xfId="5739" xr:uid="{00000000-0005-0000-0000-000058210000}"/>
    <cellStyle name="Note 3 2 2 2 3 3 2" xfId="14181" xr:uid="{33D93424-CFB5-4D30-9F32-C50E97EA37CF}"/>
    <cellStyle name="Note 3 2 2 2 3 4" xfId="9963" xr:uid="{53D2754E-10AE-4504-BAFA-34595DA6047F}"/>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1AFA0D60-8557-4C0A-B05C-8D10753E00DD}"/>
    <cellStyle name="Note 3 2 2 2 4 2 3" xfId="12521" xr:uid="{CD44D749-8A64-4681-BE20-CDD7587BC79B}"/>
    <cellStyle name="Note 3 2 2 2 4 3" xfId="6152" xr:uid="{00000000-0005-0000-0000-00005C210000}"/>
    <cellStyle name="Note 3 2 2 2 4 3 2" xfId="14594" xr:uid="{BEAA26C2-73DD-40EB-B0F2-5B10F73DDEEA}"/>
    <cellStyle name="Note 3 2 2 2 4 4" xfId="10376" xr:uid="{BF5517A3-DB09-4568-ABFE-67BFC9C2201A}"/>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2F381D3E-9A7C-4DB9-B6AE-3B201EC5EE5D}"/>
    <cellStyle name="Note 3 2 2 2 5 2 3" xfId="12934" xr:uid="{E699A98B-3886-4D9E-97D6-671CF507E75D}"/>
    <cellStyle name="Note 3 2 2 2 5 3" xfId="6565" xr:uid="{00000000-0005-0000-0000-000060210000}"/>
    <cellStyle name="Note 3 2 2 2 5 3 2" xfId="15007" xr:uid="{5C10EF38-F606-4572-83AE-9E1F9C83E92E}"/>
    <cellStyle name="Note 3 2 2 2 5 4" xfId="10789" xr:uid="{0BC5DE1F-DA59-41EE-8010-7BD17A3F7290}"/>
    <cellStyle name="Note 3 2 2 2 6" xfId="2694" xr:uid="{00000000-0005-0000-0000-000061210000}"/>
    <cellStyle name="Note 3 2 2 2 6 2" xfId="6978" xr:uid="{00000000-0005-0000-0000-000062210000}"/>
    <cellStyle name="Note 3 2 2 2 6 2 2" xfId="15420" xr:uid="{CCCBD3FD-C6BA-4422-9D38-79E7215128CE}"/>
    <cellStyle name="Note 3 2 2 2 6 3" xfId="11202" xr:uid="{D0C041FF-8350-4691-B3C9-D82ED1DF0191}"/>
    <cellStyle name="Note 3 2 2 2 7" xfId="2753" xr:uid="{00000000-0005-0000-0000-000063210000}"/>
    <cellStyle name="Note 3 2 2 2 8" xfId="2834" xr:uid="{00000000-0005-0000-0000-000064210000}"/>
    <cellStyle name="Note 3 2 2 2 8 2" xfId="7058" xr:uid="{00000000-0005-0000-0000-000065210000}"/>
    <cellStyle name="Note 3 2 2 2 8 2 2" xfId="15500" xr:uid="{E433D4B1-3CAC-41D7-9A51-A5568009D160}"/>
    <cellStyle name="Note 3 2 2 2 8 3" xfId="11282" xr:uid="{68EBF7F0-611C-455B-9CD8-8F448CA1F7F6}"/>
    <cellStyle name="Note 3 2 2 2 9" xfId="4913" xr:uid="{00000000-0005-0000-0000-000066210000}"/>
    <cellStyle name="Note 3 2 2 2 9 2" xfId="13355" xr:uid="{031B1A51-3E47-4D6C-A10C-5F1023399663}"/>
    <cellStyle name="Note 3 2 2 3" xfId="1015" xr:uid="{00000000-0005-0000-0000-000067210000}"/>
    <cellStyle name="Note 3 2 2 3 2" xfId="3247" xr:uid="{00000000-0005-0000-0000-000068210000}"/>
    <cellStyle name="Note 3 2 2 3 2 2" xfId="7470" xr:uid="{00000000-0005-0000-0000-000069210000}"/>
    <cellStyle name="Note 3 2 2 3 2 2 2" xfId="15912" xr:uid="{74915B4A-DFA4-4BF2-898A-F5E9C0CBE3F5}"/>
    <cellStyle name="Note 3 2 2 3 2 3" xfId="11694" xr:uid="{D5F8AE8B-0F7C-4225-8184-6CF2BD6188C9}"/>
    <cellStyle name="Note 3 2 2 3 3" xfId="5325" xr:uid="{00000000-0005-0000-0000-00006A210000}"/>
    <cellStyle name="Note 3 2 2 3 3 2" xfId="13767" xr:uid="{F235A858-3963-4D04-82DF-11988A924366}"/>
    <cellStyle name="Note 3 2 2 3 4" xfId="9549" xr:uid="{F303310E-0176-4459-BF2C-DF9232E97ECF}"/>
    <cellStyle name="Note 3 2 2 4" xfId="1430" xr:uid="{00000000-0005-0000-0000-00006B210000}"/>
    <cellStyle name="Note 3 2 2 4 2" xfId="3660" xr:uid="{00000000-0005-0000-0000-00006C210000}"/>
    <cellStyle name="Note 3 2 2 4 2 2" xfId="7883" xr:uid="{00000000-0005-0000-0000-00006D210000}"/>
    <cellStyle name="Note 3 2 2 4 2 2 2" xfId="16325" xr:uid="{FC2835B7-BFD4-46A4-A7B3-2F235788985E}"/>
    <cellStyle name="Note 3 2 2 4 2 3" xfId="12107" xr:uid="{ED4B8F5A-0396-4260-98C5-21DC0D4CF53C}"/>
    <cellStyle name="Note 3 2 2 4 3" xfId="5738" xr:uid="{00000000-0005-0000-0000-00006E210000}"/>
    <cellStyle name="Note 3 2 2 4 3 2" xfId="14180" xr:uid="{74A3F97B-B9F5-4306-AF53-9685B2A34FE8}"/>
    <cellStyle name="Note 3 2 2 4 4" xfId="9962" xr:uid="{DF070027-0532-4C7B-B244-4314B6E54FC4}"/>
    <cellStyle name="Note 3 2 2 5" xfId="1844" xr:uid="{00000000-0005-0000-0000-00006F210000}"/>
    <cellStyle name="Note 3 2 2 5 2" xfId="4073" xr:uid="{00000000-0005-0000-0000-000070210000}"/>
    <cellStyle name="Note 3 2 2 5 2 2" xfId="8296" xr:uid="{00000000-0005-0000-0000-000071210000}"/>
    <cellStyle name="Note 3 2 2 5 2 2 2" xfId="16738" xr:uid="{AB1F2755-0330-4640-8628-67B7FB8D2143}"/>
    <cellStyle name="Note 3 2 2 5 2 3" xfId="12520" xr:uid="{1E17ED1E-9A7B-4103-9028-EEACDA2FDD54}"/>
    <cellStyle name="Note 3 2 2 5 3" xfId="6151" xr:uid="{00000000-0005-0000-0000-000072210000}"/>
    <cellStyle name="Note 3 2 2 5 3 2" xfId="14593" xr:uid="{C1DF0729-F048-4F39-9E8B-225F2F28F6BB}"/>
    <cellStyle name="Note 3 2 2 5 4" xfId="10375" xr:uid="{E5F59DE0-5746-4522-A3FE-74FF29784039}"/>
    <cellStyle name="Note 3 2 2 6" xfId="2257" xr:uid="{00000000-0005-0000-0000-000073210000}"/>
    <cellStyle name="Note 3 2 2 6 2" xfId="4486" xr:uid="{00000000-0005-0000-0000-000074210000}"/>
    <cellStyle name="Note 3 2 2 6 2 2" xfId="8709" xr:uid="{00000000-0005-0000-0000-000075210000}"/>
    <cellStyle name="Note 3 2 2 6 2 2 2" xfId="17151" xr:uid="{CC1B4EF8-1C45-43B5-8AD6-02A77F447FC3}"/>
    <cellStyle name="Note 3 2 2 6 2 3" xfId="12933" xr:uid="{68B0C255-0A2E-4B86-9E52-E6E59DAB70B8}"/>
    <cellStyle name="Note 3 2 2 6 3" xfId="6564" xr:uid="{00000000-0005-0000-0000-000076210000}"/>
    <cellStyle name="Note 3 2 2 6 3 2" xfId="15006" xr:uid="{991224C2-885F-4816-8834-67E6C1C116C7}"/>
    <cellStyle name="Note 3 2 2 6 4" xfId="10788" xr:uid="{1A531C62-51EB-4D5C-AC4F-A107279A8258}"/>
    <cellStyle name="Note 3 2 2 7" xfId="2693" xr:uid="{00000000-0005-0000-0000-000077210000}"/>
    <cellStyle name="Note 3 2 2 7 2" xfId="6977" xr:uid="{00000000-0005-0000-0000-000078210000}"/>
    <cellStyle name="Note 3 2 2 7 2 2" xfId="15419" xr:uid="{D1803FB6-50B2-471E-9D2D-BE1DE68D3C13}"/>
    <cellStyle name="Note 3 2 2 7 3" xfId="11201" xr:uid="{66F0EA64-768C-4536-A40C-FF015845D678}"/>
    <cellStyle name="Note 3 2 2 8" xfId="2752" xr:uid="{00000000-0005-0000-0000-000079210000}"/>
    <cellStyle name="Note 3 2 2 9" xfId="2833" xr:uid="{00000000-0005-0000-0000-00007A210000}"/>
    <cellStyle name="Note 3 2 2 9 2" xfId="7057" xr:uid="{00000000-0005-0000-0000-00007B210000}"/>
    <cellStyle name="Note 3 2 2 9 2 2" xfId="15499" xr:uid="{D5DA239F-0829-40D4-9141-DBE85A7C0B1D}"/>
    <cellStyle name="Note 3 2 2 9 3" xfId="11281" xr:uid="{3C78D3E3-F286-4E51-BB0D-5C30D788B363}"/>
    <cellStyle name="Note 3 2 3" xfId="557" xr:uid="{00000000-0005-0000-0000-00007C210000}"/>
    <cellStyle name="Note 3 2 3 10" xfId="9138" xr:uid="{2CCB13BD-0637-455B-BE84-9A5C8AB3FF59}"/>
    <cellStyle name="Note 3 2 3 2" xfId="1017" xr:uid="{00000000-0005-0000-0000-00007D210000}"/>
    <cellStyle name="Note 3 2 3 2 2" xfId="3249" xr:uid="{00000000-0005-0000-0000-00007E210000}"/>
    <cellStyle name="Note 3 2 3 2 2 2" xfId="7472" xr:uid="{00000000-0005-0000-0000-00007F210000}"/>
    <cellStyle name="Note 3 2 3 2 2 2 2" xfId="15914" xr:uid="{B2E4E46E-C6CD-42F6-91FE-81FA3C403242}"/>
    <cellStyle name="Note 3 2 3 2 2 3" xfId="11696" xr:uid="{B33251DB-0208-4C73-B058-A1628370E090}"/>
    <cellStyle name="Note 3 2 3 2 3" xfId="5327" xr:uid="{00000000-0005-0000-0000-000080210000}"/>
    <cellStyle name="Note 3 2 3 2 3 2" xfId="13769" xr:uid="{F818C9C0-8F03-4697-A812-0F589724E900}"/>
    <cellStyle name="Note 3 2 3 2 4" xfId="9551" xr:uid="{137D71D5-54B2-4145-81E2-CCE3B916A883}"/>
    <cellStyle name="Note 3 2 3 3" xfId="1432" xr:uid="{00000000-0005-0000-0000-000081210000}"/>
    <cellStyle name="Note 3 2 3 3 2" xfId="3662" xr:uid="{00000000-0005-0000-0000-000082210000}"/>
    <cellStyle name="Note 3 2 3 3 2 2" xfId="7885" xr:uid="{00000000-0005-0000-0000-000083210000}"/>
    <cellStyle name="Note 3 2 3 3 2 2 2" xfId="16327" xr:uid="{F6DFE314-70B0-4344-A38F-7DF748D15679}"/>
    <cellStyle name="Note 3 2 3 3 2 3" xfId="12109" xr:uid="{ABE52894-F5AD-4277-96CF-0195BD87DC90}"/>
    <cellStyle name="Note 3 2 3 3 3" xfId="5740" xr:uid="{00000000-0005-0000-0000-000084210000}"/>
    <cellStyle name="Note 3 2 3 3 3 2" xfId="14182" xr:uid="{3B0F5282-BCD7-4EEB-9224-3DB2765645A2}"/>
    <cellStyle name="Note 3 2 3 3 4" xfId="9964" xr:uid="{5EE40C74-9379-4011-86A7-05E1F67D3483}"/>
    <cellStyle name="Note 3 2 3 4" xfId="1846" xr:uid="{00000000-0005-0000-0000-000085210000}"/>
    <cellStyle name="Note 3 2 3 4 2" xfId="4075" xr:uid="{00000000-0005-0000-0000-000086210000}"/>
    <cellStyle name="Note 3 2 3 4 2 2" xfId="8298" xr:uid="{00000000-0005-0000-0000-000087210000}"/>
    <cellStyle name="Note 3 2 3 4 2 2 2" xfId="16740" xr:uid="{0A8E56C1-E383-48BF-8526-3B0520C4B6B6}"/>
    <cellStyle name="Note 3 2 3 4 2 3" xfId="12522" xr:uid="{9F6B33C0-44C7-4DE2-9334-B33A50195E91}"/>
    <cellStyle name="Note 3 2 3 4 3" xfId="6153" xr:uid="{00000000-0005-0000-0000-000088210000}"/>
    <cellStyle name="Note 3 2 3 4 3 2" xfId="14595" xr:uid="{4F2D82A2-7C33-405D-80A1-7A33B1A1F59A}"/>
    <cellStyle name="Note 3 2 3 4 4" xfId="10377" xr:uid="{3081D163-E44C-4530-BAAC-FE2799BB0400}"/>
    <cellStyle name="Note 3 2 3 5" xfId="2259" xr:uid="{00000000-0005-0000-0000-000089210000}"/>
    <cellStyle name="Note 3 2 3 5 2" xfId="4488" xr:uid="{00000000-0005-0000-0000-00008A210000}"/>
    <cellStyle name="Note 3 2 3 5 2 2" xfId="8711" xr:uid="{00000000-0005-0000-0000-00008B210000}"/>
    <cellStyle name="Note 3 2 3 5 2 2 2" xfId="17153" xr:uid="{48E46B91-8F48-431C-80E8-C335891D81CA}"/>
    <cellStyle name="Note 3 2 3 5 2 3" xfId="12935" xr:uid="{C3DC0DDE-C29E-488D-A444-F6A88FA6EA9D}"/>
    <cellStyle name="Note 3 2 3 5 3" xfId="6566" xr:uid="{00000000-0005-0000-0000-00008C210000}"/>
    <cellStyle name="Note 3 2 3 5 3 2" xfId="15008" xr:uid="{1772638B-8FDC-412D-8A9C-DF1AE43FB67B}"/>
    <cellStyle name="Note 3 2 3 5 4" xfId="10790" xr:uid="{DC50E7B1-A54E-40E3-8795-E8B2FA3F1581}"/>
    <cellStyle name="Note 3 2 3 6" xfId="2695" xr:uid="{00000000-0005-0000-0000-00008D210000}"/>
    <cellStyle name="Note 3 2 3 6 2" xfId="6979" xr:uid="{00000000-0005-0000-0000-00008E210000}"/>
    <cellStyle name="Note 3 2 3 6 2 2" xfId="15421" xr:uid="{2E985B1D-F733-40D1-B7FA-8A4006E72078}"/>
    <cellStyle name="Note 3 2 3 6 3" xfId="11203" xr:uid="{A5145329-71D1-4455-8168-EDEFEBF6FD02}"/>
    <cellStyle name="Note 3 2 3 7" xfId="2754" xr:uid="{00000000-0005-0000-0000-00008F210000}"/>
    <cellStyle name="Note 3 2 3 8" xfId="2835" xr:uid="{00000000-0005-0000-0000-000090210000}"/>
    <cellStyle name="Note 3 2 3 8 2" xfId="7059" xr:uid="{00000000-0005-0000-0000-000091210000}"/>
    <cellStyle name="Note 3 2 3 8 2 2" xfId="15501" xr:uid="{85A018CB-C190-4D5F-A229-043770A49C08}"/>
    <cellStyle name="Note 3 2 3 8 3" xfId="11283" xr:uid="{5B838DF5-C356-4517-8A8B-7285FE6C253B}"/>
    <cellStyle name="Note 3 2 3 9" xfId="4914" xr:uid="{00000000-0005-0000-0000-000092210000}"/>
    <cellStyle name="Note 3 2 3 9 2" xfId="13356" xr:uid="{2BA27613-9EB5-4275-8FA7-4AED2CE05F75}"/>
    <cellStyle name="Note 3 2 4" xfId="1014" xr:uid="{00000000-0005-0000-0000-000093210000}"/>
    <cellStyle name="Note 3 2 4 2" xfId="3246" xr:uid="{00000000-0005-0000-0000-000094210000}"/>
    <cellStyle name="Note 3 2 4 2 2" xfId="7469" xr:uid="{00000000-0005-0000-0000-000095210000}"/>
    <cellStyle name="Note 3 2 4 2 2 2" xfId="15911" xr:uid="{19C0E869-CB9C-4E38-9D10-C1EBDFBE7CB9}"/>
    <cellStyle name="Note 3 2 4 2 3" xfId="11693" xr:uid="{B9114C96-88D2-4556-A075-D340D8DCA658}"/>
    <cellStyle name="Note 3 2 4 3" xfId="5324" xr:uid="{00000000-0005-0000-0000-000096210000}"/>
    <cellStyle name="Note 3 2 4 3 2" xfId="13766" xr:uid="{67186F83-4DEE-4EC4-B5B6-3866E71F77A0}"/>
    <cellStyle name="Note 3 2 4 4" xfId="9548" xr:uid="{31ED00B0-62A6-4A99-B26F-53B137F33C97}"/>
    <cellStyle name="Note 3 2 5" xfId="1429" xr:uid="{00000000-0005-0000-0000-000097210000}"/>
    <cellStyle name="Note 3 2 5 2" xfId="3659" xr:uid="{00000000-0005-0000-0000-000098210000}"/>
    <cellStyle name="Note 3 2 5 2 2" xfId="7882" xr:uid="{00000000-0005-0000-0000-000099210000}"/>
    <cellStyle name="Note 3 2 5 2 2 2" xfId="16324" xr:uid="{04F23705-5EF0-4E77-AB36-5315F8356C9A}"/>
    <cellStyle name="Note 3 2 5 2 3" xfId="12106" xr:uid="{86D6E0CD-3208-4418-AD05-A7185AFDFA61}"/>
    <cellStyle name="Note 3 2 5 3" xfId="5737" xr:uid="{00000000-0005-0000-0000-00009A210000}"/>
    <cellStyle name="Note 3 2 5 3 2" xfId="14179" xr:uid="{1AE4306E-E629-4B20-B7F6-D6FEEB592328}"/>
    <cellStyle name="Note 3 2 5 4" xfId="9961" xr:uid="{2DF57481-BF95-4FDE-BE9A-1EEC13F19A58}"/>
    <cellStyle name="Note 3 2 6" xfId="1843" xr:uid="{00000000-0005-0000-0000-00009B210000}"/>
    <cellStyle name="Note 3 2 6 2" xfId="4072" xr:uid="{00000000-0005-0000-0000-00009C210000}"/>
    <cellStyle name="Note 3 2 6 2 2" xfId="8295" xr:uid="{00000000-0005-0000-0000-00009D210000}"/>
    <cellStyle name="Note 3 2 6 2 2 2" xfId="16737" xr:uid="{A02A457E-8115-472E-8B89-8C601F8ADC56}"/>
    <cellStyle name="Note 3 2 6 2 3" xfId="12519" xr:uid="{0CD4A85B-0C96-4EA0-AE84-6D3C5C35350A}"/>
    <cellStyle name="Note 3 2 6 3" xfId="6150" xr:uid="{00000000-0005-0000-0000-00009E210000}"/>
    <cellStyle name="Note 3 2 6 3 2" xfId="14592" xr:uid="{8FEA92EA-0C59-4F8E-AF0E-CC466C5FB8B6}"/>
    <cellStyle name="Note 3 2 6 4" xfId="10374" xr:uid="{E3343117-D9AA-431D-812D-EF6E7792382B}"/>
    <cellStyle name="Note 3 2 7" xfId="2256" xr:uid="{00000000-0005-0000-0000-00009F210000}"/>
    <cellStyle name="Note 3 2 7 2" xfId="4485" xr:uid="{00000000-0005-0000-0000-0000A0210000}"/>
    <cellStyle name="Note 3 2 7 2 2" xfId="8708" xr:uid="{00000000-0005-0000-0000-0000A1210000}"/>
    <cellStyle name="Note 3 2 7 2 2 2" xfId="17150" xr:uid="{3323C0BA-A946-42E8-B987-F9B700706C36}"/>
    <cellStyle name="Note 3 2 7 2 3" xfId="12932" xr:uid="{A754EBDF-ADFE-4E6D-9A50-AA5D7FCE5838}"/>
    <cellStyle name="Note 3 2 7 3" xfId="6563" xr:uid="{00000000-0005-0000-0000-0000A2210000}"/>
    <cellStyle name="Note 3 2 7 3 2" xfId="15005" xr:uid="{77E71FB6-47B1-4783-9421-06B03B2B8402}"/>
    <cellStyle name="Note 3 2 7 4" xfId="10787" xr:uid="{E7E506AF-928C-46C5-9A40-FE4CA1C25FAF}"/>
    <cellStyle name="Note 3 2 8" xfId="2692" xr:uid="{00000000-0005-0000-0000-0000A3210000}"/>
    <cellStyle name="Note 3 2 8 2" xfId="6976" xr:uid="{00000000-0005-0000-0000-0000A4210000}"/>
    <cellStyle name="Note 3 2 8 2 2" xfId="15418" xr:uid="{CEB7DDF7-1853-40E2-96F3-F275815F7F45}"/>
    <cellStyle name="Note 3 2 8 3" xfId="11200" xr:uid="{0B272DA5-EA9D-47FD-A293-2E3F8ED65D05}"/>
    <cellStyle name="Note 3 2 9" xfId="2751" xr:uid="{00000000-0005-0000-0000-0000A5210000}"/>
    <cellStyle name="Note 3 3" xfId="558" xr:uid="{00000000-0005-0000-0000-0000A6210000}"/>
    <cellStyle name="Note 3 3 10" xfId="4915" xr:uid="{00000000-0005-0000-0000-0000A7210000}"/>
    <cellStyle name="Note 3 3 10 2" xfId="13357" xr:uid="{80A455CA-E398-43B4-93EE-1B98BE9E5B67}"/>
    <cellStyle name="Note 3 3 11" xfId="9139" xr:uid="{5F55D6F0-6DDA-47DA-8CB9-A8355F93563E}"/>
    <cellStyle name="Note 3 3 2" xfId="559" xr:uid="{00000000-0005-0000-0000-0000A8210000}"/>
    <cellStyle name="Note 3 3 2 10" xfId="9140" xr:uid="{D35E5C05-DA39-4E48-8640-A8E23FF9E0E2}"/>
    <cellStyle name="Note 3 3 2 2" xfId="1019" xr:uid="{00000000-0005-0000-0000-0000A9210000}"/>
    <cellStyle name="Note 3 3 2 2 2" xfId="3251" xr:uid="{00000000-0005-0000-0000-0000AA210000}"/>
    <cellStyle name="Note 3 3 2 2 2 2" xfId="7474" xr:uid="{00000000-0005-0000-0000-0000AB210000}"/>
    <cellStyle name="Note 3 3 2 2 2 2 2" xfId="15916" xr:uid="{1F7F4E19-082F-4738-B5F0-4F991D6087C6}"/>
    <cellStyle name="Note 3 3 2 2 2 3" xfId="11698" xr:uid="{8277877A-7FD4-4329-89AC-9A75306D54EE}"/>
    <cellStyle name="Note 3 3 2 2 3" xfId="5329" xr:uid="{00000000-0005-0000-0000-0000AC210000}"/>
    <cellStyle name="Note 3 3 2 2 3 2" xfId="13771" xr:uid="{4C865657-F979-4AD2-B85C-6C20B8465043}"/>
    <cellStyle name="Note 3 3 2 2 4" xfId="9553" xr:uid="{F98E7167-ACCD-4F42-BDA9-5A05688B8B6D}"/>
    <cellStyle name="Note 3 3 2 3" xfId="1434" xr:uid="{00000000-0005-0000-0000-0000AD210000}"/>
    <cellStyle name="Note 3 3 2 3 2" xfId="3664" xr:uid="{00000000-0005-0000-0000-0000AE210000}"/>
    <cellStyle name="Note 3 3 2 3 2 2" xfId="7887" xr:uid="{00000000-0005-0000-0000-0000AF210000}"/>
    <cellStyle name="Note 3 3 2 3 2 2 2" xfId="16329" xr:uid="{F6D58690-2B1B-4DB5-96E1-BFCCE57BDE75}"/>
    <cellStyle name="Note 3 3 2 3 2 3" xfId="12111" xr:uid="{AEB9FAAA-A723-4184-8519-2EB7C88B6A4F}"/>
    <cellStyle name="Note 3 3 2 3 3" xfId="5742" xr:uid="{00000000-0005-0000-0000-0000B0210000}"/>
    <cellStyle name="Note 3 3 2 3 3 2" xfId="14184" xr:uid="{53F7B2E1-35A4-461E-AD98-A2B1D44057E0}"/>
    <cellStyle name="Note 3 3 2 3 4" xfId="9966" xr:uid="{C4619C0B-857B-42FA-B26B-53A6CBB7AA34}"/>
    <cellStyle name="Note 3 3 2 4" xfId="1848" xr:uid="{00000000-0005-0000-0000-0000B1210000}"/>
    <cellStyle name="Note 3 3 2 4 2" xfId="4077" xr:uid="{00000000-0005-0000-0000-0000B2210000}"/>
    <cellStyle name="Note 3 3 2 4 2 2" xfId="8300" xr:uid="{00000000-0005-0000-0000-0000B3210000}"/>
    <cellStyle name="Note 3 3 2 4 2 2 2" xfId="16742" xr:uid="{5142669F-8ABF-498A-BBCF-6F55C1384148}"/>
    <cellStyle name="Note 3 3 2 4 2 3" xfId="12524" xr:uid="{3C11903D-0A09-4936-9028-461AB3F6F697}"/>
    <cellStyle name="Note 3 3 2 4 3" xfId="6155" xr:uid="{00000000-0005-0000-0000-0000B4210000}"/>
    <cellStyle name="Note 3 3 2 4 3 2" xfId="14597" xr:uid="{422D2D7B-DE00-4541-9CF1-FE0D9632400B}"/>
    <cellStyle name="Note 3 3 2 4 4" xfId="10379" xr:uid="{AFD9BDA2-4836-45C3-BCCE-AC63292EFD58}"/>
    <cellStyle name="Note 3 3 2 5" xfId="2261" xr:uid="{00000000-0005-0000-0000-0000B5210000}"/>
    <cellStyle name="Note 3 3 2 5 2" xfId="4490" xr:uid="{00000000-0005-0000-0000-0000B6210000}"/>
    <cellStyle name="Note 3 3 2 5 2 2" xfId="8713" xr:uid="{00000000-0005-0000-0000-0000B7210000}"/>
    <cellStyle name="Note 3 3 2 5 2 2 2" xfId="17155" xr:uid="{357FE2DC-00D9-421D-9B8B-78B52E0CDE88}"/>
    <cellStyle name="Note 3 3 2 5 2 3" xfId="12937" xr:uid="{59FC5D1A-836D-4F04-9E94-9AC3A86E2243}"/>
    <cellStyle name="Note 3 3 2 5 3" xfId="6568" xr:uid="{00000000-0005-0000-0000-0000B8210000}"/>
    <cellStyle name="Note 3 3 2 5 3 2" xfId="15010" xr:uid="{03C8D279-9B27-468D-B2EC-7F8EC2F5C894}"/>
    <cellStyle name="Note 3 3 2 5 4" xfId="10792" xr:uid="{B4954C7A-2AD0-4A81-9BB3-B1F9B67F4B9D}"/>
    <cellStyle name="Note 3 3 2 6" xfId="2697" xr:uid="{00000000-0005-0000-0000-0000B9210000}"/>
    <cellStyle name="Note 3 3 2 6 2" xfId="6981" xr:uid="{00000000-0005-0000-0000-0000BA210000}"/>
    <cellStyle name="Note 3 3 2 6 2 2" xfId="15423" xr:uid="{D3FD5CA5-BA1D-46DD-92AD-9D98FC63EC84}"/>
    <cellStyle name="Note 3 3 2 6 3" xfId="11205" xr:uid="{16C2C4DF-DD1E-4750-B30B-8E8F4F051724}"/>
    <cellStyle name="Note 3 3 2 7" xfId="2756" xr:uid="{00000000-0005-0000-0000-0000BB210000}"/>
    <cellStyle name="Note 3 3 2 8" xfId="2837" xr:uid="{00000000-0005-0000-0000-0000BC210000}"/>
    <cellStyle name="Note 3 3 2 8 2" xfId="7061" xr:uid="{00000000-0005-0000-0000-0000BD210000}"/>
    <cellStyle name="Note 3 3 2 8 2 2" xfId="15503" xr:uid="{F36BE28F-29F3-48E5-9D81-F2667DEEB3BD}"/>
    <cellStyle name="Note 3 3 2 8 3" xfId="11285" xr:uid="{B770AB0F-65EA-4F22-A950-1BA37B6B26CA}"/>
    <cellStyle name="Note 3 3 2 9" xfId="4916" xr:uid="{00000000-0005-0000-0000-0000BE210000}"/>
    <cellStyle name="Note 3 3 2 9 2" xfId="13358" xr:uid="{65922A1A-96F0-4DD2-AD93-DC6D3798DF3C}"/>
    <cellStyle name="Note 3 3 3" xfId="1018" xr:uid="{00000000-0005-0000-0000-0000BF210000}"/>
    <cellStyle name="Note 3 3 3 2" xfId="3250" xr:uid="{00000000-0005-0000-0000-0000C0210000}"/>
    <cellStyle name="Note 3 3 3 2 2" xfId="7473" xr:uid="{00000000-0005-0000-0000-0000C1210000}"/>
    <cellStyle name="Note 3 3 3 2 2 2" xfId="15915" xr:uid="{E684D3FC-DD90-4E9C-BD1C-38956E4C3843}"/>
    <cellStyle name="Note 3 3 3 2 3" xfId="11697" xr:uid="{78D8F26E-CC50-4AC5-A6FD-4F2F16D081A7}"/>
    <cellStyle name="Note 3 3 3 3" xfId="5328" xr:uid="{00000000-0005-0000-0000-0000C2210000}"/>
    <cellStyle name="Note 3 3 3 3 2" xfId="13770" xr:uid="{7348F372-F319-475E-B162-6FF4FBA118DE}"/>
    <cellStyle name="Note 3 3 3 4" xfId="9552" xr:uid="{B24B67D5-D90E-4597-9D9A-C69998B7BAFE}"/>
    <cellStyle name="Note 3 3 4" xfId="1433" xr:uid="{00000000-0005-0000-0000-0000C3210000}"/>
    <cellStyle name="Note 3 3 4 2" xfId="3663" xr:uid="{00000000-0005-0000-0000-0000C4210000}"/>
    <cellStyle name="Note 3 3 4 2 2" xfId="7886" xr:uid="{00000000-0005-0000-0000-0000C5210000}"/>
    <cellStyle name="Note 3 3 4 2 2 2" xfId="16328" xr:uid="{6A7C97DE-4D71-4127-AFFE-DF2EE46F4FD4}"/>
    <cellStyle name="Note 3 3 4 2 3" xfId="12110" xr:uid="{5BE1CB42-169E-494E-A970-5E511DA8538F}"/>
    <cellStyle name="Note 3 3 4 3" xfId="5741" xr:uid="{00000000-0005-0000-0000-0000C6210000}"/>
    <cellStyle name="Note 3 3 4 3 2" xfId="14183" xr:uid="{005223FB-5887-4103-B995-0E5C26FD968A}"/>
    <cellStyle name="Note 3 3 4 4" xfId="9965" xr:uid="{87BB35A2-8E4E-450F-AE64-09B90B258944}"/>
    <cellStyle name="Note 3 3 5" xfId="1847" xr:uid="{00000000-0005-0000-0000-0000C7210000}"/>
    <cellStyle name="Note 3 3 5 2" xfId="4076" xr:uid="{00000000-0005-0000-0000-0000C8210000}"/>
    <cellStyle name="Note 3 3 5 2 2" xfId="8299" xr:uid="{00000000-0005-0000-0000-0000C9210000}"/>
    <cellStyle name="Note 3 3 5 2 2 2" xfId="16741" xr:uid="{7EB8F664-114E-4E23-B787-5682BF7863A5}"/>
    <cellStyle name="Note 3 3 5 2 3" xfId="12523" xr:uid="{3C81A3D5-3D7B-4295-BE6B-DE4C2D6EACB1}"/>
    <cellStyle name="Note 3 3 5 3" xfId="6154" xr:uid="{00000000-0005-0000-0000-0000CA210000}"/>
    <cellStyle name="Note 3 3 5 3 2" xfId="14596" xr:uid="{B786CCFE-B59A-4E53-9838-18D159BC60BE}"/>
    <cellStyle name="Note 3 3 5 4" xfId="10378" xr:uid="{021B645E-6299-441B-811F-F62AC416832F}"/>
    <cellStyle name="Note 3 3 6" xfId="2260" xr:uid="{00000000-0005-0000-0000-0000CB210000}"/>
    <cellStyle name="Note 3 3 6 2" xfId="4489" xr:uid="{00000000-0005-0000-0000-0000CC210000}"/>
    <cellStyle name="Note 3 3 6 2 2" xfId="8712" xr:uid="{00000000-0005-0000-0000-0000CD210000}"/>
    <cellStyle name="Note 3 3 6 2 2 2" xfId="17154" xr:uid="{995EFA5F-D89A-41F0-A7FE-611B0F1AF20B}"/>
    <cellStyle name="Note 3 3 6 2 3" xfId="12936" xr:uid="{BDB91E80-446A-4EB8-A3B5-651762F7FC8E}"/>
    <cellStyle name="Note 3 3 6 3" xfId="6567" xr:uid="{00000000-0005-0000-0000-0000CE210000}"/>
    <cellStyle name="Note 3 3 6 3 2" xfId="15009" xr:uid="{B59BD91E-D286-4FF9-A840-9B1D92ABC77B}"/>
    <cellStyle name="Note 3 3 6 4" xfId="10791" xr:uid="{E56842BF-BBDD-4087-BB64-E8790FD7DE29}"/>
    <cellStyle name="Note 3 3 7" xfId="2696" xr:uid="{00000000-0005-0000-0000-0000CF210000}"/>
    <cellStyle name="Note 3 3 7 2" xfId="6980" xr:uid="{00000000-0005-0000-0000-0000D0210000}"/>
    <cellStyle name="Note 3 3 7 2 2" xfId="15422" xr:uid="{ADDE6C78-630E-4CF7-B9DD-EFC0A68EED24}"/>
    <cellStyle name="Note 3 3 7 3" xfId="11204" xr:uid="{292418A2-3C3D-4C07-9125-8B548BD1871A}"/>
    <cellStyle name="Note 3 3 8" xfId="2755" xr:uid="{00000000-0005-0000-0000-0000D1210000}"/>
    <cellStyle name="Note 3 3 9" xfId="2836" xr:uid="{00000000-0005-0000-0000-0000D2210000}"/>
    <cellStyle name="Note 3 3 9 2" xfId="7060" xr:uid="{00000000-0005-0000-0000-0000D3210000}"/>
    <cellStyle name="Note 3 3 9 2 2" xfId="15502" xr:uid="{71AC2171-D4A8-47DE-8B89-87B02377FC0A}"/>
    <cellStyle name="Note 3 3 9 3" xfId="11284" xr:uid="{FE4503B4-4B6D-476D-9A10-F64129FC5810}"/>
    <cellStyle name="Note 3 4" xfId="560" xr:uid="{00000000-0005-0000-0000-0000D4210000}"/>
    <cellStyle name="Note 3 4 10" xfId="9141" xr:uid="{7094BC83-302C-4311-BF0A-AE2B69DCED10}"/>
    <cellStyle name="Note 3 4 2" xfId="1020" xr:uid="{00000000-0005-0000-0000-0000D5210000}"/>
    <cellStyle name="Note 3 4 2 2" xfId="3252" xr:uid="{00000000-0005-0000-0000-0000D6210000}"/>
    <cellStyle name="Note 3 4 2 2 2" xfId="7475" xr:uid="{00000000-0005-0000-0000-0000D7210000}"/>
    <cellStyle name="Note 3 4 2 2 2 2" xfId="15917" xr:uid="{657CC81C-4827-48F9-A731-CCAABD07A880}"/>
    <cellStyle name="Note 3 4 2 2 3" xfId="11699" xr:uid="{0E13EC2C-4176-490A-8EE3-43A8E214B14C}"/>
    <cellStyle name="Note 3 4 2 3" xfId="5330" xr:uid="{00000000-0005-0000-0000-0000D8210000}"/>
    <cellStyle name="Note 3 4 2 3 2" xfId="13772" xr:uid="{B4D15FA1-E4F2-4059-94E6-955D27E3B43D}"/>
    <cellStyle name="Note 3 4 2 4" xfId="9554" xr:uid="{35178948-5B20-4735-9F75-CC07581F3C98}"/>
    <cellStyle name="Note 3 4 3" xfId="1435" xr:uid="{00000000-0005-0000-0000-0000D9210000}"/>
    <cellStyle name="Note 3 4 3 2" xfId="3665" xr:uid="{00000000-0005-0000-0000-0000DA210000}"/>
    <cellStyle name="Note 3 4 3 2 2" xfId="7888" xr:uid="{00000000-0005-0000-0000-0000DB210000}"/>
    <cellStyle name="Note 3 4 3 2 2 2" xfId="16330" xr:uid="{205571F9-6084-43B5-9643-DD645D6A1F6F}"/>
    <cellStyle name="Note 3 4 3 2 3" xfId="12112" xr:uid="{BE1D483B-C43A-405F-B8F4-ED66E220025D}"/>
    <cellStyle name="Note 3 4 3 3" xfId="5743" xr:uid="{00000000-0005-0000-0000-0000DC210000}"/>
    <cellStyle name="Note 3 4 3 3 2" xfId="14185" xr:uid="{BE40F506-AAF3-49F1-BD71-133B8F11581C}"/>
    <cellStyle name="Note 3 4 3 4" xfId="9967" xr:uid="{16B856AD-3A9D-40F7-9B82-367AA089C1BE}"/>
    <cellStyle name="Note 3 4 4" xfId="1849" xr:uid="{00000000-0005-0000-0000-0000DD210000}"/>
    <cellStyle name="Note 3 4 4 2" xfId="4078" xr:uid="{00000000-0005-0000-0000-0000DE210000}"/>
    <cellStyle name="Note 3 4 4 2 2" xfId="8301" xr:uid="{00000000-0005-0000-0000-0000DF210000}"/>
    <cellStyle name="Note 3 4 4 2 2 2" xfId="16743" xr:uid="{204D5DB2-2327-4C6B-B43F-0E5B423ABDFE}"/>
    <cellStyle name="Note 3 4 4 2 3" xfId="12525" xr:uid="{ACD22FBC-ECA3-4D24-ABF4-33A82FB823C9}"/>
    <cellStyle name="Note 3 4 4 3" xfId="6156" xr:uid="{00000000-0005-0000-0000-0000E0210000}"/>
    <cellStyle name="Note 3 4 4 3 2" xfId="14598" xr:uid="{1800C939-D01F-4A7F-8E48-581213FE1CC1}"/>
    <cellStyle name="Note 3 4 4 4" xfId="10380" xr:uid="{A318E1CC-0B82-44D0-ADAF-07E080120556}"/>
    <cellStyle name="Note 3 4 5" xfId="2262" xr:uid="{00000000-0005-0000-0000-0000E1210000}"/>
    <cellStyle name="Note 3 4 5 2" xfId="4491" xr:uid="{00000000-0005-0000-0000-0000E2210000}"/>
    <cellStyle name="Note 3 4 5 2 2" xfId="8714" xr:uid="{00000000-0005-0000-0000-0000E3210000}"/>
    <cellStyle name="Note 3 4 5 2 2 2" xfId="17156" xr:uid="{E85C1403-D68F-413F-BF5D-78720DBA87F7}"/>
    <cellStyle name="Note 3 4 5 2 3" xfId="12938" xr:uid="{56627E29-D1A7-40B5-90BD-28FF66E8151F}"/>
    <cellStyle name="Note 3 4 5 3" xfId="6569" xr:uid="{00000000-0005-0000-0000-0000E4210000}"/>
    <cellStyle name="Note 3 4 5 3 2" xfId="15011" xr:uid="{E0300CA4-F11E-4244-B063-A31323206214}"/>
    <cellStyle name="Note 3 4 5 4" xfId="10793" xr:uid="{126ED866-27CD-45CC-A113-573F02880DD5}"/>
    <cellStyle name="Note 3 4 6" xfId="2698" xr:uid="{00000000-0005-0000-0000-0000E5210000}"/>
    <cellStyle name="Note 3 4 6 2" xfId="6982" xr:uid="{00000000-0005-0000-0000-0000E6210000}"/>
    <cellStyle name="Note 3 4 6 2 2" xfId="15424" xr:uid="{748C609F-07D4-45A4-9B56-680E0D413564}"/>
    <cellStyle name="Note 3 4 6 3" xfId="11206" xr:uid="{20CB2D9C-6B9C-4FD3-87BB-5ED335F8C93D}"/>
    <cellStyle name="Note 3 4 7" xfId="2757" xr:uid="{00000000-0005-0000-0000-0000E7210000}"/>
    <cellStyle name="Note 3 4 8" xfId="2838" xr:uid="{00000000-0005-0000-0000-0000E8210000}"/>
    <cellStyle name="Note 3 4 8 2" xfId="7062" xr:uid="{00000000-0005-0000-0000-0000E9210000}"/>
    <cellStyle name="Note 3 4 8 2 2" xfId="15504" xr:uid="{96C9CED7-9F21-43FB-9045-7E23E5ACB70B}"/>
    <cellStyle name="Note 3 4 8 3" xfId="11286" xr:uid="{372AD427-4471-40EE-B2E8-F693A51D130A}"/>
    <cellStyle name="Note 3 4 9" xfId="4917" xr:uid="{00000000-0005-0000-0000-0000EA210000}"/>
    <cellStyle name="Note 3 4 9 2" xfId="13359" xr:uid="{E42A784A-513E-47C2-A844-B7F856BE58B5}"/>
    <cellStyle name="Note 3 5" xfId="561" xr:uid="{00000000-0005-0000-0000-0000EB210000}"/>
    <cellStyle name="Note 3 5 10" xfId="9142" xr:uid="{9010D8EB-F80D-41B3-AB3B-E0CCC126037D}"/>
    <cellStyle name="Note 3 5 2" xfId="1021" xr:uid="{00000000-0005-0000-0000-0000EC210000}"/>
    <cellStyle name="Note 3 5 2 2" xfId="3253" xr:uid="{00000000-0005-0000-0000-0000ED210000}"/>
    <cellStyle name="Note 3 5 2 2 2" xfId="7476" xr:uid="{00000000-0005-0000-0000-0000EE210000}"/>
    <cellStyle name="Note 3 5 2 2 2 2" xfId="15918" xr:uid="{9C33BDFA-65A9-4A8C-8890-EA13BE676318}"/>
    <cellStyle name="Note 3 5 2 2 3" xfId="11700" xr:uid="{C1B7AEF3-D672-4DDD-91F2-7E074949EAFE}"/>
    <cellStyle name="Note 3 5 2 3" xfId="5331" xr:uid="{00000000-0005-0000-0000-0000EF210000}"/>
    <cellStyle name="Note 3 5 2 3 2" xfId="13773" xr:uid="{01AB8948-DD53-488A-B1C7-632ADE614D9D}"/>
    <cellStyle name="Note 3 5 2 4" xfId="9555" xr:uid="{9501A80B-03EF-4E05-81B8-374CF0FC5460}"/>
    <cellStyle name="Note 3 5 3" xfId="1436" xr:uid="{00000000-0005-0000-0000-0000F0210000}"/>
    <cellStyle name="Note 3 5 3 2" xfId="3666" xr:uid="{00000000-0005-0000-0000-0000F1210000}"/>
    <cellStyle name="Note 3 5 3 2 2" xfId="7889" xr:uid="{00000000-0005-0000-0000-0000F2210000}"/>
    <cellStyle name="Note 3 5 3 2 2 2" xfId="16331" xr:uid="{531DC9CD-023E-4AF7-95BC-B9B1C19AF11A}"/>
    <cellStyle name="Note 3 5 3 2 3" xfId="12113" xr:uid="{FC85760B-1D8D-4CC3-827C-25EB52F61285}"/>
    <cellStyle name="Note 3 5 3 3" xfId="5744" xr:uid="{00000000-0005-0000-0000-0000F3210000}"/>
    <cellStyle name="Note 3 5 3 3 2" xfId="14186" xr:uid="{534AB672-6CE0-4D11-99EF-3BBBA1B56730}"/>
    <cellStyle name="Note 3 5 3 4" xfId="9968" xr:uid="{6ACB72A9-614F-4D35-A052-EBE1222ED12A}"/>
    <cellStyle name="Note 3 5 4" xfId="1850" xr:uid="{00000000-0005-0000-0000-0000F4210000}"/>
    <cellStyle name="Note 3 5 4 2" xfId="4079" xr:uid="{00000000-0005-0000-0000-0000F5210000}"/>
    <cellStyle name="Note 3 5 4 2 2" xfId="8302" xr:uid="{00000000-0005-0000-0000-0000F6210000}"/>
    <cellStyle name="Note 3 5 4 2 2 2" xfId="16744" xr:uid="{78FB8357-EE98-4755-A893-8E842F65CB22}"/>
    <cellStyle name="Note 3 5 4 2 3" xfId="12526" xr:uid="{8AE1DA6F-8DA3-4017-87F6-F3C65D143B37}"/>
    <cellStyle name="Note 3 5 4 3" xfId="6157" xr:uid="{00000000-0005-0000-0000-0000F7210000}"/>
    <cellStyle name="Note 3 5 4 3 2" xfId="14599" xr:uid="{938D5211-93A2-4C3B-88E6-7AB3266D203E}"/>
    <cellStyle name="Note 3 5 4 4" xfId="10381" xr:uid="{E8A9E3FC-54A3-4CEA-8D5F-0F5F346FA4D6}"/>
    <cellStyle name="Note 3 5 5" xfId="2263" xr:uid="{00000000-0005-0000-0000-0000F8210000}"/>
    <cellStyle name="Note 3 5 5 2" xfId="4492" xr:uid="{00000000-0005-0000-0000-0000F9210000}"/>
    <cellStyle name="Note 3 5 5 2 2" xfId="8715" xr:uid="{00000000-0005-0000-0000-0000FA210000}"/>
    <cellStyle name="Note 3 5 5 2 2 2" xfId="17157" xr:uid="{02F8DE70-B61E-4ABB-B842-C12A8AF6D40F}"/>
    <cellStyle name="Note 3 5 5 2 3" xfId="12939" xr:uid="{20E2058B-E85B-4D53-A7E6-AD91D19A16A2}"/>
    <cellStyle name="Note 3 5 5 3" xfId="6570" xr:uid="{00000000-0005-0000-0000-0000FB210000}"/>
    <cellStyle name="Note 3 5 5 3 2" xfId="15012" xr:uid="{952A3622-98ED-473A-ACD1-D2EC8FE9E075}"/>
    <cellStyle name="Note 3 5 5 4" xfId="10794" xr:uid="{5FA0D058-7DE5-499C-AD4C-2D95BDD74153}"/>
    <cellStyle name="Note 3 5 6" xfId="2699" xr:uid="{00000000-0005-0000-0000-0000FC210000}"/>
    <cellStyle name="Note 3 5 6 2" xfId="6983" xr:uid="{00000000-0005-0000-0000-0000FD210000}"/>
    <cellStyle name="Note 3 5 6 2 2" xfId="15425" xr:uid="{44E58692-4B4E-4763-8CF9-1A8915DE154D}"/>
    <cellStyle name="Note 3 5 6 3" xfId="11207" xr:uid="{E0F32BD7-9D43-43A1-B038-6032F031C0FB}"/>
    <cellStyle name="Note 3 5 7" xfId="2758" xr:uid="{00000000-0005-0000-0000-0000FE210000}"/>
    <cellStyle name="Note 3 5 8" xfId="2839" xr:uid="{00000000-0005-0000-0000-0000FF210000}"/>
    <cellStyle name="Note 3 5 8 2" xfId="7063" xr:uid="{00000000-0005-0000-0000-000000220000}"/>
    <cellStyle name="Note 3 5 8 2 2" xfId="15505" xr:uid="{828DC671-B900-4298-A95A-924152505F98}"/>
    <cellStyle name="Note 3 5 8 3" xfId="11287" xr:uid="{7B1CAF0F-F53E-4B79-86C7-9CE26A79563C}"/>
    <cellStyle name="Note 3 5 9" xfId="4918" xr:uid="{00000000-0005-0000-0000-000001220000}"/>
    <cellStyle name="Note 3 5 9 2" xfId="13360" xr:uid="{436791B6-33D5-497D-9F03-072D40C3664B}"/>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7FBD7E93-C524-4775-9C1A-1DB827F450DC}"/>
    <cellStyle name="Percent 4" xfId="4502" xr:uid="{00000000-0005-0000-0000-000007220000}"/>
    <cellStyle name="Percent 4 2" xfId="8718" xr:uid="{00000000-0005-0000-0000-000008220000}"/>
    <cellStyle name="Percent 4 2 2" xfId="17160" xr:uid="{8957CC74-C4F9-49AC-8577-BC96DEC8DA41}"/>
    <cellStyle name="Percent 4 3" xfId="8721" xr:uid="{D09CD3FC-D632-4B66-A68A-5CC92F993799}"/>
    <cellStyle name="Percent 4 3 2" xfId="8725" xr:uid="{D57AE941-8E59-43F0-AB73-09B3BCCFA234}"/>
    <cellStyle name="Percent 4 3 2 2" xfId="8728" xr:uid="{D24D76A7-D076-4554-9944-551B122393DE}"/>
    <cellStyle name="Percent 4 3 2 2 2" xfId="17169" xr:uid="{8F3AFEC6-8D5E-4734-B4AD-03E492BBEB65}"/>
    <cellStyle name="Percent 4 3 2 3" xfId="17166" xr:uid="{6EFDE1DD-9F64-4CEA-8D6E-1EB210AD8554}"/>
    <cellStyle name="Percent 4 3 3" xfId="17163" xr:uid="{A62ABA70-5742-45C7-BEDD-F3C301DDC5DE}"/>
    <cellStyle name="Percent 4 4" xfId="12946" xr:uid="{8CB5E1E4-050F-48E7-899F-CD1C43320857}"/>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Alameda%20Housing%20Authority%20-%20North%20Housing%20PSH%20II%20Estuary%20II)\North%20Housing%20PSH%20II%20for%20CDLAC%20'24R2%20without%20DDA%208-5-24.xls" TargetMode="External"/><Relationship Id="rId1" Type="http://schemas.openxmlformats.org/officeDocument/2006/relationships/externalLinkPath" Target="file:///C:\Users\Elissa\Box\Elissa%20Dennis\Alameda%20Housing%20Authority%20-%20North%20Housing%20PSH%20II%20Estuary%20II)\North%20Housing%20PSH%20II%20for%20CDLAC%20'24R2%20without%20DDA%208-5-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E%20BOX\Box\Elissa%20Dennis\Alameda%20Housing%20Authority%20-%20North%20Housing%20PSH%20II%20Estuary%20II)\north%20housing%20PSH%20II%20update%202-5-24%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budgets"/>
      <sheetName val="Sheet1"/>
    </sheetNames>
    <sheetDataSet>
      <sheetData sheetId="0"/>
      <sheetData sheetId="1">
        <row r="6">
          <cell r="C6">
            <v>690000</v>
          </cell>
        </row>
        <row r="7">
          <cell r="AB7">
            <v>757</v>
          </cell>
          <cell r="AE7">
            <v>60</v>
          </cell>
        </row>
        <row r="8">
          <cell r="C8">
            <v>5000000</v>
          </cell>
          <cell r="AB8">
            <v>300</v>
          </cell>
        </row>
        <row r="10">
          <cell r="C10">
            <v>551582</v>
          </cell>
        </row>
        <row r="11">
          <cell r="AB11">
            <v>809</v>
          </cell>
          <cell r="AE11">
            <v>67</v>
          </cell>
        </row>
        <row r="12">
          <cell r="AB12">
            <v>300</v>
          </cell>
        </row>
        <row r="13">
          <cell r="C13">
            <v>9761541</v>
          </cell>
        </row>
        <row r="14">
          <cell r="C14">
            <v>500000</v>
          </cell>
        </row>
        <row r="15">
          <cell r="C15">
            <v>100</v>
          </cell>
        </row>
        <row r="16">
          <cell r="C16">
            <v>12929052.4439999</v>
          </cell>
        </row>
        <row r="17">
          <cell r="C17">
            <v>7674076.3772931546</v>
          </cell>
        </row>
        <row r="19">
          <cell r="AA19">
            <v>5.2717391304347827E-2</v>
          </cell>
        </row>
        <row r="22">
          <cell r="B22">
            <v>19063641.07794103</v>
          </cell>
          <cell r="F22">
            <v>7.4999999999999997E-2</v>
          </cell>
        </row>
        <row r="23">
          <cell r="B23">
            <v>7911195.8612227216</v>
          </cell>
        </row>
        <row r="26">
          <cell r="I26">
            <v>0.54500000000000004</v>
          </cell>
        </row>
        <row r="28">
          <cell r="AB28">
            <v>2190</v>
          </cell>
        </row>
        <row r="29">
          <cell r="C29">
            <v>99</v>
          </cell>
        </row>
        <row r="30">
          <cell r="C30">
            <v>371000</v>
          </cell>
          <cell r="AB30">
            <v>2557</v>
          </cell>
        </row>
        <row r="33">
          <cell r="C33">
            <v>38400</v>
          </cell>
          <cell r="AA33">
            <v>0.05</v>
          </cell>
        </row>
        <row r="40">
          <cell r="AD40">
            <v>220000</v>
          </cell>
        </row>
        <row r="41">
          <cell r="AD41">
            <v>4000</v>
          </cell>
        </row>
        <row r="42">
          <cell r="AD42">
            <v>12360</v>
          </cell>
        </row>
        <row r="46">
          <cell r="C46">
            <v>916582</v>
          </cell>
        </row>
        <row r="47">
          <cell r="C47">
            <v>16581523</v>
          </cell>
          <cell r="AD47">
            <v>130272.57426426736</v>
          </cell>
        </row>
        <row r="48">
          <cell r="C48">
            <v>1875789</v>
          </cell>
        </row>
        <row r="49">
          <cell r="C49">
            <v>428566</v>
          </cell>
        </row>
        <row r="50">
          <cell r="C50">
            <v>753082</v>
          </cell>
          <cell r="AD50">
            <v>23000</v>
          </cell>
        </row>
        <row r="51">
          <cell r="C51">
            <v>178264</v>
          </cell>
        </row>
        <row r="52">
          <cell r="C52">
            <v>1325380</v>
          </cell>
        </row>
        <row r="53">
          <cell r="AB53">
            <v>1207800</v>
          </cell>
        </row>
        <row r="54">
          <cell r="AB54">
            <v>7.0000000000000007E-2</v>
          </cell>
        </row>
        <row r="55">
          <cell r="C55">
            <v>674173.60000000009</v>
          </cell>
        </row>
        <row r="56">
          <cell r="C56">
            <v>168543.39999999991</v>
          </cell>
        </row>
        <row r="58">
          <cell r="C58">
            <v>418167</v>
          </cell>
        </row>
        <row r="60">
          <cell r="C60">
            <v>3262269.3423301158</v>
          </cell>
          <cell r="F60">
            <v>1576342.0336323818</v>
          </cell>
        </row>
        <row r="62">
          <cell r="C62">
            <v>252311.27704372813</v>
          </cell>
          <cell r="F62">
            <v>20721.215989098448</v>
          </cell>
        </row>
        <row r="63">
          <cell r="C63">
            <v>85000</v>
          </cell>
        </row>
        <row r="64">
          <cell r="C64">
            <v>400000</v>
          </cell>
        </row>
        <row r="65">
          <cell r="C65">
            <v>100000</v>
          </cell>
          <cell r="F65">
            <v>100000</v>
          </cell>
        </row>
        <row r="68">
          <cell r="C68">
            <v>12078</v>
          </cell>
        </row>
        <row r="71">
          <cell r="C71">
            <v>10000</v>
          </cell>
        </row>
        <row r="72">
          <cell r="C72">
            <v>35000</v>
          </cell>
        </row>
        <row r="73">
          <cell r="C73">
            <v>142755.17834274643</v>
          </cell>
          <cell r="F73">
            <v>11723.85522621589</v>
          </cell>
        </row>
        <row r="76">
          <cell r="C76">
            <v>85000</v>
          </cell>
          <cell r="F76">
            <v>6980.6763285024153</v>
          </cell>
        </row>
        <row r="78">
          <cell r="C78">
            <v>130000</v>
          </cell>
          <cell r="F78">
            <v>130000</v>
          </cell>
        </row>
        <row r="81">
          <cell r="C81">
            <v>426000</v>
          </cell>
        </row>
        <row r="85">
          <cell r="C85">
            <v>166319.99999999997</v>
          </cell>
        </row>
        <row r="87">
          <cell r="C87">
            <v>25000</v>
          </cell>
        </row>
        <row r="88">
          <cell r="C88">
            <v>2183551.16</v>
          </cell>
        </row>
        <row r="90">
          <cell r="C90">
            <v>47327.863576470481</v>
          </cell>
        </row>
        <row r="91">
          <cell r="C91">
            <v>85000</v>
          </cell>
        </row>
        <row r="92">
          <cell r="C92">
            <v>92223</v>
          </cell>
        </row>
        <row r="93">
          <cell r="C93">
            <v>156000</v>
          </cell>
        </row>
        <row r="94">
          <cell r="C94">
            <v>350000</v>
          </cell>
        </row>
        <row r="95">
          <cell r="C95">
            <v>1140992</v>
          </cell>
        </row>
        <row r="96">
          <cell r="C96">
            <v>1285555</v>
          </cell>
        </row>
        <row r="97">
          <cell r="C97">
            <v>17000</v>
          </cell>
        </row>
        <row r="98">
          <cell r="C98">
            <v>306000</v>
          </cell>
        </row>
        <row r="99">
          <cell r="C99">
            <v>150500</v>
          </cell>
        </row>
        <row r="100">
          <cell r="C100">
            <v>450000</v>
          </cell>
        </row>
        <row r="104">
          <cell r="C104">
            <v>3000000</v>
          </cell>
        </row>
        <row r="118">
          <cell r="C118">
            <v>188700</v>
          </cell>
        </row>
        <row r="134">
          <cell r="J134">
            <v>0.92135364031786571</v>
          </cell>
        </row>
        <row r="135">
          <cell r="F135">
            <v>0.83413873666229943</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budgets"/>
      <sheetName val="Sheet1"/>
    </sheetNames>
    <sheetDataSet>
      <sheetData sheetId="0"/>
      <sheetData sheetId="1">
        <row r="5">
          <cell r="C5">
            <v>1563700</v>
          </cell>
        </row>
        <row r="7">
          <cell r="AA7">
            <v>20</v>
          </cell>
        </row>
        <row r="8">
          <cell r="AA8">
            <v>5</v>
          </cell>
        </row>
        <row r="11">
          <cell r="AA11">
            <v>20</v>
          </cell>
        </row>
        <row r="12">
          <cell r="AA12">
            <v>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09"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6" t="s">
        <v>558</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 thickTop="1"/>
    <row r="4" spans="1:38" s="5" customFormat="1" ht="13">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67" t="s">
        <v>2581</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ht="13">
      <c r="A34" s="4"/>
      <c r="C34" s="2"/>
    </row>
    <row r="35" spans="1:38">
      <c r="A35" s="4"/>
      <c r="D35" s="1278" t="s">
        <v>2499</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ht="13">
      <c r="A37" s="4"/>
      <c r="D37" s="120"/>
      <c r="E37" s="1273" t="s">
        <v>2357</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ht="13">
      <c r="A38" s="4"/>
      <c r="D38" s="120"/>
      <c r="E38" s="1273" t="s">
        <v>2358</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ht="13">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2" t="s">
        <v>1354</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ht="13">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1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ht="13">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ht="13">
      <c r="A50" s="4"/>
      <c r="C50" s="2"/>
      <c r="D50" s="4"/>
      <c r="E50" s="3" t="s">
        <v>349</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1" t="s">
        <v>1297</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1" t="s">
        <v>583</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1" t="s">
        <v>2353</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ht="13">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ht="13">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759</v>
      </c>
      <c r="H76" s="4"/>
      <c r="J76" s="120"/>
      <c r="K76" s="120"/>
      <c r="L76" s="120"/>
      <c r="P76" s="4"/>
      <c r="Q76" s="4"/>
      <c r="R76" s="4"/>
      <c r="S76" s="4"/>
      <c r="T76" s="4"/>
      <c r="U76" s="4"/>
      <c r="V76" s="4"/>
      <c r="W76" s="4"/>
      <c r="X76" s="4"/>
      <c r="Y76" s="4"/>
      <c r="Z76" s="4"/>
      <c r="AA76" s="4"/>
      <c r="AB76" s="4"/>
    </row>
    <row r="77" spans="1:37" ht="13">
      <c r="A77" s="4"/>
      <c r="C77" s="2"/>
      <c r="D77" s="4"/>
      <c r="E77" s="4"/>
      <c r="F77" s="8"/>
      <c r="G77" s="120" t="s">
        <v>875</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515</v>
      </c>
      <c r="H79" s="4" t="s">
        <v>876</v>
      </c>
      <c r="K79" s="4"/>
      <c r="L79" s="4"/>
      <c r="M79" s="4"/>
      <c r="P79" s="4"/>
      <c r="Q79" s="4"/>
      <c r="R79" s="4"/>
      <c r="S79" s="4"/>
      <c r="T79" s="4"/>
      <c r="U79" s="4"/>
      <c r="V79" s="4"/>
      <c r="W79" s="4"/>
      <c r="X79" s="4"/>
      <c r="Y79" s="4"/>
      <c r="Z79" s="4"/>
      <c r="AA79" s="4"/>
      <c r="AB79" s="4"/>
    </row>
    <row r="80" spans="1:37" ht="13">
      <c r="A80" s="4"/>
      <c r="C80" s="2"/>
      <c r="D80" s="4"/>
      <c r="E80" s="4"/>
      <c r="F80" s="4"/>
      <c r="G80" s="4" t="s">
        <v>766</v>
      </c>
      <c r="H80" s="4" t="s">
        <v>762</v>
      </c>
      <c r="K80" s="4"/>
      <c r="L80" s="4"/>
      <c r="M80" s="4"/>
      <c r="P80" s="4"/>
      <c r="Q80" s="4"/>
      <c r="R80" s="4"/>
      <c r="S80" s="4"/>
      <c r="T80" s="4"/>
      <c r="U80" s="4"/>
      <c r="V80" s="4"/>
      <c r="W80" s="4"/>
      <c r="X80" s="4"/>
      <c r="Y80" s="4"/>
      <c r="Z80" s="4"/>
      <c r="AA80" s="4"/>
      <c r="AB80" s="4"/>
    </row>
    <row r="81" spans="1:37" ht="13">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877</v>
      </c>
      <c r="G89" s="4"/>
      <c r="L89" s="4"/>
      <c r="M89" s="4"/>
      <c r="P89" s="4"/>
      <c r="Q89" s="4"/>
      <c r="R89" s="4"/>
      <c r="S89" s="4"/>
      <c r="T89" s="4"/>
      <c r="U89" s="4"/>
      <c r="V89" s="4"/>
      <c r="W89" s="4"/>
      <c r="X89" s="4"/>
      <c r="Y89" s="4"/>
      <c r="Z89" s="4"/>
      <c r="AA89" s="4"/>
      <c r="AB89" s="4"/>
    </row>
    <row r="90" spans="1:37" ht="13">
      <c r="A90" s="4"/>
      <c r="C90" s="2"/>
      <c r="D90" s="4"/>
      <c r="E90" s="4"/>
      <c r="G90" s="1269" t="s">
        <v>1278</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ht="13">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ht="13">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ht="13">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919</v>
      </c>
      <c r="F96" s="218" t="s">
        <v>920</v>
      </c>
      <c r="G96" s="218"/>
      <c r="L96" s="4"/>
      <c r="M96" s="4"/>
      <c r="P96" s="4"/>
      <c r="Q96" s="4"/>
      <c r="R96" s="4"/>
      <c r="S96" s="4"/>
      <c r="T96" s="4"/>
      <c r="U96" s="4"/>
      <c r="V96" s="4"/>
      <c r="W96" s="4"/>
      <c r="X96" s="4"/>
      <c r="Y96" s="4"/>
      <c r="Z96" s="4"/>
      <c r="AA96" s="4"/>
      <c r="AB96" s="4"/>
    </row>
    <row r="97" spans="1:38" ht="13">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0" t="s">
        <v>1281</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ht="13">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430</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ht="13">
      <c r="E111" s="4" t="s">
        <v>113</v>
      </c>
      <c r="F111" s="98" t="s">
        <v>664</v>
      </c>
      <c r="G111" s="2"/>
      <c r="H111" s="2"/>
      <c r="I111" s="2"/>
      <c r="J111" s="2"/>
    </row>
    <row r="112" spans="1:38">
      <c r="E112" s="4"/>
      <c r="F112" t="s">
        <v>665</v>
      </c>
    </row>
    <row r="113" spans="2:16">
      <c r="E113" s="4"/>
    </row>
    <row r="114" spans="2:16" ht="13">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ht="13">
      <c r="F119" s="4" t="s">
        <v>1039</v>
      </c>
      <c r="G119" s="4"/>
    </row>
    <row r="120" spans="2:16" ht="13">
      <c r="F120" s="99" t="s">
        <v>1293</v>
      </c>
      <c r="G120" s="99"/>
    </row>
    <row r="121" spans="2:16" ht="13">
      <c r="G121" s="99"/>
    </row>
    <row r="122" spans="2:16">
      <c r="E122" s="4" t="s">
        <v>772</v>
      </c>
      <c r="F122" s="98" t="s">
        <v>378</v>
      </c>
    </row>
    <row r="123" spans="2:16">
      <c r="E123" s="4"/>
      <c r="F123" s="4" t="s">
        <v>1031</v>
      </c>
    </row>
    <row r="124" spans="2:16" ht="13">
      <c r="B124" s="2"/>
      <c r="C124" s="2"/>
      <c r="F124" s="2"/>
    </row>
    <row r="125" spans="2:16" ht="13">
      <c r="B125" s="2"/>
      <c r="C125" s="2" t="s">
        <v>431</v>
      </c>
      <c r="G125" s="2" t="s">
        <v>379</v>
      </c>
    </row>
    <row r="126" spans="2:16" ht="13">
      <c r="B126" s="2"/>
      <c r="C126" s="2"/>
      <c r="D126" s="2" t="s">
        <v>208</v>
      </c>
      <c r="E126" s="2" t="s">
        <v>321</v>
      </c>
      <c r="F126" s="2"/>
      <c r="G126" s="2"/>
      <c r="H126" s="2"/>
      <c r="I126" s="2"/>
      <c r="J126" s="2"/>
    </row>
    <row r="127" spans="2:16" ht="13">
      <c r="B127" s="2"/>
      <c r="C127" s="2"/>
      <c r="E127" s="4" t="s">
        <v>942</v>
      </c>
      <c r="F127" s="4"/>
    </row>
    <row r="128" spans="2:16"/>
    <row r="129" spans="4:37" ht="13">
      <c r="D129" s="2" t="s">
        <v>341</v>
      </c>
      <c r="E129" s="2" t="s">
        <v>585</v>
      </c>
    </row>
    <row r="130" spans="4:37">
      <c r="E130" s="4" t="s">
        <v>942</v>
      </c>
      <c r="F130" s="4"/>
    </row>
    <row r="131" spans="4:37"/>
    <row r="132" spans="4:37" ht="13">
      <c r="D132" s="2" t="s">
        <v>582</v>
      </c>
      <c r="E132" s="2" t="s">
        <v>733</v>
      </c>
      <c r="G132" s="2"/>
      <c r="H132" s="2"/>
      <c r="I132" s="2"/>
      <c r="J132" s="2"/>
      <c r="K132" s="2"/>
      <c r="L132" s="2"/>
      <c r="M132" s="2"/>
      <c r="N132" s="2"/>
    </row>
    <row r="133" spans="4:37" ht="13">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522</v>
      </c>
      <c r="E137" s="2" t="s">
        <v>525</v>
      </c>
      <c r="F137" s="2"/>
    </row>
    <row r="138" spans="4:37">
      <c r="E138" s="3" t="s">
        <v>1319</v>
      </c>
      <c r="F138" s="4"/>
    </row>
    <row r="139" spans="4:37">
      <c r="F139" s="4"/>
    </row>
    <row r="140" spans="4:37" ht="13">
      <c r="D140" s="2" t="s">
        <v>304</v>
      </c>
      <c r="E140" s="2" t="s">
        <v>2354</v>
      </c>
      <c r="F140" s="2"/>
      <c r="G140" s="2"/>
      <c r="H140" s="2"/>
    </row>
    <row r="141" spans="4:37">
      <c r="E141" t="s">
        <v>112</v>
      </c>
      <c r="F141" t="s">
        <v>52</v>
      </c>
    </row>
    <row r="142" spans="4:37">
      <c r="E142" t="s">
        <v>113</v>
      </c>
      <c r="F142" t="s">
        <v>474</v>
      </c>
    </row>
    <row r="143" spans="4:37"/>
    <row r="144" spans="4:37" ht="13">
      <c r="D144" s="2" t="s">
        <v>429</v>
      </c>
      <c r="E144" s="2" t="s">
        <v>2355</v>
      </c>
    </row>
    <row r="145" spans="3:7">
      <c r="E145" s="218" t="s">
        <v>2356</v>
      </c>
      <c r="F145" s="218"/>
    </row>
    <row r="146" spans="3:7"/>
    <row r="147" spans="3:7" ht="13">
      <c r="C147" s="2" t="s">
        <v>6</v>
      </c>
      <c r="G147" s="2" t="s">
        <v>380</v>
      </c>
    </row>
    <row r="148" spans="3:7" ht="13">
      <c r="D148" s="2" t="s">
        <v>208</v>
      </c>
      <c r="E148" s="2" t="s">
        <v>135</v>
      </c>
    </row>
    <row r="149" spans="3:7">
      <c r="E149" t="s">
        <v>806</v>
      </c>
    </row>
    <row r="150" spans="3:7"/>
    <row r="151" spans="3:7" ht="13">
      <c r="D151" s="2" t="s">
        <v>341</v>
      </c>
      <c r="E151" s="2" t="s">
        <v>532</v>
      </c>
      <c r="F151" s="2"/>
    </row>
    <row r="152" spans="3:7">
      <c r="E152" s="4" t="s">
        <v>944</v>
      </c>
      <c r="F152" s="4"/>
    </row>
    <row r="153" spans="3:7"/>
    <row r="154" spans="3:7" ht="13">
      <c r="D154" s="2" t="s">
        <v>582</v>
      </c>
      <c r="E154" s="2" t="s">
        <v>561</v>
      </c>
    </row>
    <row r="155" spans="3:7">
      <c r="E155" s="4" t="s">
        <v>945</v>
      </c>
    </row>
    <row r="156" spans="3:7">
      <c r="E156" s="4" t="s">
        <v>943</v>
      </c>
      <c r="G156" s="4"/>
    </row>
    <row r="157" spans="3:7"/>
    <row r="158" spans="3:7" ht="13">
      <c r="D158" s="2" t="s">
        <v>522</v>
      </c>
      <c r="E158" s="2" t="s">
        <v>541</v>
      </c>
    </row>
    <row r="159" spans="3:7">
      <c r="E159" t="s">
        <v>112</v>
      </c>
      <c r="F159" s="4" t="s">
        <v>946</v>
      </c>
    </row>
    <row r="160" spans="3:7">
      <c r="E160" s="4" t="s">
        <v>113</v>
      </c>
      <c r="F160" s="4" t="s">
        <v>947</v>
      </c>
    </row>
    <row r="161" spans="3:20">
      <c r="E161" s="4" t="s">
        <v>119</v>
      </c>
      <c r="F161" t="s">
        <v>734</v>
      </c>
    </row>
    <row r="162" spans="3:20"/>
    <row r="163" spans="3:20" ht="13">
      <c r="D163" s="2" t="s">
        <v>304</v>
      </c>
      <c r="E163" s="2" t="s">
        <v>381</v>
      </c>
    </row>
    <row r="164" spans="3:20">
      <c r="E164" s="4" t="s">
        <v>948</v>
      </c>
      <c r="F164" s="4"/>
    </row>
    <row r="165" spans="3:20"/>
    <row r="166" spans="3:20" ht="13">
      <c r="D166" s="2" t="s">
        <v>429</v>
      </c>
      <c r="E166" s="2" t="s">
        <v>172</v>
      </c>
    </row>
    <row r="167" spans="3:20">
      <c r="E167" s="4" t="s">
        <v>950</v>
      </c>
    </row>
    <row r="168" spans="3:20">
      <c r="E168" s="4" t="s">
        <v>949</v>
      </c>
    </row>
    <row r="169" spans="3:20"/>
    <row r="170" spans="3:20" ht="13">
      <c r="D170" s="2" t="s">
        <v>565</v>
      </c>
      <c r="E170" s="2" t="s">
        <v>630</v>
      </c>
    </row>
    <row r="171" spans="3:20">
      <c r="E171" t="s">
        <v>112</v>
      </c>
      <c r="F171" t="s">
        <v>735</v>
      </c>
    </row>
    <row r="172" spans="3:20">
      <c r="E172" t="s">
        <v>113</v>
      </c>
      <c r="F172" t="s">
        <v>298</v>
      </c>
    </row>
    <row r="173" spans="3:20">
      <c r="F173" s="4"/>
    </row>
    <row r="174" spans="3:20" ht="13">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585</v>
      </c>
    </row>
    <row r="178" spans="2:19" ht="13">
      <c r="D178" s="2" t="s">
        <v>208</v>
      </c>
      <c r="E178" s="2" t="s">
        <v>299</v>
      </c>
      <c r="G178" s="4"/>
      <c r="H178" s="4"/>
      <c r="I178" s="4"/>
      <c r="J178" s="4"/>
      <c r="K178" s="4"/>
      <c r="L178" s="4"/>
      <c r="M178" s="4"/>
      <c r="N178" s="4"/>
    </row>
    <row r="179" spans="2:19">
      <c r="E179" t="s">
        <v>112</v>
      </c>
      <c r="F179" s="4" t="s">
        <v>951</v>
      </c>
    </row>
    <row r="180" spans="2:19" ht="13">
      <c r="F180" s="120" t="s">
        <v>1250</v>
      </c>
      <c r="I180" s="120"/>
    </row>
    <row r="181" spans="2:19" ht="13">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ht="13">
      <c r="D185" s="2" t="s">
        <v>341</v>
      </c>
      <c r="E185" s="2" t="s">
        <v>1032</v>
      </c>
    </row>
    <row r="186" spans="2:19">
      <c r="B186" s="4"/>
      <c r="C186" s="4"/>
      <c r="E186" s="4" t="s">
        <v>718</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582</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522</v>
      </c>
      <c r="E192" s="2" t="s">
        <v>111</v>
      </c>
    </row>
    <row r="193" spans="2:37" ht="13">
      <c r="B193" s="4"/>
      <c r="C193" s="2"/>
      <c r="E193" t="s">
        <v>112</v>
      </c>
      <c r="F193" s="4" t="s">
        <v>1040</v>
      </c>
      <c r="G193" s="4"/>
      <c r="H193" s="4"/>
      <c r="I193" s="4"/>
    </row>
    <row r="194" spans="2:37" ht="13">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429</v>
      </c>
      <c r="E201" s="2" t="s">
        <v>120</v>
      </c>
      <c r="G201" s="4"/>
      <c r="H201" s="4"/>
      <c r="I201" s="4"/>
      <c r="J201" s="4"/>
      <c r="M201" s="4"/>
      <c r="N201" s="4"/>
      <c r="O201" s="4"/>
      <c r="P201" s="4"/>
      <c r="Q201" s="4"/>
      <c r="R201" s="4"/>
      <c r="S201" s="4"/>
    </row>
    <row r="202" spans="2:37" ht="13">
      <c r="B202" s="4"/>
      <c r="C202" s="4"/>
      <c r="D202" s="2"/>
      <c r="E202" s="4" t="s">
        <v>112</v>
      </c>
      <c r="F202" s="4" t="s">
        <v>954</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ht="13">
      <c r="B206" s="4"/>
      <c r="C206" s="4"/>
      <c r="D206" s="2"/>
      <c r="E206" s="4" t="s">
        <v>589</v>
      </c>
      <c r="F206" s="4" t="s">
        <v>956</v>
      </c>
      <c r="M206" s="4"/>
      <c r="N206" s="4"/>
      <c r="O206" s="4"/>
      <c r="P206" s="4"/>
      <c r="Q206" s="4"/>
      <c r="R206" s="4"/>
      <c r="S206" s="4"/>
    </row>
    <row r="207" spans="2:37" ht="13">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563</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430</v>
      </c>
      <c r="D225" s="4"/>
      <c r="E225" s="4"/>
      <c r="F225" s="4"/>
      <c r="G225" s="2" t="s">
        <v>460</v>
      </c>
      <c r="I225" s="4"/>
      <c r="J225" s="4"/>
      <c r="K225" s="4"/>
      <c r="M225" s="4"/>
      <c r="N225" s="4"/>
      <c r="O225" s="4"/>
      <c r="P225" s="4"/>
      <c r="Q225" s="4"/>
      <c r="R225" s="4"/>
      <c r="S225" s="4"/>
    </row>
    <row r="226" spans="2:19" ht="13">
      <c r="B226" s="2"/>
      <c r="E226" s="4" t="s">
        <v>112</v>
      </c>
      <c r="F226" s="4" t="s">
        <v>725</v>
      </c>
      <c r="G226" s="4"/>
      <c r="I226" s="4"/>
      <c r="J226" s="4"/>
      <c r="K226" s="4"/>
      <c r="L226" s="4"/>
      <c r="M226" s="4"/>
      <c r="N226" s="4"/>
      <c r="O226" s="4"/>
      <c r="P226" s="4"/>
      <c r="Q226" s="4"/>
      <c r="R226" s="4"/>
      <c r="S226" s="4"/>
    </row>
    <row r="227" spans="2:19" ht="13">
      <c r="B227" s="2"/>
      <c r="E227" s="4" t="s">
        <v>113</v>
      </c>
      <c r="F227" s="4" t="s">
        <v>688</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431</v>
      </c>
      <c r="D229" s="4"/>
      <c r="E229" s="4"/>
      <c r="F229" s="4"/>
      <c r="G229" s="2" t="s">
        <v>21</v>
      </c>
      <c r="I229" s="4"/>
      <c r="J229" s="4"/>
      <c r="K229" s="4"/>
      <c r="L229" s="4"/>
      <c r="M229" s="4"/>
      <c r="N229" s="4"/>
      <c r="O229" s="4"/>
      <c r="P229" s="4"/>
      <c r="Q229" s="4"/>
      <c r="R229" s="4"/>
      <c r="S229" s="4"/>
    </row>
    <row r="230" spans="2:19" ht="13">
      <c r="B230" s="2"/>
      <c r="E230" s="4" t="s">
        <v>112</v>
      </c>
      <c r="F230" s="4" t="s">
        <v>726</v>
      </c>
      <c r="G230" s="4"/>
      <c r="I230" s="4"/>
      <c r="J230" s="4"/>
      <c r="K230" s="4"/>
      <c r="L230" s="4"/>
      <c r="M230" s="4"/>
      <c r="N230" s="4"/>
      <c r="O230" s="4"/>
      <c r="P230" s="4"/>
      <c r="Q230" s="4"/>
      <c r="R230" s="4"/>
      <c r="S230" s="4"/>
    </row>
    <row r="231" spans="2:19" ht="13">
      <c r="B231" s="2"/>
      <c r="E231" s="4"/>
      <c r="F231" s="4" t="s">
        <v>727</v>
      </c>
      <c r="G231" s="4"/>
      <c r="H231" s="4"/>
      <c r="I231" s="4"/>
      <c r="J231" s="4"/>
      <c r="K231" s="4"/>
      <c r="L231" s="4"/>
      <c r="M231" s="4"/>
      <c r="N231" s="4"/>
      <c r="O231" s="4"/>
      <c r="P231" s="4"/>
      <c r="Q231" s="4"/>
      <c r="R231" s="4"/>
      <c r="S231" s="4"/>
    </row>
    <row r="232" spans="2:19" ht="13">
      <c r="B232" s="2"/>
      <c r="D232" s="4"/>
      <c r="E232" s="4" t="s">
        <v>113</v>
      </c>
      <c r="F232" s="4" t="s">
        <v>688</v>
      </c>
      <c r="G232" s="4"/>
      <c r="I232" s="4"/>
      <c r="J232" s="4"/>
      <c r="K232" s="4"/>
      <c r="L232" s="4"/>
      <c r="M232" s="4"/>
      <c r="N232" s="4"/>
      <c r="O232" s="4"/>
      <c r="P232" s="4"/>
      <c r="Q232" s="4"/>
      <c r="R232" s="4"/>
      <c r="S232" s="4"/>
    </row>
    <row r="233" spans="2:19" ht="13">
      <c r="B233" s="2"/>
      <c r="E233" s="4" t="s">
        <v>119</v>
      </c>
      <c r="F233" s="98" t="s">
        <v>971</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ht="13">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661</v>
      </c>
      <c r="G248" s="4" t="s">
        <v>433</v>
      </c>
      <c r="I248" s="4"/>
      <c r="M248" s="4"/>
      <c r="N248" s="4"/>
      <c r="O248" s="4"/>
      <c r="P248" s="4"/>
      <c r="Q248" s="4"/>
      <c r="R248" s="4"/>
      <c r="S248" s="4"/>
    </row>
    <row r="249" spans="2:21" ht="13">
      <c r="B249" s="4"/>
      <c r="C249" s="4"/>
      <c r="D249" s="2"/>
      <c r="E249" s="2"/>
      <c r="F249" s="4"/>
      <c r="G249" s="4" t="s">
        <v>434</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383</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957</v>
      </c>
      <c r="I254" s="4"/>
      <c r="J254" s="4"/>
      <c r="K254" s="4"/>
      <c r="L254" s="4"/>
      <c r="M254" s="4"/>
      <c r="N254" s="4"/>
      <c r="O254" s="4"/>
      <c r="P254" s="4"/>
      <c r="Q254" s="4"/>
      <c r="R254" s="4"/>
      <c r="S254" s="4"/>
      <c r="T254" s="4"/>
      <c r="U254" s="4"/>
    </row>
    <row r="255" spans="2:21" ht="13">
      <c r="B255" s="2"/>
      <c r="C255" s="2"/>
      <c r="E255" s="4"/>
      <c r="F255" s="218" t="s">
        <v>661</v>
      </c>
      <c r="G255" s="218" t="s">
        <v>820</v>
      </c>
      <c r="I255" s="3"/>
      <c r="K255" s="3"/>
      <c r="L255" s="3"/>
      <c r="M255" s="3"/>
      <c r="N255" s="3"/>
      <c r="O255" s="3"/>
      <c r="Q255" s="4"/>
      <c r="R255" s="4"/>
      <c r="S255" s="4"/>
      <c r="T255" s="4"/>
      <c r="U255" s="4"/>
    </row>
    <row r="256" spans="2:21" ht="13">
      <c r="B256" s="2"/>
      <c r="C256" s="2"/>
      <c r="E256" s="4"/>
      <c r="F256" s="218"/>
      <c r="G256" s="218" t="s">
        <v>821</v>
      </c>
      <c r="I256" s="3"/>
      <c r="K256" s="3"/>
      <c r="L256" s="3"/>
      <c r="M256" s="3"/>
      <c r="N256" s="3"/>
      <c r="O256" s="3"/>
      <c r="P256" s="3"/>
    </row>
    <row r="257" spans="2:21" ht="13">
      <c r="B257" s="2"/>
      <c r="C257" s="2"/>
      <c r="E257" s="4"/>
      <c r="F257" s="218" t="s">
        <v>348</v>
      </c>
      <c r="G257" s="218" t="s">
        <v>963</v>
      </c>
      <c r="I257" s="4"/>
      <c r="K257" s="4"/>
      <c r="L257" s="4"/>
      <c r="M257" s="4"/>
      <c r="N257" s="4"/>
      <c r="O257" s="4"/>
      <c r="P257" s="3"/>
    </row>
    <row r="258" spans="2:21" ht="13">
      <c r="B258" s="2"/>
      <c r="C258" s="2"/>
      <c r="E258" s="4"/>
      <c r="F258" s="218"/>
      <c r="G258" s="218" t="s">
        <v>881</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384</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812</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813</v>
      </c>
      <c r="I264" s="4"/>
      <c r="J264" s="4"/>
      <c r="K264" s="4"/>
      <c r="L264" s="4"/>
      <c r="M264" s="4"/>
      <c r="N264" s="4"/>
      <c r="O264" s="4"/>
      <c r="P264" s="4"/>
      <c r="Q264" s="4"/>
      <c r="R264" s="4"/>
      <c r="S264" s="4"/>
    </row>
    <row r="265" spans="2:21" ht="13">
      <c r="B265" s="2"/>
      <c r="C265" s="2"/>
      <c r="E265" s="4" t="s">
        <v>589</v>
      </c>
      <c r="F265" s="218" t="s">
        <v>822</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341</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582</v>
      </c>
      <c r="E270" s="2" t="s">
        <v>288</v>
      </c>
      <c r="G270" s="4"/>
    </row>
    <row r="271" spans="2:21" ht="13">
      <c r="B271" s="2"/>
      <c r="C271" s="2"/>
      <c r="E271" s="4" t="s">
        <v>256</v>
      </c>
      <c r="F271" s="4"/>
      <c r="G271" s="4"/>
      <c r="J271" s="4"/>
      <c r="K271" s="4"/>
      <c r="L271" s="4"/>
      <c r="M271" s="4"/>
      <c r="N271" s="4"/>
    </row>
    <row r="272" spans="2:21" ht="13">
      <c r="B272" s="2"/>
      <c r="C272" s="2"/>
      <c r="E272" s="4" t="s">
        <v>964</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522</v>
      </c>
      <c r="E274" s="2" t="s">
        <v>620</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958</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965</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429</v>
      </c>
      <c r="E282" s="2" t="s">
        <v>425</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966</v>
      </c>
      <c r="F285" s="120"/>
      <c r="G285" s="4"/>
      <c r="H285" s="120"/>
      <c r="I285" s="120"/>
      <c r="J285" s="4"/>
      <c r="K285" s="4"/>
      <c r="L285" s="4"/>
      <c r="M285" s="4"/>
      <c r="P285" s="4"/>
      <c r="Q285" s="4"/>
      <c r="R285" s="4"/>
      <c r="S285" s="4"/>
    </row>
    <row r="286" spans="2:21" ht="13">
      <c r="B286" s="2"/>
      <c r="D286" s="2"/>
      <c r="E286" s="483" t="s">
        <v>880</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565</v>
      </c>
      <c r="E288" s="2" t="s">
        <v>566</v>
      </c>
      <c r="K288" s="4"/>
      <c r="L288" s="4"/>
      <c r="M288" s="4"/>
      <c r="N288" s="4"/>
    </row>
    <row r="289" spans="2:23" ht="13">
      <c r="B289" s="2"/>
      <c r="D289" s="4"/>
      <c r="E289" s="4" t="s">
        <v>112</v>
      </c>
      <c r="F289" s="4" t="s">
        <v>567</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568</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661</v>
      </c>
      <c r="G293" s="4" t="s">
        <v>261</v>
      </c>
      <c r="K293" s="4"/>
      <c r="L293" s="4"/>
      <c r="M293" s="4"/>
      <c r="N293" s="4"/>
      <c r="O293" s="4"/>
      <c r="P293" s="4"/>
      <c r="Q293" s="4"/>
      <c r="R293" s="4"/>
      <c r="S293" s="4"/>
      <c r="T293" s="4"/>
      <c r="U293" s="4"/>
      <c r="V293" s="4"/>
      <c r="W293" s="4"/>
    </row>
    <row r="294" spans="2:23" ht="13">
      <c r="B294" s="2"/>
      <c r="D294" s="4"/>
      <c r="E294" s="4"/>
      <c r="F294" s="4" t="s">
        <v>348</v>
      </c>
      <c r="G294" s="4" t="s">
        <v>959</v>
      </c>
      <c r="H294" s="4"/>
      <c r="K294" s="4"/>
      <c r="L294" s="4"/>
      <c r="M294" s="4"/>
      <c r="N294" s="4"/>
      <c r="O294" s="4"/>
      <c r="P294" s="4"/>
      <c r="Q294" s="4"/>
      <c r="R294" s="4"/>
      <c r="S294" s="4"/>
      <c r="T294" s="4"/>
      <c r="U294" s="4"/>
      <c r="V294" s="4"/>
      <c r="W294" s="4"/>
    </row>
    <row r="295" spans="2:23" ht="13">
      <c r="B295" s="2"/>
      <c r="D295" s="4"/>
      <c r="E295" s="4"/>
      <c r="F295" s="4" t="s">
        <v>349</v>
      </c>
      <c r="G295" s="4" t="s">
        <v>569</v>
      </c>
      <c r="K295" s="4"/>
      <c r="L295" s="4"/>
      <c r="M295" s="4"/>
      <c r="N295" s="4"/>
      <c r="O295" s="4"/>
      <c r="P295" s="4"/>
      <c r="Q295" s="4"/>
      <c r="R295" s="4"/>
      <c r="S295" s="4"/>
      <c r="T295" s="4"/>
      <c r="U295" s="4"/>
      <c r="V295" s="4"/>
      <c r="W295" s="4"/>
    </row>
    <row r="296" spans="2:23" ht="13">
      <c r="B296" s="2"/>
      <c r="D296" s="4"/>
      <c r="E296" s="4"/>
      <c r="F296" s="4" t="s">
        <v>446</v>
      </c>
      <c r="G296" s="4" t="s">
        <v>262</v>
      </c>
      <c r="H296" s="4"/>
      <c r="K296" s="4"/>
      <c r="L296" s="4"/>
      <c r="M296" s="4"/>
      <c r="N296" s="4"/>
      <c r="O296" s="4"/>
      <c r="P296" s="4"/>
      <c r="Q296" s="4"/>
      <c r="R296" s="4"/>
      <c r="S296" s="4"/>
      <c r="T296" s="4"/>
      <c r="U296" s="4"/>
      <c r="V296" s="4"/>
      <c r="W296" s="4"/>
    </row>
    <row r="297" spans="2:23" ht="13">
      <c r="B297" s="2"/>
      <c r="D297" s="4"/>
      <c r="E297" s="4"/>
      <c r="F297" s="4" t="s">
        <v>263</v>
      </c>
      <c r="G297" s="4" t="s">
        <v>390</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589</v>
      </c>
      <c r="F299" s="4" t="s">
        <v>751</v>
      </c>
      <c r="G299" s="4"/>
      <c r="K299" s="4"/>
      <c r="L299" s="4"/>
      <c r="M299" s="4"/>
      <c r="N299" s="4"/>
      <c r="O299" s="4"/>
      <c r="P299" s="4"/>
      <c r="Q299" s="4"/>
      <c r="R299" s="4"/>
      <c r="S299" s="4"/>
      <c r="T299" s="4"/>
      <c r="U299" s="4"/>
      <c r="V299" s="4"/>
      <c r="W299" s="4"/>
    </row>
    <row r="300" spans="2:23" ht="13">
      <c r="B300" s="2"/>
      <c r="D300" s="4"/>
      <c r="E300" s="4" t="s">
        <v>772</v>
      </c>
      <c r="F300" s="4" t="s">
        <v>758</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563</v>
      </c>
      <c r="E305" s="2" t="s">
        <v>290</v>
      </c>
      <c r="G305" s="4"/>
      <c r="H305" s="4"/>
      <c r="I305" s="4"/>
      <c r="J305" s="4"/>
      <c r="K305" s="4"/>
      <c r="L305" s="4"/>
      <c r="M305" s="4"/>
      <c r="N305" s="4"/>
      <c r="O305" s="4"/>
      <c r="P305" s="4"/>
      <c r="Q305" s="4"/>
      <c r="R305" s="4"/>
      <c r="S305" s="4"/>
      <c r="T305" s="4"/>
      <c r="U305" s="4"/>
      <c r="V305" s="4"/>
      <c r="W305" s="4"/>
    </row>
    <row r="306" spans="2:23" ht="13">
      <c r="B306" s="2"/>
      <c r="D306" s="2"/>
      <c r="E306" s="4" t="s">
        <v>967</v>
      </c>
      <c r="F306" s="4"/>
      <c r="K306" s="4"/>
      <c r="L306" s="4"/>
      <c r="M306" s="4"/>
      <c r="N306" s="4"/>
      <c r="O306" s="4"/>
      <c r="P306" s="4"/>
      <c r="Q306" s="4"/>
      <c r="R306" s="4"/>
      <c r="S306" s="4"/>
      <c r="T306" s="4"/>
      <c r="U306" s="4"/>
      <c r="V306" s="4"/>
      <c r="W306" s="4"/>
    </row>
    <row r="307" spans="2:23" ht="13">
      <c r="B307" s="2"/>
      <c r="D307" s="2"/>
      <c r="E307" s="4" t="s">
        <v>965</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622</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808</v>
      </c>
      <c r="F312" s="4"/>
      <c r="G312" s="4"/>
      <c r="I312" s="4"/>
      <c r="K312" s="4"/>
    </row>
    <row r="313" spans="2:23" ht="13">
      <c r="B313" s="2"/>
      <c r="D313" s="2"/>
      <c r="E313" s="4" t="s">
        <v>968</v>
      </c>
      <c r="F313" s="4"/>
      <c r="G313" s="4"/>
      <c r="I313" s="4"/>
      <c r="K313" s="4"/>
    </row>
    <row r="314" spans="2:23" ht="13">
      <c r="B314" s="2"/>
      <c r="D314" s="2"/>
      <c r="E314" s="4" t="s">
        <v>809</v>
      </c>
      <c r="F314" s="4"/>
      <c r="G314" s="4"/>
      <c r="I314" s="4"/>
      <c r="K314" s="4"/>
    </row>
    <row r="315" spans="2:23" ht="13">
      <c r="B315" s="2"/>
      <c r="D315" s="2"/>
      <c r="G315" s="4"/>
      <c r="I315" s="4"/>
      <c r="K315" s="4"/>
    </row>
    <row r="316" spans="2:23" ht="13">
      <c r="B316" s="2"/>
      <c r="D316" s="2" t="s">
        <v>341</v>
      </c>
      <c r="E316" s="2" t="s">
        <v>760</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582</v>
      </c>
      <c r="E319" s="170" t="s">
        <v>744</v>
      </c>
      <c r="F319" s="3"/>
      <c r="G319" s="4"/>
      <c r="H319" s="4"/>
      <c r="I319" s="4"/>
      <c r="J319" s="4"/>
      <c r="K319" s="4"/>
      <c r="L319" s="4"/>
      <c r="M319" s="4"/>
      <c r="N319" s="4"/>
      <c r="O319" s="4"/>
      <c r="P319" s="4"/>
      <c r="Q319" s="4"/>
      <c r="R319" s="4"/>
      <c r="S319" s="4"/>
    </row>
    <row r="320" spans="2:23" ht="13">
      <c r="B320" s="2"/>
      <c r="E320" t="s">
        <v>741</v>
      </c>
      <c r="I320" s="4"/>
      <c r="J320" s="4"/>
      <c r="K320" s="4"/>
      <c r="L320" s="4"/>
      <c r="M320" s="4"/>
      <c r="N320" s="4"/>
      <c r="O320" s="4"/>
      <c r="P320" s="4"/>
      <c r="Q320" s="4"/>
      <c r="R320" s="4"/>
      <c r="S320" s="4"/>
    </row>
    <row r="321" spans="1:38" ht="13">
      <c r="B321" s="2"/>
      <c r="E321" t="s">
        <v>742</v>
      </c>
      <c r="I321" s="4"/>
      <c r="J321" s="4"/>
      <c r="K321" s="4"/>
      <c r="L321" s="4"/>
      <c r="M321" s="4"/>
      <c r="N321" s="4"/>
      <c r="O321" s="4"/>
      <c r="P321" s="4"/>
      <c r="Q321" s="4"/>
      <c r="R321" s="4"/>
      <c r="S321" s="4"/>
    </row>
    <row r="322" spans="1:38" ht="13">
      <c r="B322" s="2"/>
      <c r="E322" t="s">
        <v>743</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623</v>
      </c>
      <c r="I324" s="4"/>
      <c r="J324" s="4"/>
      <c r="K324" s="4"/>
      <c r="L324" s="4"/>
      <c r="M324" s="4"/>
      <c r="N324" s="4"/>
      <c r="O324" s="4"/>
      <c r="P324" s="4"/>
      <c r="Q324" s="4"/>
      <c r="R324" s="4"/>
      <c r="S324" s="4"/>
    </row>
    <row r="325" spans="1:38" ht="13">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430</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748</v>
      </c>
      <c r="J335" s="4"/>
      <c r="K335" s="4"/>
      <c r="L335" s="4"/>
      <c r="M335" s="4"/>
      <c r="N335" s="4"/>
      <c r="O335" s="4"/>
      <c r="P335" s="4"/>
      <c r="Q335" s="4"/>
      <c r="R335" s="4"/>
      <c r="S335" s="4"/>
    </row>
    <row r="336" spans="1:38" ht="13">
      <c r="B336" s="2"/>
      <c r="E336" s="4"/>
      <c r="F336" s="4" t="s">
        <v>749</v>
      </c>
      <c r="J336" s="4"/>
      <c r="K336" s="4"/>
      <c r="L336" s="4"/>
      <c r="M336" s="4"/>
      <c r="N336" s="4"/>
      <c r="O336" s="4"/>
      <c r="P336" s="4"/>
      <c r="Q336" s="4"/>
      <c r="R336" s="4"/>
      <c r="S336" s="4"/>
    </row>
    <row r="337" spans="2:37" ht="13">
      <c r="B337" s="2"/>
      <c r="E337" s="4"/>
      <c r="F337" s="4" t="s">
        <v>750</v>
      </c>
      <c r="I337" s="4"/>
      <c r="J337" s="4"/>
      <c r="K337" s="4"/>
      <c r="L337" s="4"/>
      <c r="M337" s="4"/>
      <c r="N337" s="4"/>
      <c r="O337" s="4"/>
      <c r="P337" s="4"/>
      <c r="Q337" s="4"/>
      <c r="R337" s="4"/>
      <c r="S337" s="4"/>
    </row>
    <row r="338" spans="2:37" ht="13">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431</v>
      </c>
      <c r="G342" s="2" t="s">
        <v>1335</v>
      </c>
      <c r="I342" s="2"/>
      <c r="J342" s="4"/>
      <c r="K342" s="4"/>
      <c r="L342" s="4"/>
      <c r="M342" s="4"/>
      <c r="N342" s="4"/>
      <c r="O342" s="4"/>
      <c r="P342" s="4"/>
      <c r="Q342" s="4"/>
      <c r="R342" s="4"/>
      <c r="S342" s="4"/>
    </row>
    <row r="343" spans="2:37" ht="13.15" customHeight="1">
      <c r="B343" s="2"/>
      <c r="E343" s="1271" t="s">
        <v>1342</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ht="13">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ht="13">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ht="13">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ht="13">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ht="13">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752</v>
      </c>
      <c r="I361" s="4"/>
      <c r="J361" s="4"/>
      <c r="K361" s="4"/>
      <c r="L361" s="4"/>
      <c r="M361" s="4"/>
      <c r="N361" s="4"/>
      <c r="O361" s="4"/>
      <c r="P361" s="4"/>
      <c r="Q361" s="4"/>
      <c r="R361" s="4"/>
      <c r="S361" s="4"/>
    </row>
    <row r="362" spans="1:38" ht="13">
      <c r="B362" s="2"/>
      <c r="F362" s="4" t="s">
        <v>753</v>
      </c>
      <c r="I362" s="4"/>
      <c r="J362" s="4"/>
      <c r="K362" s="4"/>
      <c r="L362" s="4"/>
      <c r="M362" s="4"/>
      <c r="N362" s="4"/>
      <c r="O362" s="4"/>
      <c r="P362" s="4"/>
      <c r="Q362" s="4"/>
      <c r="R362" s="4"/>
      <c r="S362" s="4"/>
    </row>
    <row r="363" spans="1:38" ht="13">
      <c r="B363" s="2"/>
      <c r="F363" s="4" t="s">
        <v>883</v>
      </c>
      <c r="G363" s="4"/>
      <c r="K363" s="4"/>
      <c r="L363" s="4"/>
      <c r="M363" s="4"/>
      <c r="N363" s="4"/>
      <c r="O363" s="4"/>
      <c r="P363" s="4"/>
      <c r="Q363" s="4"/>
      <c r="R363" s="4"/>
      <c r="S363" s="4"/>
    </row>
    <row r="364" spans="1:38" ht="13">
      <c r="B364" s="2"/>
      <c r="E364" t="s">
        <v>113</v>
      </c>
      <c r="F364" s="4" t="s">
        <v>882</v>
      </c>
      <c r="I364" s="4"/>
      <c r="J364" s="4"/>
      <c r="K364" s="4"/>
      <c r="L364" s="4"/>
      <c r="M364" s="4"/>
      <c r="N364" s="4"/>
      <c r="O364" s="4"/>
      <c r="P364" s="4"/>
      <c r="Q364" s="4"/>
      <c r="R364" s="4"/>
      <c r="S364" s="4"/>
    </row>
    <row r="365" spans="1:38" ht="13">
      <c r="B365" s="2"/>
      <c r="E365" t="s">
        <v>119</v>
      </c>
      <c r="F365" s="4" t="s">
        <v>754</v>
      </c>
      <c r="I365" s="4"/>
      <c r="J365" s="4"/>
      <c r="K365" s="4"/>
      <c r="L365" s="4"/>
      <c r="M365" s="4"/>
      <c r="N365" s="4"/>
      <c r="O365" s="4"/>
      <c r="P365" s="4"/>
      <c r="Q365" s="4"/>
      <c r="R365" s="4"/>
      <c r="S365" s="4"/>
    </row>
    <row r="366" spans="1:38" ht="13">
      <c r="B366" s="2"/>
      <c r="F366" s="4" t="s">
        <v>755</v>
      </c>
      <c r="J366" s="4"/>
      <c r="K366" s="4"/>
      <c r="L366" s="4"/>
      <c r="M366" s="4"/>
      <c r="N366" s="4"/>
      <c r="O366" s="4"/>
      <c r="P366" s="4"/>
      <c r="Q366" s="4"/>
      <c r="R366" s="4"/>
      <c r="S366" s="4"/>
    </row>
    <row r="367" spans="1:38" ht="13">
      <c r="B367" s="2"/>
      <c r="E367" s="1274" t="s">
        <v>1333</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ht="13">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ht="13">
      <c r="A369"/>
      <c r="B369" s="2"/>
      <c r="C369"/>
      <c r="D369"/>
      <c r="E369" s="1272" t="s">
        <v>1366</v>
      </c>
    </row>
    <row r="370" spans="1:37" s="1275"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341</v>
      </c>
      <c r="E372" s="2" t="s">
        <v>576</v>
      </c>
      <c r="J372" s="4"/>
      <c r="K372" s="4"/>
      <c r="L372" s="4"/>
      <c r="M372" s="4"/>
      <c r="N372" s="4"/>
      <c r="O372" s="4"/>
      <c r="P372" s="4"/>
      <c r="Q372" s="4"/>
      <c r="R372" s="4"/>
      <c r="S372" s="4"/>
    </row>
    <row r="373" spans="1:37" ht="13">
      <c r="B373" s="2"/>
      <c r="E373" s="4" t="s">
        <v>756</v>
      </c>
      <c r="F373" s="4"/>
      <c r="G373" s="4"/>
      <c r="H373" s="4"/>
      <c r="I373" s="4"/>
      <c r="J373" s="4"/>
      <c r="K373" s="4"/>
      <c r="L373" s="4"/>
      <c r="M373" s="4"/>
      <c r="N373" s="4"/>
      <c r="O373" s="4"/>
      <c r="P373" s="4"/>
      <c r="Q373" s="4"/>
      <c r="R373" s="4"/>
      <c r="S373" s="4"/>
    </row>
    <row r="374" spans="1:37" ht="13">
      <c r="B374" s="2"/>
      <c r="E374" s="4" t="s">
        <v>757</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582</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522</v>
      </c>
      <c r="E381" s="2" t="s">
        <v>1367</v>
      </c>
      <c r="J381" s="3"/>
      <c r="K381" s="3"/>
      <c r="L381" s="3"/>
      <c r="M381" s="3"/>
      <c r="N381" s="3"/>
      <c r="O381" s="3"/>
      <c r="P381" s="3"/>
      <c r="Q381" s="3"/>
      <c r="R381" s="3"/>
      <c r="S381" s="3"/>
    </row>
    <row r="382" spans="1:37" ht="13">
      <c r="B382" s="2"/>
      <c r="D382" s="2"/>
      <c r="E382" s="3" t="s">
        <v>756</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R35" sqref="R35:U35"/>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568" t="s">
        <v>2411</v>
      </c>
      <c r="B1" s="2569"/>
      <c r="C1" s="2569"/>
      <c r="D1" s="2569"/>
      <c r="E1" s="2569"/>
      <c r="F1" s="2569"/>
      <c r="G1" s="2569"/>
      <c r="H1" s="2569"/>
      <c r="I1" s="2569"/>
      <c r="J1" s="2569"/>
      <c r="K1" s="2569"/>
      <c r="L1" s="2569"/>
      <c r="M1" s="2569"/>
      <c r="N1" s="2569"/>
      <c r="O1" s="2569"/>
      <c r="P1" s="2569"/>
      <c r="Q1" s="2569"/>
      <c r="R1" s="2569"/>
      <c r="S1" s="2569"/>
      <c r="T1" s="2569"/>
      <c r="U1" s="2569"/>
      <c r="V1" s="2569"/>
      <c r="W1" s="2569"/>
      <c r="X1" s="2569"/>
      <c r="Y1" s="2569"/>
      <c r="Z1" s="2569"/>
      <c r="AA1" s="2569"/>
      <c r="AB1" s="2569"/>
      <c r="AC1" s="2569"/>
      <c r="AD1" s="2569"/>
      <c r="AE1" s="2569"/>
      <c r="AF1" s="2569"/>
      <c r="AG1" s="2569"/>
      <c r="AH1" s="2569"/>
      <c r="AI1" s="2569"/>
      <c r="AJ1" s="2569"/>
      <c r="AK1" s="2569"/>
      <c r="AL1" s="2569"/>
      <c r="AM1" s="2569"/>
      <c r="AN1" s="2569"/>
      <c r="AO1" s="2569"/>
      <c r="AP1" s="2569"/>
      <c r="AQ1" s="2569"/>
      <c r="AR1" s="2569"/>
      <c r="AS1" s="2569"/>
      <c r="AT1" s="2569"/>
      <c r="AU1" s="2569"/>
      <c r="AV1" s="2569"/>
      <c r="AW1" s="2569"/>
      <c r="AX1" s="2569"/>
      <c r="AY1" s="2569"/>
      <c r="AZ1" s="2569"/>
      <c r="BA1" s="2569"/>
      <c r="BB1" s="2569"/>
      <c r="BC1" s="2569"/>
      <c r="BD1" s="2569"/>
      <c r="BE1" s="2570"/>
    </row>
    <row r="2" spans="1:65" ht="15.75" customHeight="1">
      <c r="A2" s="2571" t="s">
        <v>2458</v>
      </c>
      <c r="B2" s="2572"/>
      <c r="C2" s="2572"/>
      <c r="D2" s="2572"/>
      <c r="E2" s="2572"/>
      <c r="F2" s="2572"/>
      <c r="G2" s="2572"/>
      <c r="H2" s="2572"/>
      <c r="I2" s="2572"/>
      <c r="J2" s="2572"/>
      <c r="K2" s="2572"/>
      <c r="L2" s="2572"/>
      <c r="M2" s="2572"/>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4" t="str">
        <f>IF(Application!H18="","",Application!H18)</f>
        <v>North Housing PSH II</v>
      </c>
      <c r="M4" s="2575"/>
      <c r="N4" s="2575"/>
      <c r="O4" s="2575"/>
      <c r="P4" s="2575"/>
      <c r="Q4" s="2575"/>
      <c r="R4" s="2575"/>
      <c r="S4" s="2575"/>
      <c r="T4" s="2575"/>
      <c r="U4" s="2575"/>
      <c r="V4" s="2575"/>
      <c r="W4" s="2575"/>
      <c r="X4" s="2575"/>
      <c r="Y4" s="2575"/>
      <c r="Z4" s="2575"/>
      <c r="AA4" s="2575"/>
      <c r="AB4" s="2575"/>
      <c r="AC4" s="2576"/>
      <c r="AD4" s="1206"/>
      <c r="AE4" s="1206"/>
      <c r="AF4" s="2221" t="s">
        <v>2459</v>
      </c>
      <c r="AG4" s="2221"/>
      <c r="AH4" s="2221"/>
      <c r="AI4" s="2221"/>
      <c r="AJ4" s="2221"/>
      <c r="AK4" s="2221"/>
      <c r="AL4" s="2221"/>
      <c r="AM4" s="2221"/>
      <c r="AN4" s="2221"/>
      <c r="AO4" s="2221"/>
      <c r="AP4" s="2222"/>
      <c r="AQ4" s="2223"/>
      <c r="AR4" s="2223"/>
      <c r="AS4" s="2223"/>
      <c r="AT4" s="2223"/>
      <c r="AU4" s="2223"/>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1" t="s">
        <v>2460</v>
      </c>
      <c r="AG5" s="2221"/>
      <c r="AH5" s="2221"/>
      <c r="AI5" s="2221"/>
      <c r="AJ5" s="2221"/>
      <c r="AK5" s="2221"/>
      <c r="AL5" s="2221"/>
      <c r="AM5" s="2221"/>
      <c r="AN5" s="2221"/>
      <c r="AO5" s="2221"/>
      <c r="AP5" s="2222"/>
      <c r="AQ5" s="2223"/>
      <c r="AR5" s="2223"/>
      <c r="AS5" s="2223"/>
      <c r="AT5" s="2223"/>
      <c r="AU5" s="2223"/>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4" t="str">
        <f>IF(Application!H16="","",Application!H16)</f>
        <v xml:space="preserve">Island City Development </v>
      </c>
      <c r="M6" s="2575"/>
      <c r="N6" s="2575"/>
      <c r="O6" s="2575"/>
      <c r="P6" s="2575"/>
      <c r="Q6" s="2575"/>
      <c r="R6" s="2575"/>
      <c r="S6" s="2575"/>
      <c r="T6" s="2575"/>
      <c r="U6" s="2575"/>
      <c r="V6" s="2575"/>
      <c r="W6" s="2575"/>
      <c r="X6" s="2575"/>
      <c r="Y6" s="2575"/>
      <c r="Z6" s="2575"/>
      <c r="AA6" s="2575"/>
      <c r="AB6" s="2575"/>
      <c r="AC6" s="2576"/>
      <c r="AD6" s="1206"/>
      <c r="AE6" s="1206"/>
      <c r="AF6" s="2577" t="s">
        <v>2461</v>
      </c>
      <c r="AG6" s="2577"/>
      <c r="AH6" s="2577"/>
      <c r="AI6" s="2577"/>
      <c r="AJ6" s="2577"/>
      <c r="AK6" s="2577"/>
      <c r="AL6" s="2577"/>
      <c r="AM6" s="2577"/>
      <c r="AN6" s="2577"/>
      <c r="AO6" s="2577"/>
      <c r="AP6" s="2567">
        <v>0</v>
      </c>
      <c r="AQ6" s="2567"/>
      <c r="AR6" s="2567"/>
      <c r="AS6" s="2567"/>
      <c r="AT6" s="2567"/>
      <c r="AU6" s="2567"/>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7" t="s">
        <v>2462</v>
      </c>
      <c r="AG7" s="2577"/>
      <c r="AH7" s="2577"/>
      <c r="AI7" s="2577"/>
      <c r="AJ7" s="2577"/>
      <c r="AK7" s="2577"/>
      <c r="AL7" s="2577"/>
      <c r="AM7" s="2577"/>
      <c r="AN7" s="2577"/>
      <c r="AO7" s="2577"/>
      <c r="AP7" s="2567">
        <v>0</v>
      </c>
      <c r="AQ7" s="2567"/>
      <c r="AR7" s="2567"/>
      <c r="AS7" s="2567"/>
      <c r="AT7" s="2567"/>
      <c r="AU7" s="2567"/>
      <c r="AV7" s="1206"/>
      <c r="AW7" s="1206"/>
      <c r="AX7" s="1206"/>
      <c r="AY7" s="1206"/>
      <c r="AZ7" s="1206"/>
      <c r="BA7" s="1206"/>
      <c r="BB7" s="1206"/>
      <c r="BC7" s="1206"/>
      <c r="BD7" s="1206"/>
      <c r="BE7" s="1216"/>
    </row>
    <row r="8" spans="1:65" ht="1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8" t="str">
        <f>Application!T197</f>
        <v>No</v>
      </c>
      <c r="AC8" s="2579"/>
      <c r="AD8" s="2580"/>
      <c r="AE8" s="1206"/>
      <c r="AF8" s="2577" t="s">
        <v>2463</v>
      </c>
      <c r="AG8" s="2577"/>
      <c r="AH8" s="2577"/>
      <c r="AI8" s="2577"/>
      <c r="AJ8" s="2577"/>
      <c r="AK8" s="2577"/>
      <c r="AL8" s="2577"/>
      <c r="AM8" s="2577"/>
      <c r="AN8" s="2577"/>
      <c r="AO8" s="2577"/>
      <c r="AP8" s="2567" t="s">
        <v>2415</v>
      </c>
      <c r="AQ8" s="2567"/>
      <c r="AR8" s="2567"/>
      <c r="AS8" s="2567"/>
      <c r="AT8" s="2567"/>
      <c r="AU8" s="2567"/>
      <c r="AV8" s="1206"/>
      <c r="AW8" s="1206"/>
      <c r="AX8" s="1206"/>
      <c r="AY8" s="1206"/>
      <c r="AZ8" s="1206"/>
      <c r="BA8" s="1206"/>
      <c r="BB8" s="1206"/>
      <c r="BC8" s="1206"/>
      <c r="BD8" s="1206"/>
      <c r="BE8" s="1216"/>
      <c r="BM8" s="1197" t="s">
        <v>2291</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1" t="s">
        <v>2621</v>
      </c>
      <c r="AG9" s="2221"/>
      <c r="AH9" s="2221"/>
      <c r="AI9" s="2221"/>
      <c r="AJ9" s="2221"/>
      <c r="AK9" s="2221"/>
      <c r="AL9" s="2221"/>
      <c r="AM9" s="2221"/>
      <c r="AN9" s="2221"/>
      <c r="AO9" s="2221"/>
      <c r="AP9" s="2222"/>
      <c r="AQ9" s="2223"/>
      <c r="AR9" s="2223"/>
      <c r="AS9" s="2223"/>
      <c r="AT9" s="2223"/>
      <c r="AU9" s="2223"/>
      <c r="AV9" s="1206"/>
      <c r="AW9" s="1206"/>
      <c r="AX9" s="1206"/>
      <c r="AY9" s="1206"/>
      <c r="AZ9" s="1206"/>
      <c r="BA9" s="1206"/>
      <c r="BB9" s="1206"/>
      <c r="BC9" s="1206"/>
      <c r="BD9" s="1206"/>
      <c r="BE9" s="1216"/>
      <c r="BM9" s="1197" t="s">
        <v>2464</v>
      </c>
    </row>
    <row r="10" spans="1:65" ht="14.5">
      <c r="A10" s="1212"/>
      <c r="B10" s="1214" t="s">
        <v>1790</v>
      </c>
      <c r="C10" s="1214"/>
      <c r="D10" s="1214"/>
      <c r="E10" s="1214"/>
      <c r="F10" s="1214"/>
      <c r="G10" s="1214"/>
      <c r="H10" s="1214"/>
      <c r="I10" s="1214"/>
      <c r="J10" s="1214"/>
      <c r="K10" s="1214"/>
      <c r="L10" s="1214"/>
      <c r="M10" s="1206"/>
      <c r="N10" s="2549">
        <f>Application!AO627</f>
        <v>1207800</v>
      </c>
      <c r="O10" s="2549"/>
      <c r="P10" s="2549"/>
      <c r="Q10" s="2549"/>
      <c r="R10" s="2549"/>
      <c r="S10" s="2549"/>
      <c r="T10" s="2549"/>
      <c r="U10" s="1206"/>
      <c r="V10" s="1206"/>
      <c r="W10" s="1206"/>
      <c r="X10" s="1255"/>
      <c r="Y10" s="1255"/>
      <c r="Z10" s="1255"/>
      <c r="AA10" s="1255"/>
      <c r="AB10" s="1255"/>
      <c r="AC10" s="1255"/>
      <c r="AD10" s="1255"/>
      <c r="AE10" s="1255"/>
      <c r="AF10" s="2221" t="s">
        <v>2620</v>
      </c>
      <c r="AG10" s="2221"/>
      <c r="AH10" s="2221"/>
      <c r="AI10" s="2221"/>
      <c r="AJ10" s="2221"/>
      <c r="AK10" s="2221"/>
      <c r="AL10" s="2221"/>
      <c r="AM10" s="2221"/>
      <c r="AN10" s="2221"/>
      <c r="AO10" s="2221"/>
      <c r="AP10" s="2222"/>
      <c r="AQ10" s="2223"/>
      <c r="AR10" s="2223"/>
      <c r="AS10" s="2223"/>
      <c r="AT10" s="2223"/>
      <c r="AU10" s="2223"/>
      <c r="AV10" s="1255"/>
      <c r="AW10" s="1255"/>
      <c r="AX10" s="1206"/>
      <c r="AY10" s="1206"/>
      <c r="AZ10" s="1206"/>
      <c r="BA10" s="1206"/>
      <c r="BB10" s="1206"/>
      <c r="BC10" s="1206"/>
      <c r="BD10" s="1206"/>
      <c r="BE10" s="1216"/>
      <c r="BM10" s="1197" t="s">
        <v>2466</v>
      </c>
    </row>
    <row r="11" spans="1:65" ht="14.5">
      <c r="A11" s="1212"/>
      <c r="B11" s="1214" t="s">
        <v>1791</v>
      </c>
      <c r="C11" s="1214"/>
      <c r="D11" s="1214"/>
      <c r="E11" s="1214"/>
      <c r="F11" s="1214"/>
      <c r="G11" s="1214"/>
      <c r="H11" s="1214"/>
      <c r="I11" s="1214"/>
      <c r="J11" s="1214"/>
      <c r="K11" s="1214"/>
      <c r="L11" s="1214"/>
      <c r="M11" s="1206"/>
      <c r="N11" s="2549">
        <f>Application!AA933</f>
        <v>0</v>
      </c>
      <c r="O11" s="2549"/>
      <c r="P11" s="2549"/>
      <c r="Q11" s="2549"/>
      <c r="R11" s="2549"/>
      <c r="S11" s="2549"/>
      <c r="T11" s="2549"/>
      <c r="U11" s="1206"/>
      <c r="V11" s="1206"/>
      <c r="W11" s="1206"/>
      <c r="X11" s="1255"/>
      <c r="Y11" s="1255"/>
      <c r="Z11" s="1255"/>
      <c r="AA11" s="1255"/>
      <c r="AB11" s="1255"/>
      <c r="AC11" s="1255"/>
      <c r="AD11" s="1255"/>
      <c r="AE11" s="1255"/>
      <c r="AF11" s="2221" t="s">
        <v>2619</v>
      </c>
      <c r="AG11" s="2221"/>
      <c r="AH11" s="2221"/>
      <c r="AI11" s="2221"/>
      <c r="AJ11" s="2221"/>
      <c r="AK11" s="2221"/>
      <c r="AL11" s="2221"/>
      <c r="AM11" s="2221"/>
      <c r="AN11" s="2221"/>
      <c r="AO11" s="2221"/>
      <c r="AP11" s="2222"/>
      <c r="AQ11" s="2223"/>
      <c r="AR11" s="2223"/>
      <c r="AS11" s="2223"/>
      <c r="AT11" s="2223"/>
      <c r="AU11" s="2223"/>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556" t="s">
        <v>1792</v>
      </c>
      <c r="C13" s="2557"/>
      <c r="D13" s="2557"/>
      <c r="E13" s="2557"/>
      <c r="F13" s="2557"/>
      <c r="G13" s="2557"/>
      <c r="H13" s="2557"/>
      <c r="I13" s="2557"/>
      <c r="J13" s="2557"/>
      <c r="K13" s="2557"/>
      <c r="L13" s="2557"/>
      <c r="M13" s="2557"/>
      <c r="N13" s="2557"/>
      <c r="O13" s="2557"/>
      <c r="P13" s="2558"/>
      <c r="Q13" s="2559" t="s">
        <v>553</v>
      </c>
      <c r="R13" s="2560"/>
      <c r="S13" s="2560"/>
      <c r="T13" s="2561"/>
      <c r="U13" s="1255"/>
      <c r="V13" s="1206"/>
      <c r="W13" s="1206"/>
      <c r="X13" s="1206"/>
      <c r="Y13" s="1206"/>
      <c r="Z13" s="1206"/>
      <c r="AA13" s="2550" t="s">
        <v>2465</v>
      </c>
      <c r="AB13" s="2550"/>
      <c r="AC13" s="2550"/>
      <c r="AD13" s="2550"/>
      <c r="AE13" s="2550"/>
      <c r="AF13" s="2550"/>
      <c r="AG13" s="2550"/>
      <c r="AH13" s="2550"/>
      <c r="AI13" s="2550"/>
      <c r="AJ13" s="2550"/>
      <c r="AK13" s="2550"/>
      <c r="AL13" s="2550"/>
      <c r="AM13" s="2550"/>
      <c r="AN13" s="2550"/>
      <c r="AO13" s="2551">
        <f>Application!W473</f>
        <v>10</v>
      </c>
      <c r="AP13" s="2552"/>
      <c r="AQ13" s="2552"/>
      <c r="AR13" s="2552"/>
      <c r="AS13" s="2552"/>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3" t="s">
        <v>2467</v>
      </c>
      <c r="AB14" s="2553"/>
      <c r="AC14" s="2553"/>
      <c r="AD14" s="2553"/>
      <c r="AE14" s="2553"/>
      <c r="AF14" s="2553"/>
      <c r="AG14" s="2553"/>
      <c r="AH14" s="2553"/>
      <c r="AI14" s="2553"/>
      <c r="AJ14" s="2553"/>
      <c r="AK14" s="2553"/>
      <c r="AL14" s="2553"/>
      <c r="AM14" s="2553"/>
      <c r="AN14" s="2553"/>
      <c r="AO14" s="2554" t="s">
        <v>599</v>
      </c>
      <c r="AP14" s="2555"/>
      <c r="AQ14" s="2555"/>
      <c r="AR14" s="2555"/>
      <c r="AS14" s="2555"/>
      <c r="AT14" s="1255"/>
      <c r="AU14" s="1255"/>
      <c r="AV14" s="1255"/>
      <c r="AW14" s="1255"/>
      <c r="AX14" s="1255"/>
      <c r="AY14" s="1255"/>
      <c r="AZ14" s="1255"/>
      <c r="BA14" s="1255"/>
      <c r="BB14" s="1255"/>
      <c r="BC14" s="1255"/>
      <c r="BD14" s="1255"/>
      <c r="BE14" s="1202"/>
    </row>
    <row r="15" spans="1:65" ht="15" thickBot="1">
      <c r="A15" s="1206"/>
      <c r="B15" s="2562" t="s">
        <v>1793</v>
      </c>
      <c r="C15" s="2563"/>
      <c r="D15" s="2563"/>
      <c r="E15" s="2563"/>
      <c r="F15" s="2563"/>
      <c r="G15" s="2563"/>
      <c r="H15" s="2563"/>
      <c r="I15" s="2563"/>
      <c r="J15" s="2563"/>
      <c r="K15" s="2563"/>
      <c r="L15" s="2563"/>
      <c r="M15" s="2563"/>
      <c r="N15" s="2563"/>
      <c r="O15" s="2563"/>
      <c r="P15" s="2563"/>
      <c r="Q15" s="2563"/>
      <c r="R15" s="2564"/>
      <c r="S15" s="2565" t="str">
        <f>IF(Application!AB214="","",Application!AB214)</f>
        <v/>
      </c>
      <c r="T15" s="2565"/>
      <c r="U15" s="2565"/>
      <c r="V15" s="2565"/>
      <c r="W15" s="2566"/>
      <c r="X15" s="1255"/>
      <c r="Y15" s="1206"/>
      <c r="Z15" s="1206"/>
      <c r="AA15" s="2550" t="s">
        <v>2468</v>
      </c>
      <c r="AB15" s="2550"/>
      <c r="AC15" s="2550"/>
      <c r="AD15" s="2550"/>
      <c r="AE15" s="2550"/>
      <c r="AF15" s="2550"/>
      <c r="AG15" s="2550"/>
      <c r="AH15" s="2550"/>
      <c r="AI15" s="2550"/>
      <c r="AJ15" s="2550"/>
      <c r="AK15" s="2550"/>
      <c r="AL15" s="2550"/>
      <c r="AM15" s="2550"/>
      <c r="AN15" s="2550"/>
      <c r="AO15" s="2554">
        <v>45531</v>
      </c>
      <c r="AP15" s="2555"/>
      <c r="AQ15" s="2555"/>
      <c r="AR15" s="2555"/>
      <c r="AS15" s="2555"/>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30" t="s">
        <v>1794</v>
      </c>
      <c r="C17" s="2431"/>
      <c r="D17" s="2431"/>
      <c r="E17" s="2431"/>
      <c r="F17" s="2431"/>
      <c r="G17" s="2431"/>
      <c r="H17" s="2431"/>
      <c r="I17" s="2431"/>
      <c r="J17" s="2431"/>
      <c r="K17" s="2431"/>
      <c r="L17" s="2431"/>
      <c r="M17" s="2431"/>
      <c r="N17" s="2431"/>
      <c r="O17" s="2431"/>
      <c r="P17" s="2431"/>
      <c r="Q17" s="2431"/>
      <c r="R17" s="2431"/>
      <c r="S17" s="2431"/>
      <c r="T17" s="2431"/>
      <c r="U17" s="2431"/>
      <c r="V17" s="2431"/>
      <c r="W17" s="2431"/>
      <c r="X17" s="2431"/>
      <c r="Y17" s="2431"/>
      <c r="Z17" s="2431"/>
      <c r="AA17" s="2431"/>
      <c r="AB17" s="2431"/>
      <c r="AC17" s="2431"/>
      <c r="AD17" s="2431"/>
      <c r="AE17" s="2431"/>
      <c r="AF17" s="2431"/>
      <c r="AG17" s="2431"/>
      <c r="AH17" s="2431"/>
      <c r="AI17" s="2431"/>
      <c r="AJ17" s="2431"/>
      <c r="AK17" s="2431"/>
      <c r="AL17" s="2431"/>
      <c r="AM17" s="2431"/>
      <c r="AN17" s="2431"/>
      <c r="AO17" s="2431"/>
      <c r="AP17" s="2431"/>
      <c r="AQ17" s="2431"/>
      <c r="AR17" s="2431"/>
      <c r="AS17" s="2431"/>
      <c r="AT17" s="2431"/>
      <c r="AU17" s="2431"/>
      <c r="AV17" s="2431"/>
      <c r="AW17" s="2431"/>
      <c r="AX17" s="2431"/>
      <c r="AY17" s="2432"/>
      <c r="AZ17" s="1206"/>
      <c r="BA17" s="1206"/>
      <c r="BB17" s="1206"/>
      <c r="BC17" s="1206"/>
      <c r="BD17" s="1206"/>
      <c r="BE17" s="1202"/>
      <c r="BF17" s="1198"/>
    </row>
    <row r="18" spans="1:58" ht="15.75" customHeight="1">
      <c r="A18" s="1206"/>
      <c r="B18" s="2542" t="s">
        <v>1795</v>
      </c>
      <c r="C18" s="2543"/>
      <c r="D18" s="2543"/>
      <c r="E18" s="2543"/>
      <c r="F18" s="2543"/>
      <c r="G18" s="2543"/>
      <c r="H18" s="2543"/>
      <c r="I18" s="2544"/>
      <c r="J18" s="2545" t="s">
        <v>1696</v>
      </c>
      <c r="K18" s="2546"/>
      <c r="L18" s="2546"/>
      <c r="M18" s="2546"/>
      <c r="N18" s="2546"/>
      <c r="O18" s="2547"/>
      <c r="P18" s="2545" t="s">
        <v>325</v>
      </c>
      <c r="Q18" s="2546"/>
      <c r="R18" s="2546"/>
      <c r="S18" s="2546"/>
      <c r="T18" s="2546"/>
      <c r="U18" s="2547"/>
      <c r="V18" s="2545" t="s">
        <v>326</v>
      </c>
      <c r="W18" s="2546"/>
      <c r="X18" s="2546"/>
      <c r="Y18" s="2546"/>
      <c r="Z18" s="2546"/>
      <c r="AA18" s="2547"/>
      <c r="AB18" s="2545" t="s">
        <v>163</v>
      </c>
      <c r="AC18" s="2546"/>
      <c r="AD18" s="2546"/>
      <c r="AE18" s="2546"/>
      <c r="AF18" s="2546"/>
      <c r="AG18" s="2547"/>
      <c r="AH18" s="2545" t="s">
        <v>164</v>
      </c>
      <c r="AI18" s="2546"/>
      <c r="AJ18" s="2546"/>
      <c r="AK18" s="2546"/>
      <c r="AL18" s="2546"/>
      <c r="AM18" s="2547"/>
      <c r="AN18" s="2545" t="s">
        <v>165</v>
      </c>
      <c r="AO18" s="2546"/>
      <c r="AP18" s="2546"/>
      <c r="AQ18" s="2546"/>
      <c r="AR18" s="2546"/>
      <c r="AS18" s="2547"/>
      <c r="AT18" s="2545" t="s">
        <v>1796</v>
      </c>
      <c r="AU18" s="2546"/>
      <c r="AV18" s="2546"/>
      <c r="AW18" s="2546"/>
      <c r="AX18" s="2546"/>
      <c r="AY18" s="2548"/>
      <c r="AZ18" s="1206"/>
      <c r="BA18" s="1206"/>
      <c r="BB18" s="1206"/>
      <c r="BC18" s="1206"/>
      <c r="BD18" s="1206"/>
      <c r="BE18" s="1202"/>
    </row>
    <row r="19" spans="1:58" ht="14.5">
      <c r="A19" s="1206"/>
      <c r="B19" s="2519">
        <v>0.3</v>
      </c>
      <c r="C19" s="2520"/>
      <c r="D19" s="2520"/>
      <c r="E19" s="2520"/>
      <c r="F19" s="2520"/>
      <c r="G19" s="2520"/>
      <c r="H19" s="2520"/>
      <c r="I19" s="2521"/>
      <c r="J19" s="2522">
        <f t="shared" ref="J19:J28" si="0">SUM(P19:AS19)</f>
        <v>46</v>
      </c>
      <c r="K19" s="2523"/>
      <c r="L19" s="2523"/>
      <c r="M19" s="2523"/>
      <c r="N19" s="2523"/>
      <c r="O19" s="2524"/>
      <c r="P19" s="2522" cm="1">
        <f t="array" ref="P19">SUMPRODUCT((Application!$B$718:$B$752 = 'CalHFA Addendum'!P$18)*(Application!$AC$718:$AC$752 = 'CalHFA Addendum'!$B19),Application!$G$718:$G$752)</f>
        <v>25</v>
      </c>
      <c r="Q19" s="2523"/>
      <c r="R19" s="2523"/>
      <c r="S19" s="2523"/>
      <c r="T19" s="2523"/>
      <c r="U19" s="2524"/>
      <c r="V19" s="2522" cm="1">
        <f t="array" ref="V19">SUMPRODUCT((Application!$B$714:$B$738 = 'CalHFA Addendum'!V$18)*(Application!$AC$714:$AC$738 = 'CalHFA Addendum'!$B19),Application!$G$714:$G$738)</f>
        <v>21</v>
      </c>
      <c r="W19" s="2523"/>
      <c r="X19" s="2523"/>
      <c r="Y19" s="2523"/>
      <c r="Z19" s="2523"/>
      <c r="AA19" s="2524"/>
      <c r="AB19" s="2522" cm="1">
        <f t="array" ref="AB19">SUMPRODUCT((Application!$B$714:$B$738 = 'CalHFA Addendum'!AB$18)*(Application!$AC$714:$AC$738 = 'CalHFA Addendum'!$B19),Application!$G$714:$G$738)</f>
        <v>0</v>
      </c>
      <c r="AC19" s="2523"/>
      <c r="AD19" s="2523"/>
      <c r="AE19" s="2523"/>
      <c r="AF19" s="2523"/>
      <c r="AG19" s="2524"/>
      <c r="AH19" s="2522" cm="1">
        <f t="array" ref="AH19">SUMPRODUCT((Application!$B$714:$B$738 = 'CalHFA Addendum'!AH$18)*(Application!$AC$714:$AC$738 = 'CalHFA Addendum'!$B19),Application!$G$714:$G$738)</f>
        <v>0</v>
      </c>
      <c r="AI19" s="2523"/>
      <c r="AJ19" s="2523"/>
      <c r="AK19" s="2523"/>
      <c r="AL19" s="2523"/>
      <c r="AM19" s="2524"/>
      <c r="AN19" s="2522" cm="1">
        <f t="array" ref="AN19">SUMPRODUCT((Application!$B$714:$B$738 = 'CalHFA Addendum'!AN$18)*(Application!$AC$714:$AC$738 = 'CalHFA Addendum'!$B19),Application!$G$714:$G$738)</f>
        <v>0</v>
      </c>
      <c r="AO19" s="2523"/>
      <c r="AP19" s="2523"/>
      <c r="AQ19" s="2523"/>
      <c r="AR19" s="2523"/>
      <c r="AS19" s="2524"/>
      <c r="AT19" s="2525">
        <f t="shared" ref="AT19:AT29" si="1">J19/$J$29</f>
        <v>1</v>
      </c>
      <c r="AU19" s="2526"/>
      <c r="AV19" s="2526"/>
      <c r="AW19" s="2526"/>
      <c r="AX19" s="2526"/>
      <c r="AY19" s="2527"/>
      <c r="AZ19" s="1217"/>
      <c r="BA19" s="1206"/>
      <c r="BB19" s="1206"/>
      <c r="BC19" s="1206"/>
      <c r="BD19" s="1206"/>
      <c r="BE19" s="1202"/>
    </row>
    <row r="20" spans="1:58" ht="15" customHeight="1">
      <c r="A20" s="1206"/>
      <c r="B20" s="2519">
        <v>0.4</v>
      </c>
      <c r="C20" s="2520"/>
      <c r="D20" s="2520"/>
      <c r="E20" s="2520"/>
      <c r="F20" s="2520"/>
      <c r="G20" s="2520"/>
      <c r="H20" s="2520"/>
      <c r="I20" s="2521"/>
      <c r="J20" s="2522">
        <f t="shared" si="0"/>
        <v>0</v>
      </c>
      <c r="K20" s="2523"/>
      <c r="L20" s="2523"/>
      <c r="M20" s="2523"/>
      <c r="N20" s="2523"/>
      <c r="O20" s="2524"/>
      <c r="P20" s="2522" cm="1">
        <f t="array" ref="P20">SUMPRODUCT((Application!$B$718:$B$752 = 'CalHFA Addendum'!P$18)*(Application!$AC$718:$AC$752 = 'CalHFA Addendum'!$B20),Application!$G$718:$G$752)</f>
        <v>0</v>
      </c>
      <c r="Q20" s="2523"/>
      <c r="R20" s="2523"/>
      <c r="S20" s="2523"/>
      <c r="T20" s="2523"/>
      <c r="U20" s="2524"/>
      <c r="V20" s="2522" cm="1">
        <f t="array" ref="V20">SUMPRODUCT((Application!$B$714:$B$738 = 'CalHFA Addendum'!V$18)*(Application!$AC$714:$AC$738 = 'CalHFA Addendum'!$B20),Application!$G$714:$G$738)</f>
        <v>0</v>
      </c>
      <c r="W20" s="2523"/>
      <c r="X20" s="2523"/>
      <c r="Y20" s="2523"/>
      <c r="Z20" s="2523"/>
      <c r="AA20" s="2524"/>
      <c r="AB20" s="2522" cm="1">
        <f t="array" ref="AB20">SUMPRODUCT((Application!$B$714:$B$738 = 'CalHFA Addendum'!AB$18)*(Application!$AC$714:$AC$738 = 'CalHFA Addendum'!$B20),Application!$G$714:$G$738)</f>
        <v>0</v>
      </c>
      <c r="AC20" s="2523"/>
      <c r="AD20" s="2523"/>
      <c r="AE20" s="2523"/>
      <c r="AF20" s="2523"/>
      <c r="AG20" s="2524"/>
      <c r="AH20" s="2522" cm="1">
        <f t="array" ref="AH20">SUMPRODUCT((Application!$B$714:$B$738 = 'CalHFA Addendum'!AH$18)*(Application!$AC$714:$AC$738 = 'CalHFA Addendum'!$B20),Application!$G$714:$G$738)</f>
        <v>0</v>
      </c>
      <c r="AI20" s="2523"/>
      <c r="AJ20" s="2523"/>
      <c r="AK20" s="2523"/>
      <c r="AL20" s="2523"/>
      <c r="AM20" s="2524"/>
      <c r="AN20" s="2522" cm="1">
        <f t="array" ref="AN20">SUMPRODUCT((Application!$B$714:$B$738 = 'CalHFA Addendum'!AN$18)*(Application!$AC$714:$AC$738 = 'CalHFA Addendum'!$B20),Application!$G$714:$G$738)</f>
        <v>0</v>
      </c>
      <c r="AO20" s="2523"/>
      <c r="AP20" s="2523"/>
      <c r="AQ20" s="2523"/>
      <c r="AR20" s="2523"/>
      <c r="AS20" s="2524"/>
      <c r="AT20" s="2525">
        <f t="shared" si="1"/>
        <v>0</v>
      </c>
      <c r="AU20" s="2526"/>
      <c r="AV20" s="2526"/>
      <c r="AW20" s="2526"/>
      <c r="AX20" s="2526"/>
      <c r="AY20" s="2527"/>
      <c r="AZ20" s="1206"/>
      <c r="BA20" s="1206"/>
      <c r="BB20" s="1206"/>
      <c r="BC20" s="1206"/>
      <c r="BD20" s="1206"/>
      <c r="BE20" s="1202"/>
    </row>
    <row r="21" spans="1:58" ht="14.5">
      <c r="A21" s="1206"/>
      <c r="B21" s="2519">
        <v>0.5</v>
      </c>
      <c r="C21" s="2520"/>
      <c r="D21" s="2520"/>
      <c r="E21" s="2520"/>
      <c r="F21" s="2520"/>
      <c r="G21" s="2520"/>
      <c r="H21" s="2520"/>
      <c r="I21" s="2521"/>
      <c r="J21" s="2522">
        <f t="shared" si="0"/>
        <v>0</v>
      </c>
      <c r="K21" s="2523"/>
      <c r="L21" s="2523"/>
      <c r="M21" s="2523"/>
      <c r="N21" s="2523"/>
      <c r="O21" s="2524"/>
      <c r="P21" s="2522" cm="1">
        <f t="array" ref="P21">SUMPRODUCT((Application!$B$714:$B$738 = 'CalHFA Addendum'!P$18)*(Application!$AC$714:$AC$738 = 'CalHFA Addendum'!$B21),Application!$G$714:$G$738)</f>
        <v>0</v>
      </c>
      <c r="Q21" s="2523"/>
      <c r="R21" s="2523"/>
      <c r="S21" s="2523"/>
      <c r="T21" s="2523"/>
      <c r="U21" s="2524"/>
      <c r="V21" s="2522" cm="1">
        <f t="array" ref="V21">SUMPRODUCT((Application!$B$714:$B$738 = 'CalHFA Addendum'!V$18)*(Application!$AC$714:$AC$738 = 'CalHFA Addendum'!$B21),Application!$G$714:$G$738)</f>
        <v>0</v>
      </c>
      <c r="W21" s="2523"/>
      <c r="X21" s="2523"/>
      <c r="Y21" s="2523"/>
      <c r="Z21" s="2523"/>
      <c r="AA21" s="2524"/>
      <c r="AB21" s="2522" cm="1">
        <f t="array" ref="AB21">SUMPRODUCT((Application!$B$714:$B$738 = 'CalHFA Addendum'!AB$18)*(Application!$AC$714:$AC$738 = 'CalHFA Addendum'!$B21),Application!$G$714:$G$738)</f>
        <v>0</v>
      </c>
      <c r="AC21" s="2523"/>
      <c r="AD21" s="2523"/>
      <c r="AE21" s="2523"/>
      <c r="AF21" s="2523"/>
      <c r="AG21" s="2524"/>
      <c r="AH21" s="2522" cm="1">
        <f t="array" ref="AH21">SUMPRODUCT((Application!$B$714:$B$738 = 'CalHFA Addendum'!AH$18)*(Application!$AC$714:$AC$738 = 'CalHFA Addendum'!$B21),Application!$G$714:$G$738)</f>
        <v>0</v>
      </c>
      <c r="AI21" s="2523"/>
      <c r="AJ21" s="2523"/>
      <c r="AK21" s="2523"/>
      <c r="AL21" s="2523"/>
      <c r="AM21" s="2524"/>
      <c r="AN21" s="2522" cm="1">
        <f t="array" ref="AN21">SUMPRODUCT((Application!$B$714:$B$738 = 'CalHFA Addendum'!AN$18)*(Application!$AC$714:$AC$738 = 'CalHFA Addendum'!$B21),Application!$G$714:$G$738)</f>
        <v>0</v>
      </c>
      <c r="AO21" s="2523"/>
      <c r="AP21" s="2523"/>
      <c r="AQ21" s="2523"/>
      <c r="AR21" s="2523"/>
      <c r="AS21" s="2524"/>
      <c r="AT21" s="2525">
        <f t="shared" si="1"/>
        <v>0</v>
      </c>
      <c r="AU21" s="2526"/>
      <c r="AV21" s="2526"/>
      <c r="AW21" s="2526"/>
      <c r="AX21" s="2526"/>
      <c r="AY21" s="2527"/>
      <c r="AZ21" s="1206"/>
      <c r="BA21" s="1206"/>
      <c r="BB21" s="1206"/>
      <c r="BC21" s="1206"/>
      <c r="BD21" s="1206"/>
      <c r="BE21" s="1202"/>
    </row>
    <row r="22" spans="1:58" ht="14.5">
      <c r="A22" s="1206"/>
      <c r="B22" s="2519">
        <v>0.6</v>
      </c>
      <c r="C22" s="2520"/>
      <c r="D22" s="2520"/>
      <c r="E22" s="2520"/>
      <c r="F22" s="2520"/>
      <c r="G22" s="2520"/>
      <c r="H22" s="2520"/>
      <c r="I22" s="2521"/>
      <c r="J22" s="2522">
        <f t="shared" si="0"/>
        <v>0</v>
      </c>
      <c r="K22" s="2523"/>
      <c r="L22" s="2523"/>
      <c r="M22" s="2523"/>
      <c r="N22" s="2523"/>
      <c r="O22" s="2524"/>
      <c r="P22" s="2522" cm="1">
        <f t="array" ref="P22">SUMPRODUCT((Application!$B$714:$B$738 = 'CalHFA Addendum'!P$18)*(Application!$AC$714:$AC$738 = 'CalHFA Addendum'!$B22),Application!$G$714:$G$738)</f>
        <v>0</v>
      </c>
      <c r="Q22" s="2523"/>
      <c r="R22" s="2523"/>
      <c r="S22" s="2523"/>
      <c r="T22" s="2523"/>
      <c r="U22" s="2524"/>
      <c r="V22" s="2522" cm="1">
        <f t="array" ref="V22">SUMPRODUCT((Application!$B$714:$B$738 = 'CalHFA Addendum'!V$18)*(Application!$AC$714:$AC$738 = 'CalHFA Addendum'!$B22),Application!$G$714:$G$738)</f>
        <v>0</v>
      </c>
      <c r="W22" s="2523"/>
      <c r="X22" s="2523"/>
      <c r="Y22" s="2523"/>
      <c r="Z22" s="2523"/>
      <c r="AA22" s="2524"/>
      <c r="AB22" s="2522" cm="1">
        <f t="array" ref="AB22">SUMPRODUCT((Application!$B$714:$B$738 = 'CalHFA Addendum'!AB$18)*(Application!$AC$714:$AC$738 = 'CalHFA Addendum'!$B22),Application!$G$714:$G$738)</f>
        <v>0</v>
      </c>
      <c r="AC22" s="2523"/>
      <c r="AD22" s="2523"/>
      <c r="AE22" s="2523"/>
      <c r="AF22" s="2523"/>
      <c r="AG22" s="2524"/>
      <c r="AH22" s="2522" cm="1">
        <f t="array" ref="AH22">SUMPRODUCT((Application!$B$714:$B$738 = 'CalHFA Addendum'!AH$18)*(Application!$AC$714:$AC$738 = 'CalHFA Addendum'!$B22),Application!$G$714:$G$738)</f>
        <v>0</v>
      </c>
      <c r="AI22" s="2523"/>
      <c r="AJ22" s="2523"/>
      <c r="AK22" s="2523"/>
      <c r="AL22" s="2523"/>
      <c r="AM22" s="2524"/>
      <c r="AN22" s="2522" cm="1">
        <f t="array" ref="AN22">SUMPRODUCT((Application!$B$714:$B$738 = 'CalHFA Addendum'!AN$18)*(Application!$AC$714:$AC$738 = 'CalHFA Addendum'!$B22),Application!$G$714:$G$738)</f>
        <v>0</v>
      </c>
      <c r="AO22" s="2523"/>
      <c r="AP22" s="2523"/>
      <c r="AQ22" s="2523"/>
      <c r="AR22" s="2523"/>
      <c r="AS22" s="2524"/>
      <c r="AT22" s="2525">
        <f t="shared" si="1"/>
        <v>0</v>
      </c>
      <c r="AU22" s="2526"/>
      <c r="AV22" s="2526"/>
      <c r="AW22" s="2526"/>
      <c r="AX22" s="2526"/>
      <c r="AY22" s="2527"/>
      <c r="AZ22" s="1206"/>
      <c r="BA22" s="1206"/>
      <c r="BB22" s="1206"/>
      <c r="BC22" s="1206"/>
      <c r="BD22" s="1206"/>
      <c r="BE22" s="1202"/>
    </row>
    <row r="23" spans="1:58" ht="14.5">
      <c r="A23" s="1206"/>
      <c r="B23" s="2519">
        <v>0.7</v>
      </c>
      <c r="C23" s="2520"/>
      <c r="D23" s="2520"/>
      <c r="E23" s="2520"/>
      <c r="F23" s="2520"/>
      <c r="G23" s="2520"/>
      <c r="H23" s="2520"/>
      <c r="I23" s="2521"/>
      <c r="J23" s="2522">
        <f t="shared" si="0"/>
        <v>0</v>
      </c>
      <c r="K23" s="2523"/>
      <c r="L23" s="2523"/>
      <c r="M23" s="2523"/>
      <c r="N23" s="2523"/>
      <c r="O23" s="2524"/>
      <c r="P23" s="2522" cm="1">
        <f t="array" ref="P23">SUMPRODUCT((Application!$B$714:$B$738 = 'CalHFA Addendum'!P$18)*(Application!$AC$714:$AC$738 = 'CalHFA Addendum'!$B23),Application!$G$714:$G$738)</f>
        <v>0</v>
      </c>
      <c r="Q23" s="2523"/>
      <c r="R23" s="2523"/>
      <c r="S23" s="2523"/>
      <c r="T23" s="2523"/>
      <c r="U23" s="2524"/>
      <c r="V23" s="2522" cm="1">
        <f t="array" ref="V23">SUMPRODUCT((Application!$B$714:$B$738 = 'CalHFA Addendum'!V$18)*(Application!$AC$714:$AC$738 = 'CalHFA Addendum'!$B23),Application!$G$714:$G$738)</f>
        <v>0</v>
      </c>
      <c r="W23" s="2523"/>
      <c r="X23" s="2523"/>
      <c r="Y23" s="2523"/>
      <c r="Z23" s="2523"/>
      <c r="AA23" s="2524"/>
      <c r="AB23" s="2522" cm="1">
        <f t="array" ref="AB23">SUMPRODUCT((Application!$B$714:$B$738 = 'CalHFA Addendum'!AB$18)*(Application!$AC$714:$AC$738 = 'CalHFA Addendum'!$B23),Application!$G$714:$G$738)</f>
        <v>0</v>
      </c>
      <c r="AC23" s="2523"/>
      <c r="AD23" s="2523"/>
      <c r="AE23" s="2523"/>
      <c r="AF23" s="2523"/>
      <c r="AG23" s="2524"/>
      <c r="AH23" s="2522" cm="1">
        <f t="array" ref="AH23">SUMPRODUCT((Application!$B$714:$B$738 = 'CalHFA Addendum'!AH$18)*(Application!$AC$714:$AC$738 = 'CalHFA Addendum'!$B23),Application!$G$714:$G$738)</f>
        <v>0</v>
      </c>
      <c r="AI23" s="2523"/>
      <c r="AJ23" s="2523"/>
      <c r="AK23" s="2523"/>
      <c r="AL23" s="2523"/>
      <c r="AM23" s="2524"/>
      <c r="AN23" s="2522" cm="1">
        <f t="array" ref="AN23">SUMPRODUCT((Application!$B$714:$B$738 = 'CalHFA Addendum'!AN$18)*(Application!$AC$714:$AC$738 = 'CalHFA Addendum'!$B23),Application!$G$714:$G$738)</f>
        <v>0</v>
      </c>
      <c r="AO23" s="2523"/>
      <c r="AP23" s="2523"/>
      <c r="AQ23" s="2523"/>
      <c r="AR23" s="2523"/>
      <c r="AS23" s="2524"/>
      <c r="AT23" s="2525">
        <f t="shared" si="1"/>
        <v>0</v>
      </c>
      <c r="AU23" s="2526"/>
      <c r="AV23" s="2526"/>
      <c r="AW23" s="2526"/>
      <c r="AX23" s="2526"/>
      <c r="AY23" s="2527"/>
      <c r="AZ23" s="1206"/>
      <c r="BA23" s="1206"/>
      <c r="BB23" s="1206"/>
      <c r="BC23" s="1206"/>
      <c r="BD23" s="1206"/>
      <c r="BE23" s="1202"/>
    </row>
    <row r="24" spans="1:58" ht="14.5">
      <c r="A24" s="1206"/>
      <c r="B24" s="2519">
        <v>0.8</v>
      </c>
      <c r="C24" s="2520"/>
      <c r="D24" s="2520"/>
      <c r="E24" s="2520"/>
      <c r="F24" s="2520"/>
      <c r="G24" s="2520"/>
      <c r="H24" s="2520"/>
      <c r="I24" s="2521"/>
      <c r="J24" s="2522">
        <f t="shared" si="0"/>
        <v>0</v>
      </c>
      <c r="K24" s="2523"/>
      <c r="L24" s="2523"/>
      <c r="M24" s="2523"/>
      <c r="N24" s="2523"/>
      <c r="O24" s="2524"/>
      <c r="P24" s="2522" cm="1">
        <f t="array" ref="P24">SUMPRODUCT((Application!$B$714:$B$738 = 'CalHFA Addendum'!P$18)*(Application!$AC$714:$AC$738 = 'CalHFA Addendum'!$B24),Application!$G$714:$G$738)</f>
        <v>0</v>
      </c>
      <c r="Q24" s="2523"/>
      <c r="R24" s="2523"/>
      <c r="S24" s="2523"/>
      <c r="T24" s="2523"/>
      <c r="U24" s="2524"/>
      <c r="V24" s="2522" cm="1">
        <f t="array" ref="V24">SUMPRODUCT((Application!$B$714:$B$738 = 'CalHFA Addendum'!V$18)*(Application!$AC$714:$AC$738 = 'CalHFA Addendum'!$B24),Application!$G$714:$G$738)</f>
        <v>0</v>
      </c>
      <c r="W24" s="2523"/>
      <c r="X24" s="2523"/>
      <c r="Y24" s="2523"/>
      <c r="Z24" s="2523"/>
      <c r="AA24" s="2524"/>
      <c r="AB24" s="2522" cm="1">
        <f t="array" ref="AB24">SUMPRODUCT((Application!$B$714:$B$738 = 'CalHFA Addendum'!AB$18)*(Application!$AC$714:$AC$738 = 'CalHFA Addendum'!$B24),Application!$G$714:$G$738)</f>
        <v>0</v>
      </c>
      <c r="AC24" s="2523"/>
      <c r="AD24" s="2523"/>
      <c r="AE24" s="2523"/>
      <c r="AF24" s="2523"/>
      <c r="AG24" s="2524"/>
      <c r="AH24" s="2522" cm="1">
        <f t="array" ref="AH24">SUMPRODUCT((Application!$B$714:$B$738 = 'CalHFA Addendum'!AH$18)*(Application!$AC$714:$AC$738 = 'CalHFA Addendum'!$B24),Application!$G$714:$G$738)</f>
        <v>0</v>
      </c>
      <c r="AI24" s="2523"/>
      <c r="AJ24" s="2523"/>
      <c r="AK24" s="2523"/>
      <c r="AL24" s="2523"/>
      <c r="AM24" s="2524"/>
      <c r="AN24" s="2522" cm="1">
        <f t="array" ref="AN24">SUMPRODUCT((Application!$B$714:$B$738 = 'CalHFA Addendum'!AN$18)*(Application!$AC$714:$AC$738 = 'CalHFA Addendum'!$B24),Application!$G$714:$G$738)</f>
        <v>0</v>
      </c>
      <c r="AO24" s="2523"/>
      <c r="AP24" s="2523"/>
      <c r="AQ24" s="2523"/>
      <c r="AR24" s="2523"/>
      <c r="AS24" s="2524"/>
      <c r="AT24" s="2525">
        <f t="shared" si="1"/>
        <v>0</v>
      </c>
      <c r="AU24" s="2526"/>
      <c r="AV24" s="2526"/>
      <c r="AW24" s="2526"/>
      <c r="AX24" s="2526"/>
      <c r="AY24" s="2527"/>
      <c r="AZ24" s="1206"/>
      <c r="BA24" s="1206"/>
      <c r="BB24" s="1206"/>
      <c r="BC24" s="1206"/>
      <c r="BD24" s="1206"/>
      <c r="BE24" s="1202"/>
    </row>
    <row r="25" spans="1:58" ht="14.5">
      <c r="A25" s="1206"/>
      <c r="B25" s="2519">
        <v>0.9</v>
      </c>
      <c r="C25" s="2520"/>
      <c r="D25" s="2520"/>
      <c r="E25" s="2520"/>
      <c r="F25" s="2520"/>
      <c r="G25" s="2520"/>
      <c r="H25" s="2520"/>
      <c r="I25" s="2521"/>
      <c r="J25" s="2522">
        <f t="shared" si="0"/>
        <v>0</v>
      </c>
      <c r="K25" s="2523"/>
      <c r="L25" s="2523"/>
      <c r="M25" s="2523"/>
      <c r="N25" s="2523"/>
      <c r="O25" s="2524"/>
      <c r="P25" s="2522" cm="1">
        <f t="array" ref="P25">SUMPRODUCT((Application!$B$714:$B$738 = 'CalHFA Addendum'!P$18)*(Application!$AC$714:$AC$738 = 'CalHFA Addendum'!$B25),Application!$G$714:$G$738)</f>
        <v>0</v>
      </c>
      <c r="Q25" s="2523"/>
      <c r="R25" s="2523"/>
      <c r="S25" s="2523"/>
      <c r="T25" s="2523"/>
      <c r="U25" s="2524"/>
      <c r="V25" s="2522" cm="1">
        <f t="array" ref="V25">SUMPRODUCT((Application!$B$714:$B$738 = 'CalHFA Addendum'!V$18)*(Application!$AC$714:$AC$738 = 'CalHFA Addendum'!$B25),Application!$G$714:$G$738)</f>
        <v>0</v>
      </c>
      <c r="W25" s="2523"/>
      <c r="X25" s="2523"/>
      <c r="Y25" s="2523"/>
      <c r="Z25" s="2523"/>
      <c r="AA25" s="2524"/>
      <c r="AB25" s="2522" cm="1">
        <f t="array" ref="AB25">SUMPRODUCT((Application!$B$714:$B$738 = 'CalHFA Addendum'!AB$18)*(Application!$AC$714:$AC$738 = 'CalHFA Addendum'!$B25),Application!$G$714:$G$738)</f>
        <v>0</v>
      </c>
      <c r="AC25" s="2523"/>
      <c r="AD25" s="2523"/>
      <c r="AE25" s="2523"/>
      <c r="AF25" s="2523"/>
      <c r="AG25" s="2524"/>
      <c r="AH25" s="2522" cm="1">
        <f t="array" ref="AH25">SUMPRODUCT((Application!$B$714:$B$738 = 'CalHFA Addendum'!AH$18)*(Application!$AC$714:$AC$738 = 'CalHFA Addendum'!$B25),Application!$G$714:$G$738)</f>
        <v>0</v>
      </c>
      <c r="AI25" s="2523"/>
      <c r="AJ25" s="2523"/>
      <c r="AK25" s="2523"/>
      <c r="AL25" s="2523"/>
      <c r="AM25" s="2524"/>
      <c r="AN25" s="2522" cm="1">
        <f t="array" ref="AN25">SUMPRODUCT((Application!$B$714:$B$738 = 'CalHFA Addendum'!AN$18)*(Application!$AC$714:$AC$738 = 'CalHFA Addendum'!$B25),Application!$G$714:$G$738)</f>
        <v>0</v>
      </c>
      <c r="AO25" s="2523"/>
      <c r="AP25" s="2523"/>
      <c r="AQ25" s="2523"/>
      <c r="AR25" s="2523"/>
      <c r="AS25" s="2524"/>
      <c r="AT25" s="2525">
        <f t="shared" si="1"/>
        <v>0</v>
      </c>
      <c r="AU25" s="2526"/>
      <c r="AV25" s="2526"/>
      <c r="AW25" s="2526"/>
      <c r="AX25" s="2526"/>
      <c r="AY25" s="2527"/>
      <c r="AZ25" s="1206"/>
      <c r="BA25" s="1206"/>
      <c r="BB25" s="1206"/>
      <c r="BC25" s="1206"/>
      <c r="BD25" s="1206"/>
      <c r="BE25" s="1202"/>
    </row>
    <row r="26" spans="1:58" ht="14.5">
      <c r="A26" s="1206"/>
      <c r="B26" s="2519">
        <v>1</v>
      </c>
      <c r="C26" s="2520"/>
      <c r="D26" s="2520"/>
      <c r="E26" s="2520"/>
      <c r="F26" s="2520"/>
      <c r="G26" s="2520"/>
      <c r="H26" s="2520"/>
      <c r="I26" s="2521"/>
      <c r="J26" s="2522">
        <f t="shared" si="0"/>
        <v>0</v>
      </c>
      <c r="K26" s="2523"/>
      <c r="L26" s="2523"/>
      <c r="M26" s="2523"/>
      <c r="N26" s="2523"/>
      <c r="O26" s="2524"/>
      <c r="P26" s="2522" cm="1">
        <f t="array" ref="P26">SUMPRODUCT((Application!$B$714:$B$738 = 'CalHFA Addendum'!P$18)*(Application!$AC$714:$AC$738 = 'CalHFA Addendum'!$B26),Application!$G$714:$G$738)</f>
        <v>0</v>
      </c>
      <c r="Q26" s="2523"/>
      <c r="R26" s="2523"/>
      <c r="S26" s="2523"/>
      <c r="T26" s="2523"/>
      <c r="U26" s="2524"/>
      <c r="V26" s="2522" cm="1">
        <f t="array" ref="V26">SUMPRODUCT((Application!$B$714:$B$738 = 'CalHFA Addendum'!V$18)*(Application!$AC$714:$AC$738 = 'CalHFA Addendum'!$B26),Application!$G$714:$G$738)</f>
        <v>0</v>
      </c>
      <c r="W26" s="2523"/>
      <c r="X26" s="2523"/>
      <c r="Y26" s="2523"/>
      <c r="Z26" s="2523"/>
      <c r="AA26" s="2524"/>
      <c r="AB26" s="2522" cm="1">
        <f t="array" ref="AB26">SUMPRODUCT((Application!$B$714:$B$738 = 'CalHFA Addendum'!AB$18)*(Application!$AC$714:$AC$738 = 'CalHFA Addendum'!$B26),Application!$G$714:$G$738)</f>
        <v>0</v>
      </c>
      <c r="AC26" s="2523"/>
      <c r="AD26" s="2523"/>
      <c r="AE26" s="2523"/>
      <c r="AF26" s="2523"/>
      <c r="AG26" s="2524"/>
      <c r="AH26" s="2522" cm="1">
        <f t="array" ref="AH26">SUMPRODUCT((Application!$B$714:$B$738 = 'CalHFA Addendum'!AH$18)*(Application!$AC$714:$AC$738 = 'CalHFA Addendum'!$B26),Application!$G$714:$G$738)</f>
        <v>0</v>
      </c>
      <c r="AI26" s="2523"/>
      <c r="AJ26" s="2523"/>
      <c r="AK26" s="2523"/>
      <c r="AL26" s="2523"/>
      <c r="AM26" s="2524"/>
      <c r="AN26" s="2522" cm="1">
        <f t="array" ref="AN26">SUMPRODUCT((Application!$B$714:$B$738 = 'CalHFA Addendum'!AN$18)*(Application!$AC$714:$AC$738 = 'CalHFA Addendum'!$B26),Application!$G$714:$G$738)</f>
        <v>0</v>
      </c>
      <c r="AO26" s="2523"/>
      <c r="AP26" s="2523"/>
      <c r="AQ26" s="2523"/>
      <c r="AR26" s="2523"/>
      <c r="AS26" s="2524"/>
      <c r="AT26" s="2525">
        <f t="shared" si="1"/>
        <v>0</v>
      </c>
      <c r="AU26" s="2526"/>
      <c r="AV26" s="2526"/>
      <c r="AW26" s="2526"/>
      <c r="AX26" s="2526"/>
      <c r="AY26" s="2527"/>
      <c r="AZ26" s="1206"/>
      <c r="BA26" s="1206"/>
      <c r="BB26" s="1206"/>
      <c r="BC26" s="1206"/>
      <c r="BD26" s="1206"/>
      <c r="BE26" s="1202"/>
    </row>
    <row r="27" spans="1:58" ht="14.5">
      <c r="A27" s="1206"/>
      <c r="B27" s="2519">
        <v>1.1000000000000001</v>
      </c>
      <c r="C27" s="2520"/>
      <c r="D27" s="2520"/>
      <c r="E27" s="2520"/>
      <c r="F27" s="2520"/>
      <c r="G27" s="2520"/>
      <c r="H27" s="2520"/>
      <c r="I27" s="2521"/>
      <c r="J27" s="2522">
        <f t="shared" si="0"/>
        <v>0</v>
      </c>
      <c r="K27" s="2523"/>
      <c r="L27" s="2523"/>
      <c r="M27" s="2523"/>
      <c r="N27" s="2523"/>
      <c r="O27" s="2524"/>
      <c r="P27" s="2522" cm="1">
        <f t="array" ref="P27">SUMPRODUCT((Application!$B$714:$B$738 = 'CalHFA Addendum'!P$18)*(Application!$AC$714:$AC$738 = 'CalHFA Addendum'!$B27),Application!$G$714:$G$738)</f>
        <v>0</v>
      </c>
      <c r="Q27" s="2523"/>
      <c r="R27" s="2523"/>
      <c r="S27" s="2523"/>
      <c r="T27" s="2523"/>
      <c r="U27" s="2524"/>
      <c r="V27" s="2522" cm="1">
        <f t="array" ref="V27">SUMPRODUCT((Application!$B$714:$B$738 = 'CalHFA Addendum'!V$18)*(Application!$AC$714:$AC$738 = 'CalHFA Addendum'!$B27),Application!$G$714:$G$738)</f>
        <v>0</v>
      </c>
      <c r="W27" s="2523"/>
      <c r="X27" s="2523"/>
      <c r="Y27" s="2523"/>
      <c r="Z27" s="2523"/>
      <c r="AA27" s="2524"/>
      <c r="AB27" s="2522" cm="1">
        <f t="array" ref="AB27">SUMPRODUCT((Application!$B$714:$B$738 = 'CalHFA Addendum'!AB$18)*(Application!$AC$714:$AC$738 = 'CalHFA Addendum'!$B27),Application!$G$714:$G$738)</f>
        <v>0</v>
      </c>
      <c r="AC27" s="2523"/>
      <c r="AD27" s="2523"/>
      <c r="AE27" s="2523"/>
      <c r="AF27" s="2523"/>
      <c r="AG27" s="2524"/>
      <c r="AH27" s="2522" cm="1">
        <f t="array" ref="AH27">SUMPRODUCT((Application!$B$714:$B$738 = 'CalHFA Addendum'!AH$18)*(Application!$AC$714:$AC$738 = 'CalHFA Addendum'!$B27),Application!$G$714:$G$738)</f>
        <v>0</v>
      </c>
      <c r="AI27" s="2523"/>
      <c r="AJ27" s="2523"/>
      <c r="AK27" s="2523"/>
      <c r="AL27" s="2523"/>
      <c r="AM27" s="2524"/>
      <c r="AN27" s="2522" cm="1">
        <f t="array" ref="AN27">SUMPRODUCT((Application!$B$714:$B$738 = 'CalHFA Addendum'!AN$18)*(Application!$AC$714:$AC$738 = 'CalHFA Addendum'!$B27),Application!$G$714:$G$738)</f>
        <v>0</v>
      </c>
      <c r="AO27" s="2523"/>
      <c r="AP27" s="2523"/>
      <c r="AQ27" s="2523"/>
      <c r="AR27" s="2523"/>
      <c r="AS27" s="2524"/>
      <c r="AT27" s="2525">
        <f t="shared" si="1"/>
        <v>0</v>
      </c>
      <c r="AU27" s="2526"/>
      <c r="AV27" s="2526"/>
      <c r="AW27" s="2526"/>
      <c r="AX27" s="2526"/>
      <c r="AY27" s="2527"/>
      <c r="AZ27" s="1206"/>
      <c r="BA27" s="1206"/>
      <c r="BB27" s="1206"/>
      <c r="BC27" s="1206"/>
      <c r="BD27" s="1206"/>
      <c r="BE27" s="1202"/>
    </row>
    <row r="28" spans="1:58" ht="15" thickBot="1">
      <c r="A28" s="1206"/>
      <c r="B28" s="2528" t="s">
        <v>1797</v>
      </c>
      <c r="C28" s="2529"/>
      <c r="D28" s="2529"/>
      <c r="E28" s="2529"/>
      <c r="F28" s="2529"/>
      <c r="G28" s="2529"/>
      <c r="H28" s="2529"/>
      <c r="I28" s="2530"/>
      <c r="J28" s="2531">
        <f t="shared" si="0"/>
        <v>0</v>
      </c>
      <c r="K28" s="2532"/>
      <c r="L28" s="2532"/>
      <c r="M28" s="2532"/>
      <c r="N28" s="2532"/>
      <c r="O28" s="2533"/>
      <c r="P28" s="2531">
        <f>_xlfn.IFNA(VLOOKUP(P$18,Application!$J$758:$S$761,6,FALSE), 0)</f>
        <v>0</v>
      </c>
      <c r="Q28" s="2532"/>
      <c r="R28" s="2532"/>
      <c r="S28" s="2532"/>
      <c r="T28" s="2532"/>
      <c r="U28" s="2533"/>
      <c r="V28" s="2531">
        <f>_xlfn.IFNA(VLOOKUP(V$18,Application!$J$758:$S$761,6,FALSE), 0)</f>
        <v>0</v>
      </c>
      <c r="W28" s="2532"/>
      <c r="X28" s="2532"/>
      <c r="Y28" s="2532"/>
      <c r="Z28" s="2532"/>
      <c r="AA28" s="2533"/>
      <c r="AB28" s="2531">
        <f>_xlfn.IFNA(VLOOKUP(AB$18,Application!$J$758:$S$761,6,FALSE), 0)</f>
        <v>0</v>
      </c>
      <c r="AC28" s="2532"/>
      <c r="AD28" s="2532"/>
      <c r="AE28" s="2532"/>
      <c r="AF28" s="2532"/>
      <c r="AG28" s="2533"/>
      <c r="AH28" s="2531">
        <f>_xlfn.IFNA(VLOOKUP(AH$18,Application!$J$758:$S$761,6,FALSE), 0)</f>
        <v>0</v>
      </c>
      <c r="AI28" s="2532"/>
      <c r="AJ28" s="2532"/>
      <c r="AK28" s="2532"/>
      <c r="AL28" s="2532"/>
      <c r="AM28" s="2533"/>
      <c r="AN28" s="2531">
        <f>_xlfn.IFNA(VLOOKUP(AN$18,Application!$J$758:$S$761,6,FALSE), 0)</f>
        <v>0</v>
      </c>
      <c r="AO28" s="2532"/>
      <c r="AP28" s="2532"/>
      <c r="AQ28" s="2532"/>
      <c r="AR28" s="2532"/>
      <c r="AS28" s="2533"/>
      <c r="AT28" s="2534">
        <f t="shared" si="1"/>
        <v>0</v>
      </c>
      <c r="AU28" s="2535"/>
      <c r="AV28" s="2535"/>
      <c r="AW28" s="2535"/>
      <c r="AX28" s="2535"/>
      <c r="AY28" s="2536"/>
      <c r="AZ28" s="1206"/>
      <c r="BA28" s="1206"/>
      <c r="BB28" s="1206"/>
      <c r="BC28" s="1206"/>
      <c r="BD28" s="1206"/>
      <c r="BE28" s="1202"/>
    </row>
    <row r="29" spans="1:58" ht="15" thickBot="1">
      <c r="A29" s="1206"/>
      <c r="B29" s="2508" t="s">
        <v>1696</v>
      </c>
      <c r="C29" s="2486"/>
      <c r="D29" s="2486"/>
      <c r="E29" s="2486"/>
      <c r="F29" s="2486"/>
      <c r="G29" s="2486"/>
      <c r="H29" s="2486"/>
      <c r="I29" s="2487"/>
      <c r="J29" s="2485">
        <f>SUM(J19:O28)</f>
        <v>46</v>
      </c>
      <c r="K29" s="2486"/>
      <c r="L29" s="2486"/>
      <c r="M29" s="2486"/>
      <c r="N29" s="2486"/>
      <c r="O29" s="2487"/>
      <c r="P29" s="2485">
        <f>SUM(P19:U28)</f>
        <v>25</v>
      </c>
      <c r="Q29" s="2486"/>
      <c r="R29" s="2486"/>
      <c r="S29" s="2486"/>
      <c r="T29" s="2486"/>
      <c r="U29" s="2487"/>
      <c r="V29" s="2485">
        <f>SUM(V19:AA28)</f>
        <v>21</v>
      </c>
      <c r="W29" s="2486"/>
      <c r="X29" s="2486"/>
      <c r="Y29" s="2486"/>
      <c r="Z29" s="2486"/>
      <c r="AA29" s="2487"/>
      <c r="AB29" s="2485">
        <f>SUM(AB19:AG28)</f>
        <v>0</v>
      </c>
      <c r="AC29" s="2486"/>
      <c r="AD29" s="2486"/>
      <c r="AE29" s="2486"/>
      <c r="AF29" s="2486"/>
      <c r="AG29" s="2487"/>
      <c r="AH29" s="2485">
        <f>SUM(AH19:AM28)</f>
        <v>0</v>
      </c>
      <c r="AI29" s="2486"/>
      <c r="AJ29" s="2486"/>
      <c r="AK29" s="2486"/>
      <c r="AL29" s="2486"/>
      <c r="AM29" s="2487"/>
      <c r="AN29" s="2485">
        <f>SUM(AN19:AS28)</f>
        <v>0</v>
      </c>
      <c r="AO29" s="2486"/>
      <c r="AP29" s="2486"/>
      <c r="AQ29" s="2486"/>
      <c r="AR29" s="2486"/>
      <c r="AS29" s="2487"/>
      <c r="AT29" s="2501">
        <f t="shared" si="1"/>
        <v>1</v>
      </c>
      <c r="AU29" s="2502"/>
      <c r="AV29" s="2502"/>
      <c r="AW29" s="2502"/>
      <c r="AX29" s="2502"/>
      <c r="AY29" s="2503"/>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9" t="s">
        <v>1798</v>
      </c>
      <c r="C31" s="2490"/>
      <c r="D31" s="2490"/>
      <c r="E31" s="2490"/>
      <c r="F31" s="2490"/>
      <c r="G31" s="2490"/>
      <c r="H31" s="2490"/>
      <c r="I31" s="2490"/>
      <c r="J31" s="2490"/>
      <c r="K31" s="2490"/>
      <c r="L31" s="2490"/>
      <c r="M31" s="2490"/>
      <c r="N31" s="2490"/>
      <c r="O31" s="2490"/>
      <c r="P31" s="2490"/>
      <c r="Q31" s="2490"/>
      <c r="R31" s="2490"/>
      <c r="S31" s="2490"/>
      <c r="T31" s="2490"/>
      <c r="U31" s="2490"/>
      <c r="V31" s="2490"/>
      <c r="W31" s="2490"/>
      <c r="X31" s="2490"/>
      <c r="Y31" s="2490"/>
      <c r="Z31" s="2490"/>
      <c r="AA31" s="2490"/>
      <c r="AB31" s="2490"/>
      <c r="AC31" s="2490"/>
      <c r="AD31" s="2490"/>
      <c r="AE31" s="2490"/>
      <c r="AF31" s="2490"/>
      <c r="AG31" s="2490"/>
      <c r="AH31" s="2490"/>
      <c r="AI31" s="2490"/>
      <c r="AJ31" s="2490"/>
      <c r="AK31" s="2490"/>
      <c r="AL31" s="2490"/>
      <c r="AM31" s="2490"/>
      <c r="AN31" s="2490"/>
      <c r="AO31" s="2490"/>
      <c r="AP31" s="2490"/>
      <c r="AQ31" s="2490"/>
      <c r="AR31" s="2490"/>
      <c r="AS31" s="2490"/>
      <c r="AT31" s="2490"/>
      <c r="AU31" s="2490"/>
      <c r="AV31" s="2490"/>
      <c r="AW31" s="2490"/>
      <c r="AX31" s="2490"/>
      <c r="AY31" s="2490"/>
      <c r="AZ31" s="2490"/>
      <c r="BA31" s="2490"/>
      <c r="BB31" s="2490"/>
      <c r="BC31" s="2490"/>
      <c r="BD31" s="2491"/>
      <c r="BE31" s="1202"/>
    </row>
    <row r="32" spans="1:58" ht="15" thickBot="1">
      <c r="A32" s="1206"/>
      <c r="B32" s="2504" t="s">
        <v>2471</v>
      </c>
      <c r="C32" s="2505"/>
      <c r="D32" s="2505"/>
      <c r="E32" s="2505"/>
      <c r="F32" s="2505"/>
      <c r="G32" s="2505"/>
      <c r="H32" s="2505"/>
      <c r="I32" s="2505"/>
      <c r="J32" s="2537" t="s">
        <v>2472</v>
      </c>
      <c r="K32" s="2538"/>
      <c r="L32" s="2538"/>
      <c r="M32" s="2538"/>
      <c r="N32" s="2537" t="s">
        <v>1799</v>
      </c>
      <c r="O32" s="2538"/>
      <c r="P32" s="2538"/>
      <c r="Q32" s="2540"/>
      <c r="R32" s="2498" t="s">
        <v>1800</v>
      </c>
      <c r="S32" s="2499"/>
      <c r="T32" s="2499"/>
      <c r="U32" s="2499"/>
      <c r="V32" s="2499"/>
      <c r="W32" s="2499"/>
      <c r="X32" s="2499"/>
      <c r="Y32" s="2499"/>
      <c r="Z32" s="2499"/>
      <c r="AA32" s="2499"/>
      <c r="AB32" s="2499"/>
      <c r="AC32" s="2499"/>
      <c r="AD32" s="2499"/>
      <c r="AE32" s="2499"/>
      <c r="AF32" s="2499"/>
      <c r="AG32" s="2499"/>
      <c r="AH32" s="2499"/>
      <c r="AI32" s="2499"/>
      <c r="AJ32" s="2499"/>
      <c r="AK32" s="2499"/>
      <c r="AL32" s="2499"/>
      <c r="AM32" s="2499"/>
      <c r="AN32" s="2499"/>
      <c r="AO32" s="2499"/>
      <c r="AP32" s="2499"/>
      <c r="AQ32" s="2499"/>
      <c r="AR32" s="2499"/>
      <c r="AS32" s="2499"/>
      <c r="AT32" s="2499"/>
      <c r="AU32" s="2499"/>
      <c r="AV32" s="2499"/>
      <c r="AW32" s="2499"/>
      <c r="AX32" s="2499"/>
      <c r="AY32" s="2499"/>
      <c r="AZ32" s="2499"/>
      <c r="BA32" s="2499"/>
      <c r="BB32" s="2499"/>
      <c r="BC32" s="2499"/>
      <c r="BD32" s="2500"/>
      <c r="BE32" s="1202"/>
    </row>
    <row r="33" spans="1:58" ht="15" customHeight="1">
      <c r="A33" s="1206"/>
      <c r="B33" s="2506"/>
      <c r="C33" s="2507"/>
      <c r="D33" s="2507"/>
      <c r="E33" s="2507"/>
      <c r="F33" s="2507"/>
      <c r="G33" s="2507"/>
      <c r="H33" s="2507"/>
      <c r="I33" s="2507"/>
      <c r="J33" s="2539"/>
      <c r="K33" s="2539"/>
      <c r="L33" s="2539"/>
      <c r="M33" s="2539"/>
      <c r="N33" s="2539"/>
      <c r="O33" s="2539"/>
      <c r="P33" s="2539"/>
      <c r="Q33" s="2541"/>
      <c r="R33" s="2492" t="s">
        <v>1801</v>
      </c>
      <c r="S33" s="2493"/>
      <c r="T33" s="2493"/>
      <c r="U33" s="2493"/>
      <c r="V33" s="2493"/>
      <c r="W33" s="2493"/>
      <c r="X33" s="2493"/>
      <c r="Y33" s="2493"/>
      <c r="Z33" s="2493"/>
      <c r="AA33" s="2493"/>
      <c r="AB33" s="2493"/>
      <c r="AC33" s="2493"/>
      <c r="AD33" s="2493"/>
      <c r="AE33" s="2493"/>
      <c r="AF33" s="2493"/>
      <c r="AG33" s="2493"/>
      <c r="AH33" s="2493"/>
      <c r="AI33" s="2493"/>
      <c r="AJ33" s="2493"/>
      <c r="AK33" s="2493"/>
      <c r="AL33" s="2493"/>
      <c r="AM33" s="2493"/>
      <c r="AN33" s="2493"/>
      <c r="AO33" s="2493"/>
      <c r="AP33" s="2493"/>
      <c r="AQ33" s="2493"/>
      <c r="AR33" s="2493"/>
      <c r="AS33" s="2493"/>
      <c r="AT33" s="2493"/>
      <c r="AU33" s="2493"/>
      <c r="AV33" s="2493"/>
      <c r="AW33" s="2493"/>
      <c r="AX33" s="2493"/>
      <c r="AY33" s="2493"/>
      <c r="AZ33" s="2493"/>
      <c r="BA33" s="2493"/>
      <c r="BB33" s="2493"/>
      <c r="BC33" s="2493"/>
      <c r="BD33" s="2494"/>
      <c r="BE33" s="1202"/>
    </row>
    <row r="34" spans="1:58" ht="15.75" customHeight="1" thickBot="1">
      <c r="A34" s="1206"/>
      <c r="B34" s="2506"/>
      <c r="C34" s="2507"/>
      <c r="D34" s="2507"/>
      <c r="E34" s="2507"/>
      <c r="F34" s="2507"/>
      <c r="G34" s="2507"/>
      <c r="H34" s="2507"/>
      <c r="I34" s="2507"/>
      <c r="J34" s="2539"/>
      <c r="K34" s="2539"/>
      <c r="L34" s="2539"/>
      <c r="M34" s="2539"/>
      <c r="N34" s="2539"/>
      <c r="O34" s="2539"/>
      <c r="P34" s="2539"/>
      <c r="Q34" s="2541"/>
      <c r="R34" s="2495"/>
      <c r="S34" s="2496"/>
      <c r="T34" s="2496"/>
      <c r="U34" s="2496"/>
      <c r="V34" s="2496"/>
      <c r="W34" s="2496"/>
      <c r="X34" s="2496"/>
      <c r="Y34" s="2496"/>
      <c r="Z34" s="2496"/>
      <c r="AA34" s="2496"/>
      <c r="AB34" s="2496"/>
      <c r="AC34" s="2496"/>
      <c r="AD34" s="2496"/>
      <c r="AE34" s="2496"/>
      <c r="AF34" s="2496"/>
      <c r="AG34" s="2496"/>
      <c r="AH34" s="2496"/>
      <c r="AI34" s="2496"/>
      <c r="AJ34" s="2496"/>
      <c r="AK34" s="2496"/>
      <c r="AL34" s="2496"/>
      <c r="AM34" s="2496"/>
      <c r="AN34" s="2496"/>
      <c r="AO34" s="2496"/>
      <c r="AP34" s="2496"/>
      <c r="AQ34" s="2496"/>
      <c r="AR34" s="2496"/>
      <c r="AS34" s="2496"/>
      <c r="AT34" s="2496"/>
      <c r="AU34" s="2496"/>
      <c r="AV34" s="2496"/>
      <c r="AW34" s="2496"/>
      <c r="AX34" s="2496"/>
      <c r="AY34" s="2496"/>
      <c r="AZ34" s="2496"/>
      <c r="BA34" s="2496"/>
      <c r="BB34" s="2496"/>
      <c r="BC34" s="2496"/>
      <c r="BD34" s="2497"/>
      <c r="BE34" s="1202"/>
    </row>
    <row r="35" spans="1:58" ht="15.75" customHeight="1">
      <c r="A35" s="1206"/>
      <c r="B35" s="2506"/>
      <c r="C35" s="2507"/>
      <c r="D35" s="2507"/>
      <c r="E35" s="2507"/>
      <c r="F35" s="2507"/>
      <c r="G35" s="2507"/>
      <c r="H35" s="2507"/>
      <c r="I35" s="2507"/>
      <c r="J35" s="2539"/>
      <c r="K35" s="2539"/>
      <c r="L35" s="2539"/>
      <c r="M35" s="2539"/>
      <c r="N35" s="2539"/>
      <c r="O35" s="2539"/>
      <c r="P35" s="2539"/>
      <c r="Q35" s="2539"/>
      <c r="R35" s="2488">
        <v>0.3</v>
      </c>
      <c r="S35" s="2488"/>
      <c r="T35" s="2488"/>
      <c r="U35" s="2488"/>
      <c r="V35" s="2488">
        <v>0.4</v>
      </c>
      <c r="W35" s="2488"/>
      <c r="X35" s="2488"/>
      <c r="Y35" s="2488"/>
      <c r="Z35" s="2488">
        <v>0.5</v>
      </c>
      <c r="AA35" s="2488"/>
      <c r="AB35" s="2488"/>
      <c r="AC35" s="2488"/>
      <c r="AD35" s="2488">
        <v>0.6</v>
      </c>
      <c r="AE35" s="2488"/>
      <c r="AF35" s="2488"/>
      <c r="AG35" s="2488"/>
      <c r="AH35" s="2488">
        <v>0.7</v>
      </c>
      <c r="AI35" s="2488"/>
      <c r="AJ35" s="2488"/>
      <c r="AK35" s="2488"/>
      <c r="AL35" s="2509">
        <v>0.8</v>
      </c>
      <c r="AM35" s="2510"/>
      <c r="AN35" s="2510"/>
      <c r="AO35" s="2511"/>
      <c r="AP35" s="2512">
        <v>1.2</v>
      </c>
      <c r="AQ35" s="2513"/>
      <c r="AR35" s="2514"/>
      <c r="AS35" s="2515" t="s">
        <v>1802</v>
      </c>
      <c r="AT35" s="2516"/>
      <c r="AU35" s="2516"/>
      <c r="AV35" s="2516"/>
      <c r="AW35" s="2516"/>
      <c r="AX35" s="2517"/>
      <c r="AY35" s="2515" t="s">
        <v>1803</v>
      </c>
      <c r="AZ35" s="2516"/>
      <c r="BA35" s="2516"/>
      <c r="BB35" s="2516"/>
      <c r="BC35" s="2516"/>
      <c r="BD35" s="2518"/>
      <c r="BE35" s="1202"/>
    </row>
    <row r="36" spans="1:58" ht="15.75" customHeight="1">
      <c r="A36" s="1206"/>
      <c r="B36" s="2246" t="s">
        <v>1804</v>
      </c>
      <c r="C36" s="2247"/>
      <c r="D36" s="2247"/>
      <c r="E36" s="2247"/>
      <c r="F36" s="2247"/>
      <c r="G36" s="2247"/>
      <c r="H36" s="2247"/>
      <c r="I36" s="2247"/>
      <c r="J36" s="2478" t="s">
        <v>1805</v>
      </c>
      <c r="K36" s="2478"/>
      <c r="L36" s="2478"/>
      <c r="M36" s="2478"/>
      <c r="N36" s="2478">
        <v>55</v>
      </c>
      <c r="O36" s="2478"/>
      <c r="P36" s="2478"/>
      <c r="Q36" s="2478"/>
      <c r="R36" s="2224">
        <v>0</v>
      </c>
      <c r="S36" s="2224"/>
      <c r="T36" s="2224"/>
      <c r="U36" s="2224"/>
      <c r="V36" s="2224">
        <v>0</v>
      </c>
      <c r="W36" s="2224"/>
      <c r="X36" s="2224"/>
      <c r="Y36" s="2224"/>
      <c r="Z36" s="2224">
        <v>10</v>
      </c>
      <c r="AA36" s="2224"/>
      <c r="AB36" s="2224"/>
      <c r="AC36" s="2224"/>
      <c r="AD36" s="2224">
        <v>10</v>
      </c>
      <c r="AE36" s="2224"/>
      <c r="AF36" s="2224"/>
      <c r="AG36" s="2224"/>
      <c r="AH36" s="2224">
        <v>30</v>
      </c>
      <c r="AI36" s="2224"/>
      <c r="AJ36" s="2224"/>
      <c r="AK36" s="2224"/>
      <c r="AL36" s="2225">
        <v>0</v>
      </c>
      <c r="AM36" s="2226"/>
      <c r="AN36" s="2226"/>
      <c r="AO36" s="2227"/>
      <c r="AP36" s="2225">
        <v>0</v>
      </c>
      <c r="AQ36" s="2226"/>
      <c r="AR36" s="2227"/>
      <c r="AS36" s="2228">
        <f t="shared" ref="AS36:AS47" si="2">SUM(R36:AR36)</f>
        <v>50</v>
      </c>
      <c r="AT36" s="2229"/>
      <c r="AU36" s="2229"/>
      <c r="AV36" s="2229"/>
      <c r="AW36" s="2229"/>
      <c r="AX36" s="2230"/>
      <c r="AY36" s="2482">
        <f t="shared" ref="AY36:AY47" si="3">AS36/$J$29</f>
        <v>1.0869565217391304</v>
      </c>
      <c r="AZ36" s="2483"/>
      <c r="BA36" s="2483"/>
      <c r="BB36" s="2483"/>
      <c r="BC36" s="2483"/>
      <c r="BD36" s="2484"/>
      <c r="BE36" s="1202"/>
    </row>
    <row r="37" spans="1:58" ht="15.75" customHeight="1">
      <c r="A37" s="1206"/>
      <c r="B37" s="2246" t="s">
        <v>2473</v>
      </c>
      <c r="C37" s="2247"/>
      <c r="D37" s="2247"/>
      <c r="E37" s="2247"/>
      <c r="F37" s="2247"/>
      <c r="G37" s="2247"/>
      <c r="H37" s="2247"/>
      <c r="I37" s="2247"/>
      <c r="J37" s="2478" t="s">
        <v>1806</v>
      </c>
      <c r="K37" s="2478"/>
      <c r="L37" s="2478"/>
      <c r="M37" s="2478"/>
      <c r="N37" s="2478">
        <v>55</v>
      </c>
      <c r="O37" s="2478"/>
      <c r="P37" s="2478"/>
      <c r="Q37" s="2478"/>
      <c r="R37" s="2224">
        <v>10</v>
      </c>
      <c r="S37" s="2224"/>
      <c r="T37" s="2224"/>
      <c r="U37" s="2224"/>
      <c r="V37" s="2224"/>
      <c r="W37" s="2224"/>
      <c r="X37" s="2224"/>
      <c r="Y37" s="2224"/>
      <c r="Z37" s="2224"/>
      <c r="AA37" s="2224"/>
      <c r="AB37" s="2224"/>
      <c r="AC37" s="2224"/>
      <c r="AD37" s="2224"/>
      <c r="AE37" s="2224"/>
      <c r="AF37" s="2224"/>
      <c r="AG37" s="2224"/>
      <c r="AH37" s="2224"/>
      <c r="AI37" s="2224"/>
      <c r="AJ37" s="2224"/>
      <c r="AK37" s="2224"/>
      <c r="AL37" s="2225"/>
      <c r="AM37" s="2226"/>
      <c r="AN37" s="2226"/>
      <c r="AO37" s="2227"/>
      <c r="AP37" s="2225"/>
      <c r="AQ37" s="2226"/>
      <c r="AR37" s="2227"/>
      <c r="AS37" s="2228">
        <f t="shared" si="2"/>
        <v>10</v>
      </c>
      <c r="AT37" s="2229"/>
      <c r="AU37" s="2229"/>
      <c r="AV37" s="2229"/>
      <c r="AW37" s="2229"/>
      <c r="AX37" s="2230"/>
      <c r="AY37" s="2482">
        <f t="shared" si="3"/>
        <v>0.21739130434782608</v>
      </c>
      <c r="AZ37" s="2483"/>
      <c r="BA37" s="2483"/>
      <c r="BB37" s="2483"/>
      <c r="BC37" s="2483"/>
      <c r="BD37" s="2484"/>
      <c r="BE37" s="1202"/>
    </row>
    <row r="38" spans="1:58" ht="15.75" customHeight="1">
      <c r="A38" s="1206"/>
      <c r="B38" s="2246" t="s">
        <v>2412</v>
      </c>
      <c r="C38" s="2247"/>
      <c r="D38" s="2247"/>
      <c r="E38" s="2247"/>
      <c r="F38" s="2247"/>
      <c r="G38" s="2247"/>
      <c r="H38" s="2247"/>
      <c r="I38" s="2247"/>
      <c r="J38" s="2478" t="s">
        <v>1807</v>
      </c>
      <c r="K38" s="2478"/>
      <c r="L38" s="2478"/>
      <c r="M38" s="2478"/>
      <c r="N38" s="2478">
        <v>55</v>
      </c>
      <c r="O38" s="2478"/>
      <c r="P38" s="2478"/>
      <c r="Q38" s="2478"/>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25"/>
      <c r="AM38" s="2226"/>
      <c r="AN38" s="2226"/>
      <c r="AO38" s="2227"/>
      <c r="AP38" s="2225"/>
      <c r="AQ38" s="2226"/>
      <c r="AR38" s="2227"/>
      <c r="AS38" s="2228">
        <f t="shared" si="2"/>
        <v>0</v>
      </c>
      <c r="AT38" s="2229"/>
      <c r="AU38" s="2229"/>
      <c r="AV38" s="2229"/>
      <c r="AW38" s="2229"/>
      <c r="AX38" s="2230"/>
      <c r="AY38" s="2482">
        <f t="shared" si="3"/>
        <v>0</v>
      </c>
      <c r="AZ38" s="2483"/>
      <c r="BA38" s="2483"/>
      <c r="BB38" s="2483"/>
      <c r="BC38" s="2483"/>
      <c r="BD38" s="2484"/>
      <c r="BE38" s="1202"/>
    </row>
    <row r="39" spans="1:58" ht="15.75" customHeight="1">
      <c r="A39" s="1206"/>
      <c r="B39" s="2246" t="s">
        <v>1808</v>
      </c>
      <c r="C39" s="2247"/>
      <c r="D39" s="2247"/>
      <c r="E39" s="2247"/>
      <c r="F39" s="2247"/>
      <c r="G39" s="2247"/>
      <c r="H39" s="2247"/>
      <c r="I39" s="2247"/>
      <c r="J39" s="2478"/>
      <c r="K39" s="2478"/>
      <c r="L39" s="2478"/>
      <c r="M39" s="2478"/>
      <c r="N39" s="2478"/>
      <c r="O39" s="2478"/>
      <c r="P39" s="2478"/>
      <c r="Q39" s="2478"/>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25"/>
      <c r="AM39" s="2226"/>
      <c r="AN39" s="2226"/>
      <c r="AO39" s="2227"/>
      <c r="AP39" s="2225"/>
      <c r="AQ39" s="2226"/>
      <c r="AR39" s="2227"/>
      <c r="AS39" s="2228">
        <f t="shared" si="2"/>
        <v>0</v>
      </c>
      <c r="AT39" s="2229"/>
      <c r="AU39" s="2229"/>
      <c r="AV39" s="2229"/>
      <c r="AW39" s="2229"/>
      <c r="AX39" s="2230"/>
      <c r="AY39" s="2482">
        <f t="shared" si="3"/>
        <v>0</v>
      </c>
      <c r="AZ39" s="2483"/>
      <c r="BA39" s="2483"/>
      <c r="BB39" s="2483"/>
      <c r="BC39" s="2483"/>
      <c r="BD39" s="2484"/>
      <c r="BE39" s="1202"/>
    </row>
    <row r="40" spans="1:58" ht="15.75" customHeight="1">
      <c r="A40" s="1206"/>
      <c r="B40" s="2246" t="s">
        <v>1808</v>
      </c>
      <c r="C40" s="2247"/>
      <c r="D40" s="2247"/>
      <c r="E40" s="2247"/>
      <c r="F40" s="2247"/>
      <c r="G40" s="2247"/>
      <c r="H40" s="2247"/>
      <c r="I40" s="2247"/>
      <c r="J40" s="2478"/>
      <c r="K40" s="2478"/>
      <c r="L40" s="2478"/>
      <c r="M40" s="2478"/>
      <c r="N40" s="2478"/>
      <c r="O40" s="2478"/>
      <c r="P40" s="2478"/>
      <c r="Q40" s="2478"/>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25"/>
      <c r="AM40" s="2226"/>
      <c r="AN40" s="2226"/>
      <c r="AO40" s="2227"/>
      <c r="AP40" s="2225"/>
      <c r="AQ40" s="2226"/>
      <c r="AR40" s="2227"/>
      <c r="AS40" s="2228">
        <f t="shared" si="2"/>
        <v>0</v>
      </c>
      <c r="AT40" s="2229"/>
      <c r="AU40" s="2229"/>
      <c r="AV40" s="2229"/>
      <c r="AW40" s="2229"/>
      <c r="AX40" s="2230"/>
      <c r="AY40" s="2482">
        <f t="shared" si="3"/>
        <v>0</v>
      </c>
      <c r="AZ40" s="2483"/>
      <c r="BA40" s="2483"/>
      <c r="BB40" s="2483"/>
      <c r="BC40" s="2483"/>
      <c r="BD40" s="2484"/>
      <c r="BE40" s="1202"/>
    </row>
    <row r="41" spans="1:58" ht="15.75" customHeight="1">
      <c r="A41" s="1206"/>
      <c r="B41" s="2246" t="s">
        <v>1809</v>
      </c>
      <c r="C41" s="2247"/>
      <c r="D41" s="2247"/>
      <c r="E41" s="2247"/>
      <c r="F41" s="2247"/>
      <c r="G41" s="2247"/>
      <c r="H41" s="2247"/>
      <c r="I41" s="2247"/>
      <c r="J41" s="2478"/>
      <c r="K41" s="2478"/>
      <c r="L41" s="2478"/>
      <c r="M41" s="2478"/>
      <c r="N41" s="2478"/>
      <c r="O41" s="2478"/>
      <c r="P41" s="2478"/>
      <c r="Q41" s="2478"/>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25"/>
      <c r="AM41" s="2226"/>
      <c r="AN41" s="2226"/>
      <c r="AO41" s="2227"/>
      <c r="AP41" s="2225"/>
      <c r="AQ41" s="2226"/>
      <c r="AR41" s="2227"/>
      <c r="AS41" s="2228">
        <f t="shared" si="2"/>
        <v>0</v>
      </c>
      <c r="AT41" s="2229"/>
      <c r="AU41" s="2229"/>
      <c r="AV41" s="2229"/>
      <c r="AW41" s="2229"/>
      <c r="AX41" s="2230"/>
      <c r="AY41" s="2482">
        <f t="shared" si="3"/>
        <v>0</v>
      </c>
      <c r="AZ41" s="2483"/>
      <c r="BA41" s="2483"/>
      <c r="BB41" s="2483"/>
      <c r="BC41" s="2483"/>
      <c r="BD41" s="2484"/>
      <c r="BE41" s="1202"/>
    </row>
    <row r="42" spans="1:58" ht="15.75" customHeight="1">
      <c r="A42" s="1206"/>
      <c r="B42" s="2246" t="s">
        <v>1809</v>
      </c>
      <c r="C42" s="2247"/>
      <c r="D42" s="2247"/>
      <c r="E42" s="2247"/>
      <c r="F42" s="2247"/>
      <c r="G42" s="2247"/>
      <c r="H42" s="2247"/>
      <c r="I42" s="2247"/>
      <c r="J42" s="2478"/>
      <c r="K42" s="2478"/>
      <c r="L42" s="2478"/>
      <c r="M42" s="2478"/>
      <c r="N42" s="2478"/>
      <c r="O42" s="2478"/>
      <c r="P42" s="2478"/>
      <c r="Q42" s="2478"/>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25"/>
      <c r="AM42" s="2226"/>
      <c r="AN42" s="2226"/>
      <c r="AO42" s="2227"/>
      <c r="AP42" s="2225"/>
      <c r="AQ42" s="2226"/>
      <c r="AR42" s="2227"/>
      <c r="AS42" s="2228">
        <f t="shared" si="2"/>
        <v>0</v>
      </c>
      <c r="AT42" s="2229"/>
      <c r="AU42" s="2229"/>
      <c r="AV42" s="2229"/>
      <c r="AW42" s="2229"/>
      <c r="AX42" s="2230"/>
      <c r="AY42" s="2482">
        <f t="shared" si="3"/>
        <v>0</v>
      </c>
      <c r="AZ42" s="2483"/>
      <c r="BA42" s="2483"/>
      <c r="BB42" s="2483"/>
      <c r="BC42" s="2483"/>
      <c r="BD42" s="2484"/>
      <c r="BE42" s="1202"/>
    </row>
    <row r="43" spans="1:58" ht="15.75" customHeight="1">
      <c r="A43" s="1206"/>
      <c r="B43" s="2217" t="s">
        <v>1810</v>
      </c>
      <c r="C43" s="2218"/>
      <c r="D43" s="2218"/>
      <c r="E43" s="2218"/>
      <c r="F43" s="2218"/>
      <c r="G43" s="2218"/>
      <c r="H43" s="2218"/>
      <c r="I43" s="2218"/>
      <c r="J43" s="2478"/>
      <c r="K43" s="2478"/>
      <c r="L43" s="2478"/>
      <c r="M43" s="2478"/>
      <c r="N43" s="2478"/>
      <c r="O43" s="2478"/>
      <c r="P43" s="2478"/>
      <c r="Q43" s="2478"/>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25"/>
      <c r="AM43" s="2226"/>
      <c r="AN43" s="2226"/>
      <c r="AO43" s="2227"/>
      <c r="AP43" s="2225"/>
      <c r="AQ43" s="2226"/>
      <c r="AR43" s="2227"/>
      <c r="AS43" s="2228">
        <f t="shared" si="2"/>
        <v>0</v>
      </c>
      <c r="AT43" s="2229"/>
      <c r="AU43" s="2229"/>
      <c r="AV43" s="2229"/>
      <c r="AW43" s="2229"/>
      <c r="AX43" s="2230"/>
      <c r="AY43" s="2482">
        <f t="shared" si="3"/>
        <v>0</v>
      </c>
      <c r="AZ43" s="2483"/>
      <c r="BA43" s="2483"/>
      <c r="BB43" s="2483"/>
      <c r="BC43" s="2483"/>
      <c r="BD43" s="2484"/>
      <c r="BE43" s="1202"/>
    </row>
    <row r="44" spans="1:58" ht="15.75" customHeight="1">
      <c r="A44" s="1206"/>
      <c r="B44" s="2217" t="s">
        <v>1811</v>
      </c>
      <c r="C44" s="2218"/>
      <c r="D44" s="2218"/>
      <c r="E44" s="2218"/>
      <c r="F44" s="2218"/>
      <c r="G44" s="2218"/>
      <c r="H44" s="2218"/>
      <c r="I44" s="2218"/>
      <c r="J44" s="2478"/>
      <c r="K44" s="2478"/>
      <c r="L44" s="2478"/>
      <c r="M44" s="2478"/>
      <c r="N44" s="2478"/>
      <c r="O44" s="2478"/>
      <c r="P44" s="2478"/>
      <c r="Q44" s="2478"/>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25"/>
      <c r="AM44" s="2226"/>
      <c r="AN44" s="2226"/>
      <c r="AO44" s="2227"/>
      <c r="AP44" s="2225"/>
      <c r="AQ44" s="2226"/>
      <c r="AR44" s="2227"/>
      <c r="AS44" s="2228">
        <f t="shared" si="2"/>
        <v>0</v>
      </c>
      <c r="AT44" s="2229"/>
      <c r="AU44" s="2229"/>
      <c r="AV44" s="2229"/>
      <c r="AW44" s="2229"/>
      <c r="AX44" s="2230"/>
      <c r="AY44" s="2482">
        <f t="shared" si="3"/>
        <v>0</v>
      </c>
      <c r="AZ44" s="2483"/>
      <c r="BA44" s="2483"/>
      <c r="BB44" s="2483"/>
      <c r="BC44" s="2483"/>
      <c r="BD44" s="2484"/>
      <c r="BE44" s="1202"/>
    </row>
    <row r="45" spans="1:58" ht="15.75" customHeight="1">
      <c r="A45" s="1206"/>
      <c r="B45" s="2217" t="s">
        <v>1812</v>
      </c>
      <c r="C45" s="2218"/>
      <c r="D45" s="2218"/>
      <c r="E45" s="2218"/>
      <c r="F45" s="2218"/>
      <c r="G45" s="2218"/>
      <c r="H45" s="2218"/>
      <c r="I45" s="2218"/>
      <c r="J45" s="2478"/>
      <c r="K45" s="2478"/>
      <c r="L45" s="2478"/>
      <c r="M45" s="2478"/>
      <c r="N45" s="2478"/>
      <c r="O45" s="2478"/>
      <c r="P45" s="2478"/>
      <c r="Q45" s="2478"/>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25"/>
      <c r="AM45" s="2226"/>
      <c r="AN45" s="2226"/>
      <c r="AO45" s="2227"/>
      <c r="AP45" s="2225"/>
      <c r="AQ45" s="2226"/>
      <c r="AR45" s="2227"/>
      <c r="AS45" s="2228">
        <f t="shared" si="2"/>
        <v>0</v>
      </c>
      <c r="AT45" s="2229"/>
      <c r="AU45" s="2229"/>
      <c r="AV45" s="2229"/>
      <c r="AW45" s="2229"/>
      <c r="AX45" s="2230"/>
      <c r="AY45" s="2482">
        <f t="shared" si="3"/>
        <v>0</v>
      </c>
      <c r="AZ45" s="2483"/>
      <c r="BA45" s="2483"/>
      <c r="BB45" s="2483"/>
      <c r="BC45" s="2483"/>
      <c r="BD45" s="2484"/>
      <c r="BE45" s="1202"/>
    </row>
    <row r="46" spans="1:58" ht="15.75" customHeight="1">
      <c r="A46" s="1206"/>
      <c r="B46" s="2217" t="s">
        <v>1813</v>
      </c>
      <c r="C46" s="2218"/>
      <c r="D46" s="2218"/>
      <c r="E46" s="2218"/>
      <c r="F46" s="2218"/>
      <c r="G46" s="2218"/>
      <c r="H46" s="2218"/>
      <c r="I46" s="2218"/>
      <c r="J46" s="2478"/>
      <c r="K46" s="2478"/>
      <c r="L46" s="2478"/>
      <c r="M46" s="2478"/>
      <c r="N46" s="2478">
        <v>99</v>
      </c>
      <c r="O46" s="2478"/>
      <c r="P46" s="2478"/>
      <c r="Q46" s="2478"/>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25"/>
      <c r="AM46" s="2226"/>
      <c r="AN46" s="2226"/>
      <c r="AO46" s="2227"/>
      <c r="AP46" s="2225"/>
      <c r="AQ46" s="2226"/>
      <c r="AR46" s="2227"/>
      <c r="AS46" s="2228">
        <f t="shared" si="2"/>
        <v>0</v>
      </c>
      <c r="AT46" s="2229"/>
      <c r="AU46" s="2229"/>
      <c r="AV46" s="2229"/>
      <c r="AW46" s="2229"/>
      <c r="AX46" s="2230"/>
      <c r="AY46" s="2482">
        <f t="shared" si="3"/>
        <v>0</v>
      </c>
      <c r="AZ46" s="2483"/>
      <c r="BA46" s="2483"/>
      <c r="BB46" s="2483"/>
      <c r="BC46" s="2483"/>
      <c r="BD46" s="2484"/>
      <c r="BE46" s="1202"/>
    </row>
    <row r="47" spans="1:58" ht="15.75" customHeight="1" thickBot="1">
      <c r="A47" s="1206"/>
      <c r="B47" s="2475" t="s">
        <v>301</v>
      </c>
      <c r="C47" s="2476"/>
      <c r="D47" s="2476"/>
      <c r="E47" s="2476"/>
      <c r="F47" s="2476"/>
      <c r="G47" s="2476"/>
      <c r="H47" s="2476"/>
      <c r="I47" s="2476"/>
      <c r="J47" s="2477"/>
      <c r="K47" s="2477"/>
      <c r="L47" s="2477"/>
      <c r="M47" s="2477"/>
      <c r="N47" s="2477"/>
      <c r="O47" s="2477"/>
      <c r="P47" s="2477"/>
      <c r="Q47" s="2477"/>
      <c r="R47" s="2471"/>
      <c r="S47" s="2471"/>
      <c r="T47" s="2471"/>
      <c r="U47" s="2471"/>
      <c r="V47" s="2471"/>
      <c r="W47" s="2471"/>
      <c r="X47" s="2471"/>
      <c r="Y47" s="2471"/>
      <c r="Z47" s="2471"/>
      <c r="AA47" s="2471"/>
      <c r="AB47" s="2471"/>
      <c r="AC47" s="2471"/>
      <c r="AD47" s="2471"/>
      <c r="AE47" s="2471"/>
      <c r="AF47" s="2471"/>
      <c r="AG47" s="2471"/>
      <c r="AH47" s="2471"/>
      <c r="AI47" s="2471"/>
      <c r="AJ47" s="2471"/>
      <c r="AK47" s="2471"/>
      <c r="AL47" s="2472"/>
      <c r="AM47" s="2473"/>
      <c r="AN47" s="2473"/>
      <c r="AO47" s="2474"/>
      <c r="AP47" s="2472"/>
      <c r="AQ47" s="2473"/>
      <c r="AR47" s="2474"/>
      <c r="AS47" s="2228">
        <f t="shared" si="2"/>
        <v>0</v>
      </c>
      <c r="AT47" s="2229"/>
      <c r="AU47" s="2229"/>
      <c r="AV47" s="2229"/>
      <c r="AW47" s="2229"/>
      <c r="AX47" s="2230"/>
      <c r="AY47" s="2479">
        <f t="shared" si="3"/>
        <v>0</v>
      </c>
      <c r="AZ47" s="2480"/>
      <c r="BA47" s="2480"/>
      <c r="BB47" s="2480"/>
      <c r="BC47" s="2480"/>
      <c r="BD47" s="2481"/>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9" t="s">
        <v>1814</v>
      </c>
      <c r="C50" s="2215"/>
      <c r="D50" s="2215"/>
      <c r="E50" s="2215"/>
      <c r="F50" s="2215"/>
      <c r="G50" s="2215"/>
      <c r="H50" s="2215"/>
      <c r="I50" s="2215"/>
      <c r="J50" s="2215"/>
      <c r="K50" s="2215"/>
      <c r="L50" s="2215"/>
      <c r="M50" s="2215"/>
      <c r="N50" s="2215"/>
      <c r="O50" s="2215"/>
      <c r="P50" s="2215"/>
      <c r="Q50" s="2215"/>
      <c r="R50" s="2215"/>
      <c r="S50" s="2215"/>
      <c r="T50" s="2215"/>
      <c r="U50" s="2215"/>
      <c r="V50" s="2215"/>
      <c r="W50" s="2215"/>
      <c r="X50" s="2215"/>
      <c r="Y50" s="2215"/>
      <c r="Z50" s="2215"/>
      <c r="AA50" s="2215"/>
      <c r="AB50" s="2215"/>
      <c r="AC50" s="2215"/>
      <c r="AD50" s="2215"/>
      <c r="AE50" s="2215"/>
      <c r="AF50" s="2215"/>
      <c r="AG50" s="2215"/>
      <c r="AH50" s="2215"/>
      <c r="AI50" s="2215"/>
      <c r="AJ50" s="2215"/>
      <c r="AK50" s="2215"/>
      <c r="AL50" s="2215"/>
      <c r="AM50" s="2215"/>
      <c r="AN50" s="2215"/>
      <c r="AO50" s="221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7" t="s">
        <v>1815</v>
      </c>
      <c r="C51" s="2178"/>
      <c r="D51" s="2178"/>
      <c r="E51" s="2178"/>
      <c r="F51" s="2178"/>
      <c r="G51" s="2178"/>
      <c r="H51" s="2178"/>
      <c r="I51" s="2178"/>
      <c r="J51" s="2178" t="s">
        <v>2475</v>
      </c>
      <c r="K51" s="2178"/>
      <c r="L51" s="2178"/>
      <c r="M51" s="2178"/>
      <c r="N51" s="2178"/>
      <c r="O51" s="2178"/>
      <c r="P51" s="2178"/>
      <c r="Q51" s="2178"/>
      <c r="R51" s="2469" t="s">
        <v>2476</v>
      </c>
      <c r="S51" s="2469"/>
      <c r="T51" s="2469"/>
      <c r="U51" s="2469"/>
      <c r="V51" s="2469"/>
      <c r="W51" s="2469"/>
      <c r="X51" s="2469"/>
      <c r="Y51" s="2469"/>
      <c r="Z51" s="2469" t="s">
        <v>1816</v>
      </c>
      <c r="AA51" s="2469"/>
      <c r="AB51" s="2469"/>
      <c r="AC51" s="2469"/>
      <c r="AD51" s="2469"/>
      <c r="AE51" s="2469"/>
      <c r="AF51" s="2469"/>
      <c r="AG51" s="2469"/>
      <c r="AH51" s="2469" t="s">
        <v>1817</v>
      </c>
      <c r="AI51" s="2469"/>
      <c r="AJ51" s="2469"/>
      <c r="AK51" s="2469"/>
      <c r="AL51" s="2469"/>
      <c r="AM51" s="2469"/>
      <c r="AN51" s="2469"/>
      <c r="AO51" s="247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7" t="s">
        <v>2183</v>
      </c>
      <c r="C52" s="2218"/>
      <c r="D52" s="2218"/>
      <c r="E52" s="2218"/>
      <c r="F52" s="2218"/>
      <c r="G52" s="2218"/>
      <c r="H52" s="2218"/>
      <c r="I52" s="2218"/>
      <c r="J52" s="2351">
        <v>0</v>
      </c>
      <c r="K52" s="2351"/>
      <c r="L52" s="2351"/>
      <c r="M52" s="2351"/>
      <c r="N52" s="2351"/>
      <c r="O52" s="2351"/>
      <c r="P52" s="2351"/>
      <c r="Q52" s="2351"/>
      <c r="R52" s="2457">
        <v>0</v>
      </c>
      <c r="S52" s="2457"/>
      <c r="T52" s="2457"/>
      <c r="U52" s="2457"/>
      <c r="V52" s="2457"/>
      <c r="W52" s="2457"/>
      <c r="X52" s="2457"/>
      <c r="Y52" s="2457"/>
      <c r="Z52" s="2458">
        <v>0</v>
      </c>
      <c r="AA52" s="2458"/>
      <c r="AB52" s="2458"/>
      <c r="AC52" s="2458"/>
      <c r="AD52" s="2458"/>
      <c r="AE52" s="2458"/>
      <c r="AF52" s="2458"/>
      <c r="AG52" s="2458"/>
      <c r="AH52" s="2459"/>
      <c r="AI52" s="2459"/>
      <c r="AJ52" s="2459"/>
      <c r="AK52" s="2459"/>
      <c r="AL52" s="2459"/>
      <c r="AM52" s="2459"/>
      <c r="AN52" s="2459"/>
      <c r="AO52" s="246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7" t="s">
        <v>2184</v>
      </c>
      <c r="C53" s="2218"/>
      <c r="D53" s="2218"/>
      <c r="E53" s="2218"/>
      <c r="F53" s="2218"/>
      <c r="G53" s="2218"/>
      <c r="H53" s="2218"/>
      <c r="I53" s="2218"/>
      <c r="J53" s="2351">
        <v>0</v>
      </c>
      <c r="K53" s="2351"/>
      <c r="L53" s="2351"/>
      <c r="M53" s="2351"/>
      <c r="N53" s="2351"/>
      <c r="O53" s="2351"/>
      <c r="P53" s="2351"/>
      <c r="Q53" s="2351"/>
      <c r="R53" s="2457">
        <v>0</v>
      </c>
      <c r="S53" s="2457"/>
      <c r="T53" s="2457"/>
      <c r="U53" s="2457"/>
      <c r="V53" s="2457"/>
      <c r="W53" s="2457"/>
      <c r="X53" s="2457"/>
      <c r="Y53" s="2457"/>
      <c r="Z53" s="2458">
        <v>0</v>
      </c>
      <c r="AA53" s="2458"/>
      <c r="AB53" s="2458"/>
      <c r="AC53" s="2458"/>
      <c r="AD53" s="2458"/>
      <c r="AE53" s="2458"/>
      <c r="AF53" s="2458"/>
      <c r="AG53" s="2458"/>
      <c r="AH53" s="2459"/>
      <c r="AI53" s="2459"/>
      <c r="AJ53" s="2459"/>
      <c r="AK53" s="2459"/>
      <c r="AL53" s="2459"/>
      <c r="AM53" s="2459"/>
      <c r="AN53" s="2459"/>
      <c r="AO53" s="246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7"/>
      <c r="C54" s="2218"/>
      <c r="D54" s="2218"/>
      <c r="E54" s="2218"/>
      <c r="F54" s="2218"/>
      <c r="G54" s="2218"/>
      <c r="H54" s="2218"/>
      <c r="I54" s="2218"/>
      <c r="J54" s="2351"/>
      <c r="K54" s="2351"/>
      <c r="L54" s="2351"/>
      <c r="M54" s="2351"/>
      <c r="N54" s="2351"/>
      <c r="O54" s="2351"/>
      <c r="P54" s="2351"/>
      <c r="Q54" s="2351"/>
      <c r="R54" s="2457"/>
      <c r="S54" s="2457"/>
      <c r="T54" s="2457"/>
      <c r="U54" s="2457"/>
      <c r="V54" s="2457"/>
      <c r="W54" s="2457"/>
      <c r="X54" s="2457"/>
      <c r="Y54" s="2457"/>
      <c r="Z54" s="2458"/>
      <c r="AA54" s="2458"/>
      <c r="AB54" s="2458"/>
      <c r="AC54" s="2458"/>
      <c r="AD54" s="2458"/>
      <c r="AE54" s="2458"/>
      <c r="AF54" s="2458"/>
      <c r="AG54" s="2458"/>
      <c r="AH54" s="2459"/>
      <c r="AI54" s="2459"/>
      <c r="AJ54" s="2459"/>
      <c r="AK54" s="2459"/>
      <c r="AL54" s="2459"/>
      <c r="AM54" s="2459"/>
      <c r="AN54" s="2459"/>
      <c r="AO54" s="246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7"/>
      <c r="C55" s="2218"/>
      <c r="D55" s="2218"/>
      <c r="E55" s="2218"/>
      <c r="F55" s="2218"/>
      <c r="G55" s="2218"/>
      <c r="H55" s="2218"/>
      <c r="I55" s="2218"/>
      <c r="J55" s="2351"/>
      <c r="K55" s="2351"/>
      <c r="L55" s="2351"/>
      <c r="M55" s="2351"/>
      <c r="N55" s="2351"/>
      <c r="O55" s="2351"/>
      <c r="P55" s="2351"/>
      <c r="Q55" s="2351"/>
      <c r="R55" s="2457"/>
      <c r="S55" s="2457"/>
      <c r="T55" s="2457"/>
      <c r="U55" s="2457"/>
      <c r="V55" s="2457"/>
      <c r="W55" s="2457"/>
      <c r="X55" s="2457"/>
      <c r="Y55" s="2457"/>
      <c r="Z55" s="2458"/>
      <c r="AA55" s="2458"/>
      <c r="AB55" s="2458"/>
      <c r="AC55" s="2458"/>
      <c r="AD55" s="2458"/>
      <c r="AE55" s="2458"/>
      <c r="AF55" s="2458"/>
      <c r="AG55" s="2458"/>
      <c r="AH55" s="2459"/>
      <c r="AI55" s="2459"/>
      <c r="AJ55" s="2459"/>
      <c r="AK55" s="2459"/>
      <c r="AL55" s="2459"/>
      <c r="AM55" s="2459"/>
      <c r="AN55" s="2459"/>
      <c r="AO55" s="246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7"/>
      <c r="C56" s="2218"/>
      <c r="D56" s="2218"/>
      <c r="E56" s="2218"/>
      <c r="F56" s="2218"/>
      <c r="G56" s="2218"/>
      <c r="H56" s="2218"/>
      <c r="I56" s="2218"/>
      <c r="J56" s="2351"/>
      <c r="K56" s="2351"/>
      <c r="L56" s="2351"/>
      <c r="M56" s="2351"/>
      <c r="N56" s="2351"/>
      <c r="O56" s="2351"/>
      <c r="P56" s="2351"/>
      <c r="Q56" s="2351"/>
      <c r="R56" s="2457"/>
      <c r="S56" s="2457"/>
      <c r="T56" s="2457"/>
      <c r="U56" s="2457"/>
      <c r="V56" s="2457"/>
      <c r="W56" s="2457"/>
      <c r="X56" s="2457"/>
      <c r="Y56" s="2457"/>
      <c r="Z56" s="2458"/>
      <c r="AA56" s="2458"/>
      <c r="AB56" s="2458"/>
      <c r="AC56" s="2458"/>
      <c r="AD56" s="2458"/>
      <c r="AE56" s="2458"/>
      <c r="AF56" s="2458"/>
      <c r="AG56" s="2458"/>
      <c r="AH56" s="2459"/>
      <c r="AI56" s="2459"/>
      <c r="AJ56" s="2459"/>
      <c r="AK56" s="2459"/>
      <c r="AL56" s="2459"/>
      <c r="AM56" s="2459"/>
      <c r="AN56" s="2459"/>
      <c r="AO56" s="246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1" t="s">
        <v>1696</v>
      </c>
      <c r="C57" s="2172"/>
      <c r="D57" s="2172"/>
      <c r="E57" s="2172"/>
      <c r="F57" s="2172"/>
      <c r="G57" s="2172"/>
      <c r="H57" s="2172"/>
      <c r="I57" s="2172"/>
      <c r="J57" s="2172"/>
      <c r="K57" s="2172"/>
      <c r="L57" s="2172"/>
      <c r="M57" s="2172"/>
      <c r="N57" s="2172"/>
      <c r="O57" s="2172"/>
      <c r="P57" s="2172"/>
      <c r="Q57" s="2172"/>
      <c r="R57" s="2461">
        <f>SUM(R52:Y56)</f>
        <v>0</v>
      </c>
      <c r="S57" s="2461"/>
      <c r="T57" s="2461"/>
      <c r="U57" s="2461"/>
      <c r="V57" s="2461"/>
      <c r="W57" s="2461"/>
      <c r="X57" s="2461"/>
      <c r="Y57" s="2461"/>
      <c r="Z57" s="2462">
        <f>SUM(Z52:AG56)</f>
        <v>0</v>
      </c>
      <c r="AA57" s="2462"/>
      <c r="AB57" s="2462"/>
      <c r="AC57" s="2462"/>
      <c r="AD57" s="2462"/>
      <c r="AE57" s="2462"/>
      <c r="AF57" s="2462"/>
      <c r="AG57" s="2462"/>
      <c r="AH57" s="2463"/>
      <c r="AI57" s="2463"/>
      <c r="AJ57" s="2463"/>
      <c r="AK57" s="2463"/>
      <c r="AL57" s="2463"/>
      <c r="AM57" s="2463"/>
      <c r="AN57" s="2463"/>
      <c r="AO57" s="246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5" t="s">
        <v>1815</v>
      </c>
      <c r="C59" s="2466"/>
      <c r="D59" s="2466"/>
      <c r="E59" s="2466"/>
      <c r="F59" s="2466"/>
      <c r="G59" s="2466"/>
      <c r="H59" s="2466"/>
      <c r="I59" s="2467"/>
      <c r="J59" s="2431" t="s">
        <v>2477</v>
      </c>
      <c r="K59" s="2431"/>
      <c r="L59" s="2431"/>
      <c r="M59" s="2431"/>
      <c r="N59" s="2431"/>
      <c r="O59" s="2431"/>
      <c r="P59" s="2431"/>
      <c r="Q59" s="2431"/>
      <c r="R59" s="2431"/>
      <c r="S59" s="2431"/>
      <c r="T59" s="2431"/>
      <c r="U59" s="2431"/>
      <c r="V59" s="2431"/>
      <c r="W59" s="2431"/>
      <c r="X59" s="2431"/>
      <c r="Y59" s="2431"/>
      <c r="Z59" s="2431"/>
      <c r="AA59" s="2431"/>
      <c r="AB59" s="2431"/>
      <c r="AC59" s="2431"/>
      <c r="AD59" s="2431"/>
      <c r="AE59" s="2431"/>
      <c r="AF59" s="2431"/>
      <c r="AG59" s="2431"/>
      <c r="AH59" s="2431"/>
      <c r="AI59" s="2431"/>
      <c r="AJ59" s="2431"/>
      <c r="AK59" s="2431"/>
      <c r="AL59" s="2431"/>
      <c r="AM59" s="2431"/>
      <c r="AN59" s="2431"/>
      <c r="AO59" s="2431"/>
      <c r="AP59" s="2431"/>
      <c r="AQ59" s="2431"/>
      <c r="AR59" s="2431"/>
      <c r="AS59" s="2431"/>
      <c r="AT59" s="2431"/>
      <c r="AU59" s="2431"/>
      <c r="AV59" s="2431"/>
      <c r="AW59" s="2432"/>
      <c r="AX59" s="1206"/>
      <c r="AY59" s="1206"/>
      <c r="AZ59" s="1206"/>
      <c r="BA59" s="1206"/>
      <c r="BB59" s="1206"/>
      <c r="BC59" s="1206"/>
      <c r="BD59" s="1206"/>
      <c r="BE59" s="1202"/>
    </row>
    <row r="60" spans="1:58" ht="15.75" customHeight="1">
      <c r="A60" s="1206"/>
      <c r="B60" s="2450" t="str">
        <f>IF(B52="", "", B52)</f>
        <v>Services Company 1</v>
      </c>
      <c r="C60" s="2451"/>
      <c r="D60" s="2451"/>
      <c r="E60" s="2451"/>
      <c r="F60" s="2451"/>
      <c r="G60" s="2451"/>
      <c r="H60" s="2451"/>
      <c r="I60" s="2452"/>
      <c r="J60" s="2453"/>
      <c r="K60" s="2354"/>
      <c r="L60" s="2354"/>
      <c r="M60" s="2354"/>
      <c r="N60" s="2354"/>
      <c r="O60" s="2354"/>
      <c r="P60" s="2354"/>
      <c r="Q60" s="2354"/>
      <c r="R60" s="2354"/>
      <c r="S60" s="2354"/>
      <c r="T60" s="2354"/>
      <c r="U60" s="2354"/>
      <c r="V60" s="2354"/>
      <c r="W60" s="2354"/>
      <c r="X60" s="2354"/>
      <c r="Y60" s="2354"/>
      <c r="Z60" s="2354"/>
      <c r="AA60" s="2354"/>
      <c r="AB60" s="2354"/>
      <c r="AC60" s="2354"/>
      <c r="AD60" s="2354"/>
      <c r="AE60" s="2354"/>
      <c r="AF60" s="2354"/>
      <c r="AG60" s="2354"/>
      <c r="AH60" s="2354"/>
      <c r="AI60" s="2354"/>
      <c r="AJ60" s="2354"/>
      <c r="AK60" s="2354"/>
      <c r="AL60" s="2354"/>
      <c r="AM60" s="2354"/>
      <c r="AN60" s="2354"/>
      <c r="AO60" s="2354"/>
      <c r="AP60" s="2354"/>
      <c r="AQ60" s="2354"/>
      <c r="AR60" s="2354"/>
      <c r="AS60" s="2354"/>
      <c r="AT60" s="2354"/>
      <c r="AU60" s="2354"/>
      <c r="AV60" s="2354"/>
      <c r="AW60" s="2355"/>
      <c r="AX60" s="1206"/>
      <c r="AY60" s="1206"/>
      <c r="AZ60" s="1206"/>
      <c r="BA60" s="1206"/>
      <c r="BB60" s="1206"/>
      <c r="BC60" s="1206"/>
      <c r="BD60" s="1206"/>
      <c r="BE60" s="1202"/>
    </row>
    <row r="61" spans="1:58" ht="15.75" customHeight="1">
      <c r="A61" s="1206"/>
      <c r="B61" s="2450" t="str">
        <f>IF(B53="", "", B53)</f>
        <v>Services Company 2</v>
      </c>
      <c r="C61" s="2451"/>
      <c r="D61" s="2451"/>
      <c r="E61" s="2451"/>
      <c r="F61" s="2451"/>
      <c r="G61" s="2451"/>
      <c r="H61" s="2451"/>
      <c r="I61" s="2452"/>
      <c r="J61" s="2453"/>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5"/>
      <c r="AX61" s="1206"/>
      <c r="AY61" s="1206"/>
      <c r="AZ61" s="1206"/>
      <c r="BA61" s="1206"/>
      <c r="BB61" s="1206"/>
      <c r="BC61" s="1206"/>
      <c r="BD61" s="1206"/>
      <c r="BE61" s="1202"/>
    </row>
    <row r="62" spans="1:58" ht="15.75" customHeight="1">
      <c r="A62" s="1206"/>
      <c r="B62" s="2450" t="str">
        <f>IF(B54="", "", B54)</f>
        <v/>
      </c>
      <c r="C62" s="2451"/>
      <c r="D62" s="2451"/>
      <c r="E62" s="2451"/>
      <c r="F62" s="2451"/>
      <c r="G62" s="2451"/>
      <c r="H62" s="2451"/>
      <c r="I62" s="2452"/>
      <c r="J62" s="2453"/>
      <c r="K62" s="2354"/>
      <c r="L62" s="2354"/>
      <c r="M62" s="2354"/>
      <c r="N62" s="2354"/>
      <c r="O62" s="2354"/>
      <c r="P62" s="2354"/>
      <c r="Q62" s="2354"/>
      <c r="R62" s="2354"/>
      <c r="S62" s="2354"/>
      <c r="T62" s="2354"/>
      <c r="U62" s="2354"/>
      <c r="V62" s="2354"/>
      <c r="W62" s="2354"/>
      <c r="X62" s="2354"/>
      <c r="Y62" s="2354"/>
      <c r="Z62" s="2354"/>
      <c r="AA62" s="2354"/>
      <c r="AB62" s="2354"/>
      <c r="AC62" s="2354"/>
      <c r="AD62" s="2354"/>
      <c r="AE62" s="2354"/>
      <c r="AF62" s="2354"/>
      <c r="AG62" s="2354"/>
      <c r="AH62" s="2354"/>
      <c r="AI62" s="2354"/>
      <c r="AJ62" s="2354"/>
      <c r="AK62" s="2354"/>
      <c r="AL62" s="2354"/>
      <c r="AM62" s="2354"/>
      <c r="AN62" s="2354"/>
      <c r="AO62" s="2354"/>
      <c r="AP62" s="2354"/>
      <c r="AQ62" s="2354"/>
      <c r="AR62" s="2354"/>
      <c r="AS62" s="2354"/>
      <c r="AT62" s="2354"/>
      <c r="AU62" s="2354"/>
      <c r="AV62" s="2354"/>
      <c r="AW62" s="2355"/>
      <c r="AX62" s="1206"/>
      <c r="AY62" s="1206"/>
      <c r="AZ62" s="1206"/>
      <c r="BA62" s="1206"/>
      <c r="BB62" s="1206"/>
      <c r="BC62" s="1206"/>
      <c r="BD62" s="1206"/>
      <c r="BE62" s="1202"/>
    </row>
    <row r="63" spans="1:58" ht="15.75" customHeight="1">
      <c r="A63" s="1206"/>
      <c r="B63" s="2450" t="str">
        <f>IF(B55="", "", B55)</f>
        <v/>
      </c>
      <c r="C63" s="2451"/>
      <c r="D63" s="2451"/>
      <c r="E63" s="2451"/>
      <c r="F63" s="2451"/>
      <c r="G63" s="2451"/>
      <c r="H63" s="2451"/>
      <c r="I63" s="2452"/>
      <c r="J63" s="2453"/>
      <c r="K63" s="2354"/>
      <c r="L63" s="2354"/>
      <c r="M63" s="2354"/>
      <c r="N63" s="2354"/>
      <c r="O63" s="2354"/>
      <c r="P63" s="2354"/>
      <c r="Q63" s="2354"/>
      <c r="R63" s="2354"/>
      <c r="S63" s="2354"/>
      <c r="T63" s="2354"/>
      <c r="U63" s="2354"/>
      <c r="V63" s="2354"/>
      <c r="W63" s="2354"/>
      <c r="X63" s="2354"/>
      <c r="Y63" s="2354"/>
      <c r="Z63" s="2354"/>
      <c r="AA63" s="2354"/>
      <c r="AB63" s="2354"/>
      <c r="AC63" s="2354"/>
      <c r="AD63" s="2354"/>
      <c r="AE63" s="2354"/>
      <c r="AF63" s="2354"/>
      <c r="AG63" s="2354"/>
      <c r="AH63" s="2354"/>
      <c r="AI63" s="2354"/>
      <c r="AJ63" s="2354"/>
      <c r="AK63" s="2354"/>
      <c r="AL63" s="2354"/>
      <c r="AM63" s="2354"/>
      <c r="AN63" s="2354"/>
      <c r="AO63" s="2354"/>
      <c r="AP63" s="2354"/>
      <c r="AQ63" s="2354"/>
      <c r="AR63" s="2354"/>
      <c r="AS63" s="2354"/>
      <c r="AT63" s="2354"/>
      <c r="AU63" s="2354"/>
      <c r="AV63" s="2354"/>
      <c r="AW63" s="2355"/>
      <c r="AX63" s="1206"/>
      <c r="AY63" s="1206"/>
      <c r="AZ63" s="1206"/>
      <c r="BA63" s="1206"/>
      <c r="BB63" s="1206"/>
      <c r="BC63" s="1206"/>
      <c r="BD63" s="1206"/>
      <c r="BE63" s="1202"/>
    </row>
    <row r="64" spans="1:58" ht="15.75" customHeight="1" thickBot="1">
      <c r="A64" s="1206"/>
      <c r="B64" s="2454" t="str">
        <f>IF(B56="", "", B56)</f>
        <v/>
      </c>
      <c r="C64" s="2455"/>
      <c r="D64" s="2455"/>
      <c r="E64" s="2455"/>
      <c r="F64" s="2455"/>
      <c r="G64" s="2455"/>
      <c r="H64" s="2455"/>
      <c r="I64" s="2456"/>
      <c r="J64" s="2468"/>
      <c r="K64" s="2448"/>
      <c r="L64" s="2448"/>
      <c r="M64" s="2448"/>
      <c r="N64" s="2448"/>
      <c r="O64" s="2448"/>
      <c r="P64" s="2448"/>
      <c r="Q64" s="2448"/>
      <c r="R64" s="2448"/>
      <c r="S64" s="2448"/>
      <c r="T64" s="2448"/>
      <c r="U64" s="2448"/>
      <c r="V64" s="2448"/>
      <c r="W64" s="2448"/>
      <c r="X64" s="2448"/>
      <c r="Y64" s="2448"/>
      <c r="Z64" s="2448"/>
      <c r="AA64" s="2448"/>
      <c r="AB64" s="2448"/>
      <c r="AC64" s="2448"/>
      <c r="AD64" s="2448"/>
      <c r="AE64" s="2448"/>
      <c r="AF64" s="2448"/>
      <c r="AG64" s="2448"/>
      <c r="AH64" s="2448"/>
      <c r="AI64" s="2448"/>
      <c r="AJ64" s="2448"/>
      <c r="AK64" s="2448"/>
      <c r="AL64" s="2448"/>
      <c r="AM64" s="2448"/>
      <c r="AN64" s="2448"/>
      <c r="AO64" s="2448"/>
      <c r="AP64" s="2448"/>
      <c r="AQ64" s="2448"/>
      <c r="AR64" s="2448"/>
      <c r="AS64" s="2448"/>
      <c r="AT64" s="2448"/>
      <c r="AU64" s="2448"/>
      <c r="AV64" s="2448"/>
      <c r="AW64" s="244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0" t="s">
        <v>1819</v>
      </c>
      <c r="C68" s="2431"/>
      <c r="D68" s="2431"/>
      <c r="E68" s="2431"/>
      <c r="F68" s="2431"/>
      <c r="G68" s="2431"/>
      <c r="H68" s="2431"/>
      <c r="I68" s="2431"/>
      <c r="J68" s="2431"/>
      <c r="K68" s="2431"/>
      <c r="L68" s="2431"/>
      <c r="M68" s="2431"/>
      <c r="N68" s="2431"/>
      <c r="O68" s="2431"/>
      <c r="P68" s="2431"/>
      <c r="Q68" s="2431"/>
      <c r="R68" s="2431"/>
      <c r="S68" s="2431"/>
      <c r="T68" s="2431"/>
      <c r="U68" s="2431"/>
      <c r="V68" s="2431"/>
      <c r="W68" s="2431"/>
      <c r="X68" s="2431"/>
      <c r="Y68" s="2431"/>
      <c r="Z68" s="2431"/>
      <c r="AA68" s="2432"/>
      <c r="AB68" s="1206"/>
      <c r="AC68" s="2182" t="s">
        <v>1820</v>
      </c>
      <c r="AD68" s="2183"/>
      <c r="AE68" s="2183"/>
      <c r="AF68" s="2183"/>
      <c r="AG68" s="2183"/>
      <c r="AH68" s="2183"/>
      <c r="AI68" s="2183"/>
      <c r="AJ68" s="2183"/>
      <c r="AK68" s="2183"/>
      <c r="AL68" s="2183"/>
      <c r="AM68" s="2183"/>
      <c r="AN68" s="2183"/>
      <c r="AO68" s="2183"/>
      <c r="AP68" s="2183"/>
      <c r="AQ68" s="2183"/>
      <c r="AR68" s="2183"/>
      <c r="AS68" s="2183"/>
      <c r="AT68" s="2183"/>
      <c r="AU68" s="2183"/>
      <c r="AV68" s="2233" t="s">
        <v>677</v>
      </c>
      <c r="AW68" s="2234"/>
      <c r="AX68" s="2234"/>
      <c r="AY68" s="2234"/>
      <c r="AZ68" s="2234"/>
      <c r="BA68" s="2234"/>
      <c r="BB68" s="2234"/>
      <c r="BC68" s="2235"/>
      <c r="BD68" s="1206"/>
      <c r="BE68" s="1202"/>
      <c r="BM68" s="1251" t="s">
        <v>2478</v>
      </c>
    </row>
    <row r="69" spans="1:65" ht="15.75" customHeight="1" thickTop="1" thickBot="1">
      <c r="A69" s="1206"/>
      <c r="B69" s="2236" t="s">
        <v>1821</v>
      </c>
      <c r="C69" s="2237"/>
      <c r="D69" s="2237"/>
      <c r="E69" s="2237"/>
      <c r="F69" s="2237"/>
      <c r="G69" s="2237"/>
      <c r="H69" s="2237"/>
      <c r="I69" s="2237"/>
      <c r="J69" s="2237"/>
      <c r="K69" s="2237"/>
      <c r="L69" s="2237"/>
      <c r="M69" s="2237"/>
      <c r="N69" s="2237"/>
      <c r="O69" s="2238" t="s">
        <v>1822</v>
      </c>
      <c r="P69" s="2239"/>
      <c r="Q69" s="2239"/>
      <c r="R69" s="2239"/>
      <c r="S69" s="2239"/>
      <c r="T69" s="2239"/>
      <c r="U69" s="2239"/>
      <c r="V69" s="2239"/>
      <c r="W69" s="2239"/>
      <c r="X69" s="2239"/>
      <c r="Y69" s="2239"/>
      <c r="Z69" s="2239"/>
      <c r="AA69" s="2240"/>
      <c r="AB69" s="1206"/>
      <c r="AC69" s="2241" t="s">
        <v>1823</v>
      </c>
      <c r="AD69" s="2242"/>
      <c r="AE69" s="2242"/>
      <c r="AF69" s="2242"/>
      <c r="AG69" s="2242"/>
      <c r="AH69" s="2242"/>
      <c r="AI69" s="2242"/>
      <c r="AJ69" s="2242"/>
      <c r="AK69" s="2242"/>
      <c r="AL69" s="2242"/>
      <c r="AM69" s="2242"/>
      <c r="AN69" s="2242"/>
      <c r="AO69" s="2242"/>
      <c r="AP69" s="2242"/>
      <c r="AQ69" s="2242"/>
      <c r="AR69" s="2242"/>
      <c r="AS69" s="2242"/>
      <c r="AT69" s="2242"/>
      <c r="AU69" s="2242"/>
      <c r="AV69" s="2243"/>
      <c r="AW69" s="2244"/>
      <c r="AX69" s="2244"/>
      <c r="AY69" s="2244"/>
      <c r="AZ69" s="2244"/>
      <c r="BA69" s="2244"/>
      <c r="BB69" s="2244"/>
      <c r="BC69" s="2245"/>
      <c r="BD69" s="1206"/>
      <c r="BE69" s="1202"/>
      <c r="BM69" s="1250" t="s">
        <v>553</v>
      </c>
    </row>
    <row r="70" spans="1:65" ht="15.75" customHeight="1">
      <c r="A70" s="1206"/>
      <c r="B70" s="2246" t="s">
        <v>2479</v>
      </c>
      <c r="C70" s="2247"/>
      <c r="D70" s="2247"/>
      <c r="E70" s="2247"/>
      <c r="F70" s="2247"/>
      <c r="G70" s="2247"/>
      <c r="H70" s="2247"/>
      <c r="I70" s="2247"/>
      <c r="J70" s="2247"/>
      <c r="K70" s="2247"/>
      <c r="L70" s="2247"/>
      <c r="M70" s="2247"/>
      <c r="N70" s="2247"/>
      <c r="O70" s="2211">
        <v>0</v>
      </c>
      <c r="P70" s="2211"/>
      <c r="Q70" s="2211"/>
      <c r="R70" s="2211"/>
      <c r="S70" s="2211"/>
      <c r="T70" s="2211"/>
      <c r="U70" s="2211"/>
      <c r="V70" s="2211"/>
      <c r="W70" s="2211"/>
      <c r="X70" s="2211"/>
      <c r="Y70" s="2211"/>
      <c r="Z70" s="2211"/>
      <c r="AA70" s="2212"/>
      <c r="AB70" s="1206"/>
      <c r="AC70" s="2419" t="s">
        <v>1824</v>
      </c>
      <c r="AD70" s="2215"/>
      <c r="AE70" s="2215"/>
      <c r="AF70" s="2444"/>
      <c r="AG70" s="2444"/>
      <c r="AH70" s="2444"/>
      <c r="AI70" s="2444"/>
      <c r="AJ70" s="2444"/>
      <c r="AK70" s="2444"/>
      <c r="AL70" s="2444"/>
      <c r="AM70" s="2444"/>
      <c r="AN70" s="2444"/>
      <c r="AO70" s="2444"/>
      <c r="AP70" s="2444"/>
      <c r="AQ70" s="2444"/>
      <c r="AR70" s="2444"/>
      <c r="AS70" s="2444"/>
      <c r="AT70" s="2444"/>
      <c r="AU70" s="2445"/>
      <c r="AV70" s="1206"/>
      <c r="AW70" s="1206"/>
      <c r="AX70" s="1206"/>
      <c r="AY70" s="1206"/>
      <c r="AZ70" s="1206"/>
      <c r="BA70" s="1206"/>
      <c r="BB70" s="1206"/>
      <c r="BC70" s="1206"/>
      <c r="BD70" s="1206"/>
      <c r="BE70" s="1202"/>
      <c r="BM70" s="1249" t="s">
        <v>677</v>
      </c>
    </row>
    <row r="71" spans="1:65" ht="15.75" customHeight="1" thickBot="1">
      <c r="A71" s="1206"/>
      <c r="B71" s="2246" t="s">
        <v>2480</v>
      </c>
      <c r="C71" s="2247"/>
      <c r="D71" s="2247"/>
      <c r="E71" s="2247"/>
      <c r="F71" s="2247"/>
      <c r="G71" s="2247"/>
      <c r="H71" s="2247"/>
      <c r="I71" s="2247"/>
      <c r="J71" s="2247"/>
      <c r="K71" s="2247"/>
      <c r="L71" s="2247"/>
      <c r="M71" s="2247"/>
      <c r="N71" s="2247"/>
      <c r="O71" s="2211">
        <v>0</v>
      </c>
      <c r="P71" s="2211"/>
      <c r="Q71" s="2211"/>
      <c r="R71" s="2211"/>
      <c r="S71" s="2211"/>
      <c r="T71" s="2211"/>
      <c r="U71" s="2211"/>
      <c r="V71" s="2211"/>
      <c r="W71" s="2211"/>
      <c r="X71" s="2211"/>
      <c r="Y71" s="2211"/>
      <c r="Z71" s="2211"/>
      <c r="AA71" s="2212"/>
      <c r="AB71" s="1206"/>
      <c r="AC71" s="2446" t="s">
        <v>1825</v>
      </c>
      <c r="AD71" s="2447"/>
      <c r="AE71" s="2447"/>
      <c r="AF71" s="2448"/>
      <c r="AG71" s="2448"/>
      <c r="AH71" s="2448"/>
      <c r="AI71" s="2448"/>
      <c r="AJ71" s="2448"/>
      <c r="AK71" s="2448"/>
      <c r="AL71" s="2448"/>
      <c r="AM71" s="2448"/>
      <c r="AN71" s="2448"/>
      <c r="AO71" s="2448"/>
      <c r="AP71" s="2448"/>
      <c r="AQ71" s="2448"/>
      <c r="AR71" s="2448"/>
      <c r="AS71" s="2448"/>
      <c r="AT71" s="2448"/>
      <c r="AU71" s="2449"/>
      <c r="AV71" s="1206"/>
      <c r="AW71" s="1206"/>
      <c r="AX71" s="1206"/>
      <c r="AY71" s="1206"/>
      <c r="AZ71" s="1206"/>
      <c r="BA71" s="1206"/>
      <c r="BB71" s="1206"/>
      <c r="BC71" s="1206"/>
      <c r="BD71" s="1206"/>
      <c r="BE71" s="1202"/>
      <c r="BM71" s="1197" t="s">
        <v>2481</v>
      </c>
    </row>
    <row r="72" spans="1:65" ht="15.75" customHeight="1">
      <c r="A72" s="1206"/>
      <c r="B72" s="2246" t="s">
        <v>2482</v>
      </c>
      <c r="C72" s="2247"/>
      <c r="D72" s="2247"/>
      <c r="E72" s="2247"/>
      <c r="F72" s="2247"/>
      <c r="G72" s="2247"/>
      <c r="H72" s="2247"/>
      <c r="I72" s="2247"/>
      <c r="J72" s="2247"/>
      <c r="K72" s="2247"/>
      <c r="L72" s="2247"/>
      <c r="M72" s="2247"/>
      <c r="N72" s="2247"/>
      <c r="O72" s="2211">
        <v>0</v>
      </c>
      <c r="P72" s="2211"/>
      <c r="Q72" s="2211"/>
      <c r="R72" s="2211"/>
      <c r="S72" s="2211"/>
      <c r="T72" s="2211"/>
      <c r="U72" s="2211"/>
      <c r="V72" s="2211"/>
      <c r="W72" s="2211"/>
      <c r="X72" s="2211"/>
      <c r="Y72" s="2211"/>
      <c r="Z72" s="2211"/>
      <c r="AA72" s="2212"/>
      <c r="AB72" s="1206"/>
      <c r="AC72" s="2213" t="s">
        <v>2483</v>
      </c>
      <c r="AD72" s="2214"/>
      <c r="AE72" s="2214"/>
      <c r="AF72" s="2214"/>
      <c r="AG72" s="2214"/>
      <c r="AH72" s="2214"/>
      <c r="AI72" s="2214"/>
      <c r="AJ72" s="2214"/>
      <c r="AK72" s="2214"/>
      <c r="AL72" s="2214"/>
      <c r="AM72" s="2214"/>
      <c r="AN72" s="2214"/>
      <c r="AO72" s="2214"/>
      <c r="AP72" s="2214"/>
      <c r="AQ72" s="2214"/>
      <c r="AR72" s="2214"/>
      <c r="AS72" s="2214"/>
      <c r="AT72" s="2214"/>
      <c r="AU72" s="2214"/>
      <c r="AV72" s="2215"/>
      <c r="AW72" s="2215"/>
      <c r="AX72" s="2215"/>
      <c r="AY72" s="2215"/>
      <c r="AZ72" s="2215"/>
      <c r="BA72" s="2215"/>
      <c r="BB72" s="2215"/>
      <c r="BC72" s="2216"/>
      <c r="BD72" s="1206"/>
      <c r="BE72" s="1202"/>
    </row>
    <row r="73" spans="1:65" ht="15.75" customHeight="1">
      <c r="A73" s="1206"/>
      <c r="B73" s="2217" t="s">
        <v>2484</v>
      </c>
      <c r="C73" s="2218"/>
      <c r="D73" s="2218"/>
      <c r="E73" s="2218"/>
      <c r="F73" s="2218"/>
      <c r="G73" s="2218"/>
      <c r="H73" s="2218"/>
      <c r="I73" s="2218"/>
      <c r="J73" s="2218"/>
      <c r="K73" s="2218"/>
      <c r="L73" s="2218"/>
      <c r="M73" s="2218"/>
      <c r="N73" s="2218"/>
      <c r="O73" s="2211">
        <v>0</v>
      </c>
      <c r="P73" s="2211"/>
      <c r="Q73" s="2211"/>
      <c r="R73" s="2211"/>
      <c r="S73" s="2211"/>
      <c r="T73" s="2211"/>
      <c r="U73" s="2211"/>
      <c r="V73" s="2211"/>
      <c r="W73" s="2211"/>
      <c r="X73" s="2211"/>
      <c r="Y73" s="2211"/>
      <c r="Z73" s="2211"/>
      <c r="AA73" s="2212"/>
      <c r="AB73" s="1206"/>
      <c r="AC73" s="2401" t="s">
        <v>2185</v>
      </c>
      <c r="AD73" s="2402"/>
      <c r="AE73" s="2402"/>
      <c r="AF73" s="2402"/>
      <c r="AG73" s="2402"/>
      <c r="AH73" s="2402"/>
      <c r="AI73" s="2402"/>
      <c r="AJ73" s="2402"/>
      <c r="AK73" s="2402"/>
      <c r="AL73" s="2402"/>
      <c r="AM73" s="2402"/>
      <c r="AN73" s="2402"/>
      <c r="AO73" s="2402"/>
      <c r="AP73" s="2402"/>
      <c r="AQ73" s="2402"/>
      <c r="AR73" s="2402"/>
      <c r="AS73" s="2402"/>
      <c r="AT73" s="2402"/>
      <c r="AU73" s="2402"/>
      <c r="AV73" s="2402"/>
      <c r="AW73" s="2402"/>
      <c r="AX73" s="2402"/>
      <c r="AY73" s="2402"/>
      <c r="AZ73" s="2402"/>
      <c r="BA73" s="2402"/>
      <c r="BB73" s="2402"/>
      <c r="BC73" s="2403"/>
      <c r="BD73" s="1206"/>
      <c r="BE73" s="1202"/>
    </row>
    <row r="74" spans="1:65" ht="15.75" customHeight="1">
      <c r="A74" s="1206"/>
      <c r="B74" s="2350"/>
      <c r="C74" s="2351"/>
      <c r="D74" s="2351"/>
      <c r="E74" s="2351"/>
      <c r="F74" s="2351"/>
      <c r="G74" s="2351"/>
      <c r="H74" s="2351"/>
      <c r="I74" s="2351"/>
      <c r="J74" s="2351"/>
      <c r="K74" s="2351"/>
      <c r="L74" s="2351"/>
      <c r="M74" s="2351"/>
      <c r="N74" s="2351"/>
      <c r="O74" s="2211"/>
      <c r="P74" s="2211"/>
      <c r="Q74" s="2211"/>
      <c r="R74" s="2211"/>
      <c r="S74" s="2211"/>
      <c r="T74" s="2211"/>
      <c r="U74" s="2211"/>
      <c r="V74" s="2211"/>
      <c r="W74" s="2211"/>
      <c r="X74" s="2211"/>
      <c r="Y74" s="2211"/>
      <c r="Z74" s="2211"/>
      <c r="AA74" s="2212"/>
      <c r="AB74" s="1206"/>
      <c r="AC74" s="2401"/>
      <c r="AD74" s="2402"/>
      <c r="AE74" s="2402"/>
      <c r="AF74" s="2402"/>
      <c r="AG74" s="2402"/>
      <c r="AH74" s="2402"/>
      <c r="AI74" s="2402"/>
      <c r="AJ74" s="2402"/>
      <c r="AK74" s="2402"/>
      <c r="AL74" s="2402"/>
      <c r="AM74" s="2402"/>
      <c r="AN74" s="2402"/>
      <c r="AO74" s="2402"/>
      <c r="AP74" s="2402"/>
      <c r="AQ74" s="2402"/>
      <c r="AR74" s="2402"/>
      <c r="AS74" s="2402"/>
      <c r="AT74" s="2402"/>
      <c r="AU74" s="2402"/>
      <c r="AV74" s="2402"/>
      <c r="AW74" s="2402"/>
      <c r="AX74" s="2402"/>
      <c r="AY74" s="2402"/>
      <c r="AZ74" s="2402"/>
      <c r="BA74" s="2402"/>
      <c r="BB74" s="2402"/>
      <c r="BC74" s="2403"/>
      <c r="BD74" s="1206"/>
      <c r="BE74" s="1202"/>
    </row>
    <row r="75" spans="1:65" ht="15.75" customHeight="1" thickBot="1">
      <c r="A75" s="1206"/>
      <c r="B75" s="2442" t="s">
        <v>124</v>
      </c>
      <c r="C75" s="2443"/>
      <c r="D75" s="2443"/>
      <c r="E75" s="2443"/>
      <c r="F75" s="2443"/>
      <c r="G75" s="2443"/>
      <c r="H75" s="2443"/>
      <c r="I75" s="2443"/>
      <c r="J75" s="2443"/>
      <c r="K75" s="2443"/>
      <c r="L75" s="2443"/>
      <c r="M75" s="2443"/>
      <c r="N75" s="2443"/>
      <c r="O75" s="2219">
        <f>SUM(O70:AA74)</f>
        <v>0</v>
      </c>
      <c r="P75" s="2219"/>
      <c r="Q75" s="2219"/>
      <c r="R75" s="2219"/>
      <c r="S75" s="2219"/>
      <c r="T75" s="2219"/>
      <c r="U75" s="2219"/>
      <c r="V75" s="2219"/>
      <c r="W75" s="2219"/>
      <c r="X75" s="2219"/>
      <c r="Y75" s="2219"/>
      <c r="Z75" s="2219"/>
      <c r="AA75" s="2220"/>
      <c r="AB75" s="1206"/>
      <c r="AC75" s="2401"/>
      <c r="AD75" s="2402"/>
      <c r="AE75" s="2402"/>
      <c r="AF75" s="2402"/>
      <c r="AG75" s="2402"/>
      <c r="AH75" s="2402"/>
      <c r="AI75" s="2402"/>
      <c r="AJ75" s="2402"/>
      <c r="AK75" s="2402"/>
      <c r="AL75" s="2402"/>
      <c r="AM75" s="2402"/>
      <c r="AN75" s="2402"/>
      <c r="AO75" s="2402"/>
      <c r="AP75" s="2402"/>
      <c r="AQ75" s="2402"/>
      <c r="AR75" s="2402"/>
      <c r="AS75" s="2402"/>
      <c r="AT75" s="2402"/>
      <c r="AU75" s="2402"/>
      <c r="AV75" s="2402"/>
      <c r="AW75" s="2402"/>
      <c r="AX75" s="2402"/>
      <c r="AY75" s="2402"/>
      <c r="AZ75" s="2402"/>
      <c r="BA75" s="2402"/>
      <c r="BB75" s="2402"/>
      <c r="BC75" s="240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1"/>
      <c r="AD76" s="2402"/>
      <c r="AE76" s="2402"/>
      <c r="AF76" s="2402"/>
      <c r="AG76" s="2402"/>
      <c r="AH76" s="2402"/>
      <c r="AI76" s="2402"/>
      <c r="AJ76" s="2402"/>
      <c r="AK76" s="2402"/>
      <c r="AL76" s="2402"/>
      <c r="AM76" s="2402"/>
      <c r="AN76" s="2402"/>
      <c r="AO76" s="2402"/>
      <c r="AP76" s="2402"/>
      <c r="AQ76" s="2402"/>
      <c r="AR76" s="2402"/>
      <c r="AS76" s="2402"/>
      <c r="AT76" s="2402"/>
      <c r="AU76" s="2402"/>
      <c r="AV76" s="2402"/>
      <c r="AW76" s="2402"/>
      <c r="AX76" s="2402"/>
      <c r="AY76" s="2402"/>
      <c r="AZ76" s="2402"/>
      <c r="BA76" s="2402"/>
      <c r="BB76" s="2402"/>
      <c r="BC76" s="240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4"/>
      <c r="AD77" s="2405"/>
      <c r="AE77" s="2405"/>
      <c r="AF77" s="2405"/>
      <c r="AG77" s="2405"/>
      <c r="AH77" s="2405"/>
      <c r="AI77" s="2405"/>
      <c r="AJ77" s="2405"/>
      <c r="AK77" s="2405"/>
      <c r="AL77" s="2405"/>
      <c r="AM77" s="2405"/>
      <c r="AN77" s="2405"/>
      <c r="AO77" s="2405"/>
      <c r="AP77" s="2405"/>
      <c r="AQ77" s="2405"/>
      <c r="AR77" s="2405"/>
      <c r="AS77" s="2405"/>
      <c r="AT77" s="2405"/>
      <c r="AU77" s="2405"/>
      <c r="AV77" s="2405"/>
      <c r="AW77" s="2405"/>
      <c r="AX77" s="2405"/>
      <c r="AY77" s="2405"/>
      <c r="AZ77" s="2405"/>
      <c r="BA77" s="2405"/>
      <c r="BB77" s="2405"/>
      <c r="BC77" s="2406"/>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31"/>
      <c r="G79" s="2232"/>
      <c r="H79" s="2232"/>
      <c r="I79" s="2232"/>
      <c r="J79" s="2232"/>
      <c r="K79" s="2232"/>
      <c r="L79" s="2232"/>
      <c r="M79" s="2199"/>
      <c r="N79" s="2199"/>
      <c r="O79" s="2199"/>
      <c r="P79" s="2199"/>
      <c r="Q79" s="2200"/>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4" t="e">
        <f>BR96/SUM($BR$96:$BR$98)</f>
        <v>#DIV/0!</v>
      </c>
      <c r="P80" s="2205"/>
      <c r="Q80" s="220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5" t="s">
        <v>2549</v>
      </c>
      <c r="P81" s="2196"/>
      <c r="Q81" s="2197"/>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1" t="s">
        <v>2168</v>
      </c>
      <c r="C83" s="2582"/>
      <c r="D83" s="2582"/>
      <c r="E83" s="2582"/>
      <c r="F83" s="2582"/>
      <c r="G83" s="2582"/>
      <c r="H83" s="2582"/>
      <c r="I83" s="2582"/>
      <c r="J83" s="2582"/>
      <c r="K83" s="2582"/>
      <c r="L83" s="2582"/>
      <c r="M83" s="2582"/>
      <c r="N83" s="2582"/>
      <c r="O83" s="2582"/>
      <c r="P83" s="2582"/>
      <c r="Q83" s="2582"/>
      <c r="R83" s="2582"/>
      <c r="S83" s="2582"/>
      <c r="T83" s="2582"/>
      <c r="U83" s="2582"/>
      <c r="V83" s="2582"/>
      <c r="W83" s="2582"/>
      <c r="X83" s="2582"/>
      <c r="Y83" s="2582"/>
      <c r="Z83" s="2582"/>
      <c r="AA83" s="2582"/>
      <c r="AB83" s="2582"/>
      <c r="AC83" s="2582"/>
      <c r="AD83" s="2582"/>
      <c r="AE83" s="2582"/>
      <c r="AF83" s="2582"/>
      <c r="AG83" s="2582"/>
      <c r="AH83" s="2583"/>
      <c r="AI83" s="1206"/>
      <c r="AJ83" s="2185" t="s">
        <v>2616</v>
      </c>
      <c r="AK83" s="2186"/>
      <c r="AL83" s="2186"/>
      <c r="AM83" s="2186"/>
      <c r="AN83" s="2186"/>
      <c r="AO83" s="2186"/>
      <c r="AP83" s="2186"/>
      <c r="AQ83" s="2186"/>
      <c r="AR83" s="2186"/>
      <c r="AS83" s="2186"/>
      <c r="AT83" s="2186"/>
      <c r="AU83" s="2186"/>
      <c r="AV83" s="2186"/>
      <c r="AW83" s="2186"/>
      <c r="AX83" s="2186"/>
      <c r="AY83" s="2207" t="s">
        <v>553</v>
      </c>
      <c r="AZ83" s="2207"/>
      <c r="BA83" s="2207"/>
      <c r="BB83" s="2208"/>
      <c r="BC83" s="1206"/>
      <c r="BD83" s="1206"/>
      <c r="BE83" s="1202"/>
    </row>
    <row r="84" spans="1:70" ht="15.75" customHeight="1">
      <c r="A84" s="1206"/>
      <c r="B84" s="2177"/>
      <c r="C84" s="2178"/>
      <c r="D84" s="2178"/>
      <c r="E84" s="2178"/>
      <c r="F84" s="2178"/>
      <c r="G84" s="2178"/>
      <c r="H84" s="2178"/>
      <c r="I84" s="2178" t="s">
        <v>1826</v>
      </c>
      <c r="J84" s="2178"/>
      <c r="K84" s="2178"/>
      <c r="L84" s="2178"/>
      <c r="M84" s="2178"/>
      <c r="N84" s="2178"/>
      <c r="O84" s="2178" t="s">
        <v>1827</v>
      </c>
      <c r="P84" s="2178"/>
      <c r="Q84" s="2178"/>
      <c r="R84" s="2178"/>
      <c r="S84" s="2178"/>
      <c r="T84" s="2178"/>
      <c r="U84" s="2178"/>
      <c r="V84" s="2179" t="s">
        <v>2186</v>
      </c>
      <c r="W84" s="2179"/>
      <c r="X84" s="2179"/>
      <c r="Y84" s="2179"/>
      <c r="Z84" s="2179"/>
      <c r="AA84" s="2179"/>
      <c r="AB84" s="2180" t="s">
        <v>1828</v>
      </c>
      <c r="AC84" s="2180"/>
      <c r="AD84" s="2180"/>
      <c r="AE84" s="2180"/>
      <c r="AF84" s="2180"/>
      <c r="AG84" s="2180"/>
      <c r="AH84" s="2181"/>
      <c r="AI84" s="1206"/>
      <c r="AJ84" s="2187"/>
      <c r="AK84" s="2188"/>
      <c r="AL84" s="2188"/>
      <c r="AM84" s="2188"/>
      <c r="AN84" s="2188"/>
      <c r="AO84" s="2188"/>
      <c r="AP84" s="2188"/>
      <c r="AQ84" s="2188"/>
      <c r="AR84" s="2188"/>
      <c r="AS84" s="2188"/>
      <c r="AT84" s="2188"/>
      <c r="AU84" s="2188"/>
      <c r="AV84" s="2188"/>
      <c r="AW84" s="2188"/>
      <c r="AX84" s="2188"/>
      <c r="AY84" s="2209"/>
      <c r="AZ84" s="2209"/>
      <c r="BA84" s="2209"/>
      <c r="BB84" s="2210"/>
      <c r="BC84" s="1206"/>
      <c r="BD84" s="1206"/>
      <c r="BE84" s="1202"/>
    </row>
    <row r="85" spans="1:70" ht="15.75" customHeight="1">
      <c r="A85" s="1206"/>
      <c r="B85" s="2177"/>
      <c r="C85" s="2178"/>
      <c r="D85" s="2178"/>
      <c r="E85" s="2178"/>
      <c r="F85" s="2178"/>
      <c r="G85" s="2178"/>
      <c r="H85" s="2178"/>
      <c r="I85" s="2178"/>
      <c r="J85" s="2178"/>
      <c r="K85" s="2178"/>
      <c r="L85" s="2178"/>
      <c r="M85" s="2178"/>
      <c r="N85" s="2178"/>
      <c r="O85" s="2178"/>
      <c r="P85" s="2178"/>
      <c r="Q85" s="2178"/>
      <c r="R85" s="2178"/>
      <c r="S85" s="2178"/>
      <c r="T85" s="2178"/>
      <c r="U85" s="2178"/>
      <c r="V85" s="2179"/>
      <c r="W85" s="2179"/>
      <c r="X85" s="2179"/>
      <c r="Y85" s="2179"/>
      <c r="Z85" s="2179"/>
      <c r="AA85" s="2179"/>
      <c r="AB85" s="2180"/>
      <c r="AC85" s="2180"/>
      <c r="AD85" s="2180"/>
      <c r="AE85" s="2180"/>
      <c r="AF85" s="2180"/>
      <c r="AG85" s="2180"/>
      <c r="AH85" s="2181"/>
      <c r="AI85" s="1206"/>
      <c r="AJ85" s="2187"/>
      <c r="AK85" s="2188"/>
      <c r="AL85" s="2188"/>
      <c r="AM85" s="2188"/>
      <c r="AN85" s="2188"/>
      <c r="AO85" s="2188"/>
      <c r="AP85" s="2188"/>
      <c r="AQ85" s="2188"/>
      <c r="AR85" s="2188"/>
      <c r="AS85" s="2188"/>
      <c r="AT85" s="2188"/>
      <c r="AU85" s="2188"/>
      <c r="AV85" s="2188"/>
      <c r="AW85" s="2188"/>
      <c r="AX85" s="2188"/>
      <c r="AY85" s="2209"/>
      <c r="AZ85" s="2209"/>
      <c r="BA85" s="2209"/>
      <c r="BB85" s="2210"/>
      <c r="BC85" s="1206"/>
      <c r="BD85" s="1206"/>
      <c r="BE85" s="1202"/>
    </row>
    <row r="86" spans="1:70" ht="15.75" customHeight="1">
      <c r="A86" s="1206"/>
      <c r="B86" s="2177" t="s">
        <v>2169</v>
      </c>
      <c r="C86" s="2178"/>
      <c r="D86" s="2178"/>
      <c r="E86" s="2178"/>
      <c r="F86" s="2178"/>
      <c r="G86" s="2178"/>
      <c r="H86" s="2178"/>
      <c r="I86" s="2175">
        <v>0</v>
      </c>
      <c r="J86" s="2175"/>
      <c r="K86" s="2175"/>
      <c r="L86" s="2175"/>
      <c r="M86" s="2175"/>
      <c r="N86" s="2175"/>
      <c r="O86" s="2175">
        <v>0</v>
      </c>
      <c r="P86" s="2175"/>
      <c r="Q86" s="2175"/>
      <c r="R86" s="2175"/>
      <c r="S86" s="2175"/>
      <c r="T86" s="2175"/>
      <c r="U86" s="2175"/>
      <c r="V86" s="2175">
        <v>0</v>
      </c>
      <c r="W86" s="2175"/>
      <c r="X86" s="2175"/>
      <c r="Y86" s="2175"/>
      <c r="Z86" s="2175"/>
      <c r="AA86" s="2175"/>
      <c r="AB86" s="2175">
        <v>0</v>
      </c>
      <c r="AC86" s="2175"/>
      <c r="AD86" s="2175"/>
      <c r="AE86" s="2175"/>
      <c r="AF86" s="2175"/>
      <c r="AG86" s="2175"/>
      <c r="AH86" s="2176"/>
      <c r="AI86" s="1206"/>
      <c r="AJ86" s="2187"/>
      <c r="AK86" s="2188"/>
      <c r="AL86" s="2188"/>
      <c r="AM86" s="2188"/>
      <c r="AN86" s="2188"/>
      <c r="AO86" s="2188"/>
      <c r="AP86" s="2188"/>
      <c r="AQ86" s="2188"/>
      <c r="AR86" s="2188"/>
      <c r="AS86" s="2188"/>
      <c r="AT86" s="2188"/>
      <c r="AU86" s="2188"/>
      <c r="AV86" s="2188"/>
      <c r="AW86" s="2188"/>
      <c r="AX86" s="2188"/>
      <c r="AY86" s="2209"/>
      <c r="AZ86" s="2209"/>
      <c r="BA86" s="2209"/>
      <c r="BB86" s="2210"/>
      <c r="BC86" s="1206"/>
      <c r="BD86" s="1206"/>
      <c r="BE86" s="1202"/>
    </row>
    <row r="87" spans="1:70" ht="15.75" customHeight="1">
      <c r="A87" s="1206"/>
      <c r="B87" s="2177" t="s">
        <v>2170</v>
      </c>
      <c r="C87" s="2178"/>
      <c r="D87" s="2178"/>
      <c r="E87" s="2178"/>
      <c r="F87" s="2178"/>
      <c r="G87" s="2178"/>
      <c r="H87" s="2178"/>
      <c r="I87" s="2175">
        <v>0</v>
      </c>
      <c r="J87" s="2175"/>
      <c r="K87" s="2175"/>
      <c r="L87" s="2175"/>
      <c r="M87" s="2175"/>
      <c r="N87" s="2175"/>
      <c r="O87" s="2175">
        <v>0</v>
      </c>
      <c r="P87" s="2175"/>
      <c r="Q87" s="2175"/>
      <c r="R87" s="2175"/>
      <c r="S87" s="2175"/>
      <c r="T87" s="2175"/>
      <c r="U87" s="2175"/>
      <c r="V87" s="2175">
        <v>0</v>
      </c>
      <c r="W87" s="2175"/>
      <c r="X87" s="2175"/>
      <c r="Y87" s="2175"/>
      <c r="Z87" s="2175"/>
      <c r="AA87" s="2175"/>
      <c r="AB87" s="2175">
        <v>0</v>
      </c>
      <c r="AC87" s="2175"/>
      <c r="AD87" s="2175"/>
      <c r="AE87" s="2175"/>
      <c r="AF87" s="2175"/>
      <c r="AG87" s="2175"/>
      <c r="AH87" s="2176"/>
      <c r="AI87" s="1206"/>
      <c r="AJ87" s="2189" t="s">
        <v>2485</v>
      </c>
      <c r="AK87" s="2190"/>
      <c r="AL87" s="2190"/>
      <c r="AM87" s="2190"/>
      <c r="AN87" s="2190"/>
      <c r="AO87" s="2190"/>
      <c r="AP87" s="2190"/>
      <c r="AQ87" s="2190"/>
      <c r="AR87" s="2190"/>
      <c r="AS87" s="2190"/>
      <c r="AT87" s="2190"/>
      <c r="AU87" s="2190"/>
      <c r="AV87" s="2190"/>
      <c r="AW87" s="2190"/>
      <c r="AX87" s="2190"/>
      <c r="AY87" s="2190"/>
      <c r="AZ87" s="2190"/>
      <c r="BA87" s="2190"/>
      <c r="BB87" s="2191"/>
      <c r="BC87" s="1206"/>
      <c r="BD87" s="1206"/>
      <c r="BE87" s="1202"/>
    </row>
    <row r="88" spans="1:70" ht="15.75" customHeight="1" thickBot="1">
      <c r="A88" s="1206"/>
      <c r="B88" s="2171" t="s">
        <v>1829</v>
      </c>
      <c r="C88" s="2172"/>
      <c r="D88" s="2172"/>
      <c r="E88" s="2172"/>
      <c r="F88" s="2172"/>
      <c r="G88" s="2172"/>
      <c r="H88" s="2172"/>
      <c r="I88" s="2173">
        <v>0</v>
      </c>
      <c r="J88" s="2173"/>
      <c r="K88" s="2173"/>
      <c r="L88" s="2173"/>
      <c r="M88" s="2173"/>
      <c r="N88" s="2173"/>
      <c r="O88" s="2173">
        <v>0</v>
      </c>
      <c r="P88" s="2173"/>
      <c r="Q88" s="2173"/>
      <c r="R88" s="2173"/>
      <c r="S88" s="2173"/>
      <c r="T88" s="2173"/>
      <c r="U88" s="2173"/>
      <c r="V88" s="2173">
        <v>0</v>
      </c>
      <c r="W88" s="2173"/>
      <c r="X88" s="2173"/>
      <c r="Y88" s="2173"/>
      <c r="Z88" s="2173"/>
      <c r="AA88" s="2173"/>
      <c r="AB88" s="2173">
        <v>0</v>
      </c>
      <c r="AC88" s="2173"/>
      <c r="AD88" s="2173"/>
      <c r="AE88" s="2173"/>
      <c r="AF88" s="2173"/>
      <c r="AG88" s="2173"/>
      <c r="AH88" s="2174"/>
      <c r="AI88" s="1206"/>
      <c r="AJ88" s="2192"/>
      <c r="AK88" s="2193"/>
      <c r="AL88" s="2193"/>
      <c r="AM88" s="2193"/>
      <c r="AN88" s="2193"/>
      <c r="AO88" s="2193"/>
      <c r="AP88" s="2193"/>
      <c r="AQ88" s="2193"/>
      <c r="AR88" s="2193"/>
      <c r="AS88" s="2193"/>
      <c r="AT88" s="2193"/>
      <c r="AU88" s="2193"/>
      <c r="AV88" s="2193"/>
      <c r="AW88" s="2193"/>
      <c r="AX88" s="2193"/>
      <c r="AY88" s="2193"/>
      <c r="AZ88" s="2193"/>
      <c r="BA88" s="2193"/>
      <c r="BB88" s="219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8"/>
      <c r="G92" s="2199"/>
      <c r="H92" s="2199"/>
      <c r="I92" s="2199"/>
      <c r="J92" s="2199"/>
      <c r="K92" s="2199"/>
      <c r="L92" s="2199"/>
      <c r="M92" s="2199"/>
      <c r="N92" s="2199"/>
      <c r="O92" s="2199"/>
      <c r="P92" s="2199"/>
      <c r="Q92" s="2200"/>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4" t="e">
        <f>BR97/SUM($BR$96:$BR$98)</f>
        <v>#DIV/0!</v>
      </c>
      <c r="P93" s="2205"/>
      <c r="Q93" s="220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5" t="s">
        <v>2549</v>
      </c>
      <c r="P94" s="2196"/>
      <c r="Q94" s="2197"/>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1" t="s">
        <v>2613</v>
      </c>
      <c r="C96" s="2582"/>
      <c r="D96" s="2582"/>
      <c r="E96" s="2582"/>
      <c r="F96" s="2582"/>
      <c r="G96" s="2582"/>
      <c r="H96" s="2582"/>
      <c r="I96" s="2582"/>
      <c r="J96" s="2582"/>
      <c r="K96" s="2582"/>
      <c r="L96" s="2582"/>
      <c r="M96" s="2582"/>
      <c r="N96" s="2582"/>
      <c r="O96" s="2582"/>
      <c r="P96" s="2582"/>
      <c r="Q96" s="2582"/>
      <c r="R96" s="2582"/>
      <c r="S96" s="2582"/>
      <c r="T96" s="2582"/>
      <c r="U96" s="2582"/>
      <c r="V96" s="2582"/>
      <c r="W96" s="2582"/>
      <c r="X96" s="2582"/>
      <c r="Y96" s="2582"/>
      <c r="Z96" s="2582"/>
      <c r="AA96" s="2582"/>
      <c r="AB96" s="2582"/>
      <c r="AC96" s="2582"/>
      <c r="AD96" s="2582"/>
      <c r="AE96" s="2582"/>
      <c r="AF96" s="2582"/>
      <c r="AG96" s="2582"/>
      <c r="AH96" s="2583"/>
      <c r="AI96" s="1206"/>
      <c r="AJ96" s="2185" t="s">
        <v>2612</v>
      </c>
      <c r="AK96" s="2186"/>
      <c r="AL96" s="2186"/>
      <c r="AM96" s="2186"/>
      <c r="AN96" s="2186"/>
      <c r="AO96" s="2186"/>
      <c r="AP96" s="2186"/>
      <c r="AQ96" s="2186"/>
      <c r="AR96" s="2186"/>
      <c r="AS96" s="2186"/>
      <c r="AT96" s="2186"/>
      <c r="AU96" s="2186"/>
      <c r="AV96" s="2186"/>
      <c r="AW96" s="2186"/>
      <c r="AX96" s="2186"/>
      <c r="AY96" s="2207" t="s">
        <v>553</v>
      </c>
      <c r="AZ96" s="2207"/>
      <c r="BA96" s="2207"/>
      <c r="BB96" s="2208"/>
      <c r="BC96" s="1206"/>
      <c r="BD96" s="1206"/>
      <c r="BE96" s="1202"/>
      <c r="BQ96" s="1245" t="str">
        <f>Application!M243</f>
        <v>ICD Mosley LLC</v>
      </c>
      <c r="BR96" s="1245">
        <f>Application!AH245</f>
        <v>0</v>
      </c>
    </row>
    <row r="97" spans="1:70" ht="15.75" customHeight="1">
      <c r="A97" s="1206"/>
      <c r="B97" s="2177"/>
      <c r="C97" s="2178"/>
      <c r="D97" s="2178"/>
      <c r="E97" s="2178"/>
      <c r="F97" s="2178"/>
      <c r="G97" s="2178"/>
      <c r="H97" s="2178"/>
      <c r="I97" s="2178" t="s">
        <v>1826</v>
      </c>
      <c r="J97" s="2178"/>
      <c r="K97" s="2178"/>
      <c r="L97" s="2178"/>
      <c r="M97" s="2178"/>
      <c r="N97" s="2178"/>
      <c r="O97" s="2178" t="s">
        <v>1827</v>
      </c>
      <c r="P97" s="2178"/>
      <c r="Q97" s="2178"/>
      <c r="R97" s="2178"/>
      <c r="S97" s="2178"/>
      <c r="T97" s="2178"/>
      <c r="U97" s="2178"/>
      <c r="V97" s="2179" t="s">
        <v>2186</v>
      </c>
      <c r="W97" s="2179"/>
      <c r="X97" s="2179"/>
      <c r="Y97" s="2179"/>
      <c r="Z97" s="2179"/>
      <c r="AA97" s="2179"/>
      <c r="AB97" s="2180" t="s">
        <v>1828</v>
      </c>
      <c r="AC97" s="2180"/>
      <c r="AD97" s="2180"/>
      <c r="AE97" s="2180"/>
      <c r="AF97" s="2180"/>
      <c r="AG97" s="2180"/>
      <c r="AH97" s="2181"/>
      <c r="AI97" s="1206"/>
      <c r="AJ97" s="2187"/>
      <c r="AK97" s="2188"/>
      <c r="AL97" s="2188"/>
      <c r="AM97" s="2188"/>
      <c r="AN97" s="2188"/>
      <c r="AO97" s="2188"/>
      <c r="AP97" s="2188"/>
      <c r="AQ97" s="2188"/>
      <c r="AR97" s="2188"/>
      <c r="AS97" s="2188"/>
      <c r="AT97" s="2188"/>
      <c r="AU97" s="2188"/>
      <c r="AV97" s="2188"/>
      <c r="AW97" s="2188"/>
      <c r="AX97" s="2188"/>
      <c r="AY97" s="2209"/>
      <c r="AZ97" s="2209"/>
      <c r="BA97" s="2209"/>
      <c r="BB97" s="2210"/>
      <c r="BC97" s="1206"/>
      <c r="BD97" s="1206"/>
      <c r="BE97" s="1202"/>
      <c r="BQ97" s="1245" t="str">
        <f>Application!M251</f>
        <v>N/A</v>
      </c>
      <c r="BR97" s="1245">
        <f>Application!AH253</f>
        <v>0</v>
      </c>
    </row>
    <row r="98" spans="1:70" ht="15.75" customHeight="1">
      <c r="A98" s="1206"/>
      <c r="B98" s="2177"/>
      <c r="C98" s="2178"/>
      <c r="D98" s="2178"/>
      <c r="E98" s="2178"/>
      <c r="F98" s="2178"/>
      <c r="G98" s="2178"/>
      <c r="H98" s="2178"/>
      <c r="I98" s="2178"/>
      <c r="J98" s="2178"/>
      <c r="K98" s="2178"/>
      <c r="L98" s="2178"/>
      <c r="M98" s="2178"/>
      <c r="N98" s="2178"/>
      <c r="O98" s="2178"/>
      <c r="P98" s="2178"/>
      <c r="Q98" s="2178"/>
      <c r="R98" s="2178"/>
      <c r="S98" s="2178"/>
      <c r="T98" s="2178"/>
      <c r="U98" s="2178"/>
      <c r="V98" s="2179"/>
      <c r="W98" s="2179"/>
      <c r="X98" s="2179"/>
      <c r="Y98" s="2179"/>
      <c r="Z98" s="2179"/>
      <c r="AA98" s="2179"/>
      <c r="AB98" s="2180"/>
      <c r="AC98" s="2180"/>
      <c r="AD98" s="2180"/>
      <c r="AE98" s="2180"/>
      <c r="AF98" s="2180"/>
      <c r="AG98" s="2180"/>
      <c r="AH98" s="2181"/>
      <c r="AI98" s="1206"/>
      <c r="AJ98" s="2187"/>
      <c r="AK98" s="2188"/>
      <c r="AL98" s="2188"/>
      <c r="AM98" s="2188"/>
      <c r="AN98" s="2188"/>
      <c r="AO98" s="2188"/>
      <c r="AP98" s="2188"/>
      <c r="AQ98" s="2188"/>
      <c r="AR98" s="2188"/>
      <c r="AS98" s="2188"/>
      <c r="AT98" s="2188"/>
      <c r="AU98" s="2188"/>
      <c r="AV98" s="2188"/>
      <c r="AW98" s="2188"/>
      <c r="AX98" s="2188"/>
      <c r="AY98" s="2209"/>
      <c r="AZ98" s="2209"/>
      <c r="BA98" s="2209"/>
      <c r="BB98" s="2210"/>
      <c r="BC98" s="1206"/>
      <c r="BD98" s="1206"/>
      <c r="BE98" s="1202"/>
      <c r="BQ98" s="1245" t="str">
        <f>Application!M259</f>
        <v>N/A</v>
      </c>
      <c r="BR98" s="1245">
        <f>Application!AH261</f>
        <v>0</v>
      </c>
    </row>
    <row r="99" spans="1:70" ht="15.75" customHeight="1">
      <c r="A99" s="1206"/>
      <c r="B99" s="2177" t="s">
        <v>2169</v>
      </c>
      <c r="C99" s="2178"/>
      <c r="D99" s="2178"/>
      <c r="E99" s="2178"/>
      <c r="F99" s="2178"/>
      <c r="G99" s="2178"/>
      <c r="H99" s="2178"/>
      <c r="I99" s="2175">
        <v>0</v>
      </c>
      <c r="J99" s="2175"/>
      <c r="K99" s="2175"/>
      <c r="L99" s="2175"/>
      <c r="M99" s="2175"/>
      <c r="N99" s="2175"/>
      <c r="O99" s="2175">
        <v>0</v>
      </c>
      <c r="P99" s="2175"/>
      <c r="Q99" s="2175"/>
      <c r="R99" s="2175"/>
      <c r="S99" s="2175"/>
      <c r="T99" s="2175"/>
      <c r="U99" s="2175"/>
      <c r="V99" s="2175">
        <v>0</v>
      </c>
      <c r="W99" s="2175"/>
      <c r="X99" s="2175"/>
      <c r="Y99" s="2175"/>
      <c r="Z99" s="2175"/>
      <c r="AA99" s="2175"/>
      <c r="AB99" s="2175">
        <v>0</v>
      </c>
      <c r="AC99" s="2175"/>
      <c r="AD99" s="2175"/>
      <c r="AE99" s="2175"/>
      <c r="AF99" s="2175"/>
      <c r="AG99" s="2175"/>
      <c r="AH99" s="2176"/>
      <c r="AI99" s="1206"/>
      <c r="AJ99" s="2187"/>
      <c r="AK99" s="2188"/>
      <c r="AL99" s="2188"/>
      <c r="AM99" s="2188"/>
      <c r="AN99" s="2188"/>
      <c r="AO99" s="2188"/>
      <c r="AP99" s="2188"/>
      <c r="AQ99" s="2188"/>
      <c r="AR99" s="2188"/>
      <c r="AS99" s="2188"/>
      <c r="AT99" s="2188"/>
      <c r="AU99" s="2188"/>
      <c r="AV99" s="2188"/>
      <c r="AW99" s="2188"/>
      <c r="AX99" s="2188"/>
      <c r="AY99" s="2209"/>
      <c r="AZ99" s="2209"/>
      <c r="BA99" s="2209"/>
      <c r="BB99" s="2210"/>
      <c r="BC99" s="1206"/>
      <c r="BD99" s="1206"/>
      <c r="BE99" s="1202"/>
    </row>
    <row r="100" spans="1:70" ht="15.75" customHeight="1">
      <c r="A100" s="1206"/>
      <c r="B100" s="2177" t="s">
        <v>2170</v>
      </c>
      <c r="C100" s="2178"/>
      <c r="D100" s="2178"/>
      <c r="E100" s="2178"/>
      <c r="F100" s="2178"/>
      <c r="G100" s="2178"/>
      <c r="H100" s="2178"/>
      <c r="I100" s="2175">
        <v>0</v>
      </c>
      <c r="J100" s="2175"/>
      <c r="K100" s="2175"/>
      <c r="L100" s="2175"/>
      <c r="M100" s="2175"/>
      <c r="N100" s="2175"/>
      <c r="O100" s="2175">
        <v>0</v>
      </c>
      <c r="P100" s="2175"/>
      <c r="Q100" s="2175"/>
      <c r="R100" s="2175"/>
      <c r="S100" s="2175"/>
      <c r="T100" s="2175"/>
      <c r="U100" s="2175"/>
      <c r="V100" s="2175">
        <v>0</v>
      </c>
      <c r="W100" s="2175"/>
      <c r="X100" s="2175"/>
      <c r="Y100" s="2175"/>
      <c r="Z100" s="2175"/>
      <c r="AA100" s="2175"/>
      <c r="AB100" s="2175">
        <v>0</v>
      </c>
      <c r="AC100" s="2175"/>
      <c r="AD100" s="2175"/>
      <c r="AE100" s="2175"/>
      <c r="AF100" s="2175"/>
      <c r="AG100" s="2175"/>
      <c r="AH100" s="2176"/>
      <c r="AI100" s="1206"/>
      <c r="AJ100" s="2189" t="s">
        <v>2485</v>
      </c>
      <c r="AK100" s="2190"/>
      <c r="AL100" s="2190"/>
      <c r="AM100" s="2190"/>
      <c r="AN100" s="2190"/>
      <c r="AO100" s="2190"/>
      <c r="AP100" s="2190"/>
      <c r="AQ100" s="2190"/>
      <c r="AR100" s="2190"/>
      <c r="AS100" s="2190"/>
      <c r="AT100" s="2190"/>
      <c r="AU100" s="2190"/>
      <c r="AV100" s="2190"/>
      <c r="AW100" s="2190"/>
      <c r="AX100" s="2190"/>
      <c r="AY100" s="2190"/>
      <c r="AZ100" s="2190"/>
      <c r="BA100" s="2190"/>
      <c r="BB100" s="2191"/>
      <c r="BC100" s="1206"/>
      <c r="BD100" s="1206"/>
      <c r="BE100" s="1202"/>
    </row>
    <row r="101" spans="1:70" ht="15.75" customHeight="1" thickBot="1">
      <c r="A101" s="1206"/>
      <c r="B101" s="2171" t="s">
        <v>1829</v>
      </c>
      <c r="C101" s="2172"/>
      <c r="D101" s="2172"/>
      <c r="E101" s="2172"/>
      <c r="F101" s="2172"/>
      <c r="G101" s="2172"/>
      <c r="H101" s="2172"/>
      <c r="I101" s="2173">
        <v>0</v>
      </c>
      <c r="J101" s="2173"/>
      <c r="K101" s="2173"/>
      <c r="L101" s="2173"/>
      <c r="M101" s="2173"/>
      <c r="N101" s="2173"/>
      <c r="O101" s="2173">
        <v>0</v>
      </c>
      <c r="P101" s="2173"/>
      <c r="Q101" s="2173"/>
      <c r="R101" s="2173"/>
      <c r="S101" s="2173"/>
      <c r="T101" s="2173"/>
      <c r="U101" s="2173"/>
      <c r="V101" s="2173">
        <v>0</v>
      </c>
      <c r="W101" s="2173"/>
      <c r="X101" s="2173"/>
      <c r="Y101" s="2173"/>
      <c r="Z101" s="2173"/>
      <c r="AA101" s="2173"/>
      <c r="AB101" s="2173">
        <v>0</v>
      </c>
      <c r="AC101" s="2173"/>
      <c r="AD101" s="2173"/>
      <c r="AE101" s="2173"/>
      <c r="AF101" s="2173"/>
      <c r="AG101" s="2173"/>
      <c r="AH101" s="2174"/>
      <c r="AI101" s="1206"/>
      <c r="AJ101" s="2192"/>
      <c r="AK101" s="2193"/>
      <c r="AL101" s="2193"/>
      <c r="AM101" s="2193"/>
      <c r="AN101" s="2193"/>
      <c r="AO101" s="2193"/>
      <c r="AP101" s="2193"/>
      <c r="AQ101" s="2193"/>
      <c r="AR101" s="2193"/>
      <c r="AS101" s="2193"/>
      <c r="AT101" s="2193"/>
      <c r="AU101" s="2193"/>
      <c r="AV101" s="2193"/>
      <c r="AW101" s="2193"/>
      <c r="AX101" s="2193"/>
      <c r="AY101" s="2193"/>
      <c r="AZ101" s="2193"/>
      <c r="BA101" s="2193"/>
      <c r="BB101" s="219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01"/>
      <c r="G104" s="2202"/>
      <c r="H104" s="2202"/>
      <c r="I104" s="2202"/>
      <c r="J104" s="2202"/>
      <c r="K104" s="2202"/>
      <c r="L104" s="2202"/>
      <c r="M104" s="2202"/>
      <c r="N104" s="2202"/>
      <c r="O104" s="2202"/>
      <c r="P104" s="2202"/>
      <c r="Q104" s="2202"/>
      <c r="R104" s="220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5" t="e">
        <f>BR98/SUM(BR96:BR98)</f>
        <v>#DIV/0!</v>
      </c>
      <c r="P105" s="2196"/>
      <c r="Q105" s="2196"/>
      <c r="R105" s="2197"/>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2" t="s">
        <v>2609</v>
      </c>
      <c r="C107" s="2183"/>
      <c r="D107" s="2183"/>
      <c r="E107" s="2183"/>
      <c r="F107" s="2183"/>
      <c r="G107" s="2183"/>
      <c r="H107" s="2183"/>
      <c r="I107" s="2183"/>
      <c r="J107" s="2183"/>
      <c r="K107" s="2183"/>
      <c r="L107" s="2183"/>
      <c r="M107" s="2183"/>
      <c r="N107" s="2183"/>
      <c r="O107" s="2183"/>
      <c r="P107" s="2183"/>
      <c r="Q107" s="2183"/>
      <c r="R107" s="2183"/>
      <c r="S107" s="2183"/>
      <c r="T107" s="2183"/>
      <c r="U107" s="2183"/>
      <c r="V107" s="2183"/>
      <c r="W107" s="2183"/>
      <c r="X107" s="2183"/>
      <c r="Y107" s="2183"/>
      <c r="Z107" s="2183"/>
      <c r="AA107" s="2183"/>
      <c r="AB107" s="2183"/>
      <c r="AC107" s="2183"/>
      <c r="AD107" s="2183"/>
      <c r="AE107" s="2183"/>
      <c r="AF107" s="2183"/>
      <c r="AG107" s="2183"/>
      <c r="AH107" s="218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7"/>
      <c r="C108" s="2178"/>
      <c r="D108" s="2178"/>
      <c r="E108" s="2178"/>
      <c r="F108" s="2178"/>
      <c r="G108" s="2178"/>
      <c r="H108" s="2178"/>
      <c r="I108" s="2178" t="s">
        <v>1826</v>
      </c>
      <c r="J108" s="2178"/>
      <c r="K108" s="2178"/>
      <c r="L108" s="2178"/>
      <c r="M108" s="2178"/>
      <c r="N108" s="2178"/>
      <c r="O108" s="2178" t="s">
        <v>1827</v>
      </c>
      <c r="P108" s="2178"/>
      <c r="Q108" s="2178"/>
      <c r="R108" s="2178"/>
      <c r="S108" s="2178"/>
      <c r="T108" s="2178"/>
      <c r="U108" s="2178"/>
      <c r="V108" s="2179" t="s">
        <v>2186</v>
      </c>
      <c r="W108" s="2179"/>
      <c r="X108" s="2179"/>
      <c r="Y108" s="2179"/>
      <c r="Z108" s="2179"/>
      <c r="AA108" s="2179"/>
      <c r="AB108" s="2180" t="s">
        <v>1828</v>
      </c>
      <c r="AC108" s="2180"/>
      <c r="AD108" s="2180"/>
      <c r="AE108" s="2180"/>
      <c r="AF108" s="2180"/>
      <c r="AG108" s="2180"/>
      <c r="AH108" s="218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7"/>
      <c r="C109" s="2178"/>
      <c r="D109" s="2178"/>
      <c r="E109" s="2178"/>
      <c r="F109" s="2178"/>
      <c r="G109" s="2178"/>
      <c r="H109" s="2178"/>
      <c r="I109" s="2178"/>
      <c r="J109" s="2178"/>
      <c r="K109" s="2178"/>
      <c r="L109" s="2178"/>
      <c r="M109" s="2178"/>
      <c r="N109" s="2178"/>
      <c r="O109" s="2178"/>
      <c r="P109" s="2178"/>
      <c r="Q109" s="2178"/>
      <c r="R109" s="2178"/>
      <c r="S109" s="2178"/>
      <c r="T109" s="2178"/>
      <c r="U109" s="2178"/>
      <c r="V109" s="2179"/>
      <c r="W109" s="2179"/>
      <c r="X109" s="2179"/>
      <c r="Y109" s="2179"/>
      <c r="Z109" s="2179"/>
      <c r="AA109" s="2179"/>
      <c r="AB109" s="2180"/>
      <c r="AC109" s="2180"/>
      <c r="AD109" s="2180"/>
      <c r="AE109" s="2180"/>
      <c r="AF109" s="2180"/>
      <c r="AG109" s="2180"/>
      <c r="AH109" s="218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7" t="s">
        <v>2169</v>
      </c>
      <c r="C110" s="2178"/>
      <c r="D110" s="2178"/>
      <c r="E110" s="2178"/>
      <c r="F110" s="2178"/>
      <c r="G110" s="2178"/>
      <c r="H110" s="2178"/>
      <c r="I110" s="2175">
        <v>0</v>
      </c>
      <c r="J110" s="2175"/>
      <c r="K110" s="2175"/>
      <c r="L110" s="2175"/>
      <c r="M110" s="2175"/>
      <c r="N110" s="2175"/>
      <c r="O110" s="2175">
        <v>0</v>
      </c>
      <c r="P110" s="2175"/>
      <c r="Q110" s="2175"/>
      <c r="R110" s="2175"/>
      <c r="S110" s="2175"/>
      <c r="T110" s="2175"/>
      <c r="U110" s="2175"/>
      <c r="V110" s="2175">
        <v>0</v>
      </c>
      <c r="W110" s="2175"/>
      <c r="X110" s="2175"/>
      <c r="Y110" s="2175"/>
      <c r="Z110" s="2175"/>
      <c r="AA110" s="2175"/>
      <c r="AB110" s="2175">
        <v>0</v>
      </c>
      <c r="AC110" s="2175"/>
      <c r="AD110" s="2175"/>
      <c r="AE110" s="2175"/>
      <c r="AF110" s="2175"/>
      <c r="AG110" s="2175"/>
      <c r="AH110" s="2176"/>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7" t="s">
        <v>2170</v>
      </c>
      <c r="C111" s="2178"/>
      <c r="D111" s="2178"/>
      <c r="E111" s="2178"/>
      <c r="F111" s="2178"/>
      <c r="G111" s="2178"/>
      <c r="H111" s="2178"/>
      <c r="I111" s="2175">
        <v>0</v>
      </c>
      <c r="J111" s="2175"/>
      <c r="K111" s="2175"/>
      <c r="L111" s="2175"/>
      <c r="M111" s="2175"/>
      <c r="N111" s="2175"/>
      <c r="O111" s="2175">
        <v>0</v>
      </c>
      <c r="P111" s="2175"/>
      <c r="Q111" s="2175"/>
      <c r="R111" s="2175"/>
      <c r="S111" s="2175"/>
      <c r="T111" s="2175"/>
      <c r="U111" s="2175"/>
      <c r="V111" s="2175">
        <v>0</v>
      </c>
      <c r="W111" s="2175"/>
      <c r="X111" s="2175"/>
      <c r="Y111" s="2175"/>
      <c r="Z111" s="2175"/>
      <c r="AA111" s="2175"/>
      <c r="AB111" s="2175">
        <v>0</v>
      </c>
      <c r="AC111" s="2175"/>
      <c r="AD111" s="2175"/>
      <c r="AE111" s="2175"/>
      <c r="AF111" s="2175"/>
      <c r="AG111" s="2175"/>
      <c r="AH111" s="2176"/>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1" t="s">
        <v>1829</v>
      </c>
      <c r="C112" s="2172"/>
      <c r="D112" s="2172"/>
      <c r="E112" s="2172"/>
      <c r="F112" s="2172"/>
      <c r="G112" s="2172"/>
      <c r="H112" s="2172"/>
      <c r="I112" s="2173">
        <v>0</v>
      </c>
      <c r="J112" s="2173"/>
      <c r="K112" s="2173"/>
      <c r="L112" s="2173"/>
      <c r="M112" s="2173"/>
      <c r="N112" s="2173"/>
      <c r="O112" s="2173">
        <v>0</v>
      </c>
      <c r="P112" s="2173"/>
      <c r="Q112" s="2173"/>
      <c r="R112" s="2173"/>
      <c r="S112" s="2173"/>
      <c r="T112" s="2173"/>
      <c r="U112" s="2173"/>
      <c r="V112" s="2173">
        <v>0</v>
      </c>
      <c r="W112" s="2173"/>
      <c r="X112" s="2173"/>
      <c r="Y112" s="2173"/>
      <c r="Z112" s="2173"/>
      <c r="AA112" s="2173"/>
      <c r="AB112" s="2173">
        <v>0</v>
      </c>
      <c r="AC112" s="2173"/>
      <c r="AD112" s="2173"/>
      <c r="AE112" s="2173"/>
      <c r="AF112" s="2173"/>
      <c r="AG112" s="2173"/>
      <c r="AH112" s="217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01"/>
      <c r="G115" s="2202"/>
      <c r="H115" s="2202"/>
      <c r="I115" s="2202"/>
      <c r="J115" s="2202"/>
      <c r="K115" s="2202"/>
      <c r="L115" s="2202"/>
      <c r="M115" s="2202"/>
      <c r="N115" s="2202"/>
      <c r="O115" s="2202"/>
      <c r="P115" s="2202"/>
      <c r="Q115" s="2202"/>
      <c r="R115" s="220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5" t="s">
        <v>2486</v>
      </c>
      <c r="C117" s="2186"/>
      <c r="D117" s="2186"/>
      <c r="E117" s="2186"/>
      <c r="F117" s="2186"/>
      <c r="G117" s="2186"/>
      <c r="H117" s="2186"/>
      <c r="I117" s="2186"/>
      <c r="J117" s="2186"/>
      <c r="K117" s="2186"/>
      <c r="L117" s="2186"/>
      <c r="M117" s="2186"/>
      <c r="N117" s="2186"/>
      <c r="O117" s="2186"/>
      <c r="P117" s="2186"/>
      <c r="Q117" s="2207" t="s">
        <v>553</v>
      </c>
      <c r="R117" s="2207"/>
      <c r="S117" s="2207"/>
      <c r="T117" s="220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7"/>
      <c r="C118" s="2188"/>
      <c r="D118" s="2188"/>
      <c r="E118" s="2188"/>
      <c r="F118" s="2188"/>
      <c r="G118" s="2188"/>
      <c r="H118" s="2188"/>
      <c r="I118" s="2188"/>
      <c r="J118" s="2188"/>
      <c r="K118" s="2188"/>
      <c r="L118" s="2188"/>
      <c r="M118" s="2188"/>
      <c r="N118" s="2188"/>
      <c r="O118" s="2188"/>
      <c r="P118" s="2188"/>
      <c r="Q118" s="2209"/>
      <c r="R118" s="2209"/>
      <c r="S118" s="2209"/>
      <c r="T118" s="221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7"/>
      <c r="C119" s="2188"/>
      <c r="D119" s="2188"/>
      <c r="E119" s="2188"/>
      <c r="F119" s="2188"/>
      <c r="G119" s="2188"/>
      <c r="H119" s="2188"/>
      <c r="I119" s="2188"/>
      <c r="J119" s="2188"/>
      <c r="K119" s="2188"/>
      <c r="L119" s="2188"/>
      <c r="M119" s="2188"/>
      <c r="N119" s="2188"/>
      <c r="O119" s="2188"/>
      <c r="P119" s="2188"/>
      <c r="Q119" s="2209"/>
      <c r="R119" s="2209"/>
      <c r="S119" s="2209"/>
      <c r="T119" s="221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7"/>
      <c r="C120" s="2188"/>
      <c r="D120" s="2188"/>
      <c r="E120" s="2188"/>
      <c r="F120" s="2188"/>
      <c r="G120" s="2188"/>
      <c r="H120" s="2188"/>
      <c r="I120" s="2188"/>
      <c r="J120" s="2188"/>
      <c r="K120" s="2188"/>
      <c r="L120" s="2188"/>
      <c r="M120" s="2188"/>
      <c r="N120" s="2188"/>
      <c r="O120" s="2188"/>
      <c r="P120" s="2188"/>
      <c r="Q120" s="2209"/>
      <c r="R120" s="2209"/>
      <c r="S120" s="2209"/>
      <c r="T120" s="221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9" t="s">
        <v>2187</v>
      </c>
      <c r="C121" s="2190"/>
      <c r="D121" s="2190"/>
      <c r="E121" s="2190"/>
      <c r="F121" s="2190"/>
      <c r="G121" s="2190"/>
      <c r="H121" s="2190"/>
      <c r="I121" s="2190"/>
      <c r="J121" s="2190"/>
      <c r="K121" s="2190"/>
      <c r="L121" s="2190"/>
      <c r="M121" s="2190"/>
      <c r="N121" s="2190"/>
      <c r="O121" s="2190"/>
      <c r="P121" s="2190"/>
      <c r="Q121" s="2190"/>
      <c r="R121" s="2190"/>
      <c r="S121" s="2190"/>
      <c r="T121" s="219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2"/>
      <c r="C122" s="2193"/>
      <c r="D122" s="2193"/>
      <c r="E122" s="2193"/>
      <c r="F122" s="2193"/>
      <c r="G122" s="2193"/>
      <c r="H122" s="2193"/>
      <c r="I122" s="2193"/>
      <c r="J122" s="2193"/>
      <c r="K122" s="2193"/>
      <c r="L122" s="2193"/>
      <c r="M122" s="2193"/>
      <c r="N122" s="2193"/>
      <c r="O122" s="2193"/>
      <c r="P122" s="2193"/>
      <c r="Q122" s="2193"/>
      <c r="R122" s="2193"/>
      <c r="S122" s="2193"/>
      <c r="T122" s="219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5" t="s">
        <v>2171</v>
      </c>
      <c r="Y125" s="2186"/>
      <c r="Z125" s="2186"/>
      <c r="AA125" s="2186"/>
      <c r="AB125" s="2186"/>
      <c r="AC125" s="2186"/>
      <c r="AD125" s="2186"/>
      <c r="AE125" s="2186"/>
      <c r="AF125" s="2186"/>
      <c r="AG125" s="2186"/>
      <c r="AH125" s="2186"/>
      <c r="AI125" s="2186"/>
      <c r="AJ125" s="2186"/>
      <c r="AK125" s="2186"/>
      <c r="AL125" s="2186"/>
      <c r="AM125" s="2186"/>
      <c r="AN125" s="2186"/>
      <c r="AO125" s="2186"/>
      <c r="AP125" s="2186"/>
      <c r="AQ125" s="2186"/>
      <c r="AR125" s="2186"/>
      <c r="AS125" s="2186"/>
      <c r="AT125" s="2186"/>
      <c r="AU125" s="2186"/>
      <c r="AV125" s="2186"/>
      <c r="AW125" s="2186"/>
      <c r="AX125" s="2186"/>
      <c r="AY125" s="2186"/>
      <c r="AZ125" s="2186"/>
      <c r="BA125" s="2186"/>
      <c r="BB125" s="2186"/>
      <c r="BC125" s="2186"/>
      <c r="BD125" s="2433"/>
      <c r="BE125" s="1202"/>
    </row>
    <row r="126" spans="1:57" ht="15.75" customHeight="1">
      <c r="A126" s="1206"/>
      <c r="B126" s="2435" t="s">
        <v>1686</v>
      </c>
      <c r="C126" s="2436"/>
      <c r="D126" s="2436"/>
      <c r="E126" s="2436"/>
      <c r="F126" s="2436"/>
      <c r="G126" s="2436"/>
      <c r="H126" s="2436"/>
      <c r="I126" s="2436"/>
      <c r="J126" s="2436"/>
      <c r="K126" s="2436"/>
      <c r="L126" s="2436"/>
      <c r="M126" s="2436"/>
      <c r="N126" s="2436"/>
      <c r="O126" s="2436"/>
      <c r="P126" s="2436"/>
      <c r="Q126" s="2436"/>
      <c r="R126" s="2436"/>
      <c r="S126" s="2436"/>
      <c r="T126" s="2436"/>
      <c r="U126" s="2437"/>
      <c r="V126" s="1206"/>
      <c r="W126" s="1206"/>
      <c r="X126" s="2187"/>
      <c r="Y126" s="2188"/>
      <c r="Z126" s="2188"/>
      <c r="AA126" s="2188"/>
      <c r="AB126" s="2188"/>
      <c r="AC126" s="2188"/>
      <c r="AD126" s="2188"/>
      <c r="AE126" s="2188"/>
      <c r="AF126" s="2188"/>
      <c r="AG126" s="2188"/>
      <c r="AH126" s="2188"/>
      <c r="AI126" s="2188"/>
      <c r="AJ126" s="2188"/>
      <c r="AK126" s="2188"/>
      <c r="AL126" s="2188"/>
      <c r="AM126" s="2188"/>
      <c r="AN126" s="2188"/>
      <c r="AO126" s="2188"/>
      <c r="AP126" s="2188"/>
      <c r="AQ126" s="2188"/>
      <c r="AR126" s="2188"/>
      <c r="AS126" s="2188"/>
      <c r="AT126" s="2188"/>
      <c r="AU126" s="2188"/>
      <c r="AV126" s="2188"/>
      <c r="AW126" s="2188"/>
      <c r="AX126" s="2188"/>
      <c r="AY126" s="2188"/>
      <c r="AZ126" s="2188"/>
      <c r="BA126" s="2188"/>
      <c r="BB126" s="2188"/>
      <c r="BC126" s="2188"/>
      <c r="BD126" s="2434"/>
      <c r="BE126" s="1202"/>
    </row>
    <row r="127" spans="1:57" ht="15.75" customHeight="1">
      <c r="A127" s="1206"/>
      <c r="B127" s="2398"/>
      <c r="C127" s="2399"/>
      <c r="D127" s="2399"/>
      <c r="E127" s="2399"/>
      <c r="F127" s="2399"/>
      <c r="G127" s="2399"/>
      <c r="H127" s="2399"/>
      <c r="I127" s="2178" t="s">
        <v>2172</v>
      </c>
      <c r="J127" s="2178"/>
      <c r="K127" s="2178"/>
      <c r="L127" s="2178"/>
      <c r="M127" s="2178"/>
      <c r="N127" s="2178"/>
      <c r="O127" s="2438" t="s">
        <v>2173</v>
      </c>
      <c r="P127" s="2438"/>
      <c r="Q127" s="2438"/>
      <c r="R127" s="2438"/>
      <c r="S127" s="2438"/>
      <c r="T127" s="2438"/>
      <c r="U127" s="2439"/>
      <c r="V127" s="1206"/>
      <c r="W127" s="1206"/>
      <c r="X127" s="2401" t="s">
        <v>2185</v>
      </c>
      <c r="Y127" s="2402"/>
      <c r="Z127" s="2402"/>
      <c r="AA127" s="2402"/>
      <c r="AB127" s="2402"/>
      <c r="AC127" s="2402"/>
      <c r="AD127" s="2402"/>
      <c r="AE127" s="2402"/>
      <c r="AF127" s="2402"/>
      <c r="AG127" s="2402"/>
      <c r="AH127" s="2402"/>
      <c r="AI127" s="2402"/>
      <c r="AJ127" s="2402"/>
      <c r="AK127" s="2402"/>
      <c r="AL127" s="2402"/>
      <c r="AM127" s="2402"/>
      <c r="AN127" s="2402"/>
      <c r="AO127" s="2402"/>
      <c r="AP127" s="2402"/>
      <c r="AQ127" s="2402"/>
      <c r="AR127" s="2402"/>
      <c r="AS127" s="2402"/>
      <c r="AT127" s="2402"/>
      <c r="AU127" s="2402"/>
      <c r="AV127" s="2402"/>
      <c r="AW127" s="2402"/>
      <c r="AX127" s="2402"/>
      <c r="AY127" s="2402"/>
      <c r="AZ127" s="2402"/>
      <c r="BA127" s="2402"/>
      <c r="BB127" s="2402"/>
      <c r="BC127" s="2402"/>
      <c r="BD127" s="2403"/>
      <c r="BE127" s="1202"/>
    </row>
    <row r="128" spans="1:57" ht="15.75" customHeight="1">
      <c r="A128" s="1206"/>
      <c r="B128" s="2415" t="s">
        <v>2174</v>
      </c>
      <c r="C128" s="2416"/>
      <c r="D128" s="2416"/>
      <c r="E128" s="2416"/>
      <c r="F128" s="2416"/>
      <c r="G128" s="2416"/>
      <c r="H128" s="2416"/>
      <c r="I128" s="2175">
        <v>0</v>
      </c>
      <c r="J128" s="2175"/>
      <c r="K128" s="2175"/>
      <c r="L128" s="2175"/>
      <c r="M128" s="2175"/>
      <c r="N128" s="2175"/>
      <c r="O128" s="2175">
        <v>0</v>
      </c>
      <c r="P128" s="2175"/>
      <c r="Q128" s="2175"/>
      <c r="R128" s="2175"/>
      <c r="S128" s="2175"/>
      <c r="T128" s="2175"/>
      <c r="U128" s="2176"/>
      <c r="V128" s="1206"/>
      <c r="W128" s="1206"/>
      <c r="X128" s="2401"/>
      <c r="Y128" s="2402"/>
      <c r="Z128" s="2402"/>
      <c r="AA128" s="2402"/>
      <c r="AB128" s="2402"/>
      <c r="AC128" s="2402"/>
      <c r="AD128" s="2402"/>
      <c r="AE128" s="2402"/>
      <c r="AF128" s="2402"/>
      <c r="AG128" s="2402"/>
      <c r="AH128" s="2402"/>
      <c r="AI128" s="2402"/>
      <c r="AJ128" s="2402"/>
      <c r="AK128" s="2402"/>
      <c r="AL128" s="2402"/>
      <c r="AM128" s="2402"/>
      <c r="AN128" s="2402"/>
      <c r="AO128" s="2402"/>
      <c r="AP128" s="2402"/>
      <c r="AQ128" s="2402"/>
      <c r="AR128" s="2402"/>
      <c r="AS128" s="2402"/>
      <c r="AT128" s="2402"/>
      <c r="AU128" s="2402"/>
      <c r="AV128" s="2402"/>
      <c r="AW128" s="2402"/>
      <c r="AX128" s="2402"/>
      <c r="AY128" s="2402"/>
      <c r="AZ128" s="2402"/>
      <c r="BA128" s="2402"/>
      <c r="BB128" s="2402"/>
      <c r="BC128" s="2402"/>
      <c r="BD128" s="2403"/>
      <c r="BE128" s="1202"/>
    </row>
    <row r="129" spans="1:57" ht="15.75" customHeight="1" thickBot="1">
      <c r="A129" s="1206"/>
      <c r="B129" s="2417" t="s">
        <v>2175</v>
      </c>
      <c r="C129" s="2418"/>
      <c r="D129" s="2418"/>
      <c r="E129" s="2418"/>
      <c r="F129" s="2418"/>
      <c r="G129" s="2418"/>
      <c r="H129" s="2418"/>
      <c r="I129" s="2173">
        <v>0</v>
      </c>
      <c r="J129" s="2173"/>
      <c r="K129" s="2173"/>
      <c r="L129" s="2173"/>
      <c r="M129" s="2173"/>
      <c r="N129" s="2173"/>
      <c r="O129" s="2440"/>
      <c r="P129" s="2440"/>
      <c r="Q129" s="2440"/>
      <c r="R129" s="2440"/>
      <c r="S129" s="2440"/>
      <c r="T129" s="2440"/>
      <c r="U129" s="2441"/>
      <c r="V129" s="1206"/>
      <c r="W129" s="1206"/>
      <c r="X129" s="2401"/>
      <c r="Y129" s="2402"/>
      <c r="Z129" s="2402"/>
      <c r="AA129" s="2402"/>
      <c r="AB129" s="2402"/>
      <c r="AC129" s="2402"/>
      <c r="AD129" s="2402"/>
      <c r="AE129" s="2402"/>
      <c r="AF129" s="2402"/>
      <c r="AG129" s="2402"/>
      <c r="AH129" s="2402"/>
      <c r="AI129" s="2402"/>
      <c r="AJ129" s="2402"/>
      <c r="AK129" s="2402"/>
      <c r="AL129" s="2402"/>
      <c r="AM129" s="2402"/>
      <c r="AN129" s="2402"/>
      <c r="AO129" s="2402"/>
      <c r="AP129" s="2402"/>
      <c r="AQ129" s="2402"/>
      <c r="AR129" s="2402"/>
      <c r="AS129" s="2402"/>
      <c r="AT129" s="2402"/>
      <c r="AU129" s="2402"/>
      <c r="AV129" s="2402"/>
      <c r="AW129" s="2402"/>
      <c r="AX129" s="2402"/>
      <c r="AY129" s="2402"/>
      <c r="AZ129" s="2402"/>
      <c r="BA129" s="2402"/>
      <c r="BB129" s="2402"/>
      <c r="BC129" s="2402"/>
      <c r="BD129" s="240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1"/>
      <c r="Y130" s="2402"/>
      <c r="Z130" s="2402"/>
      <c r="AA130" s="2402"/>
      <c r="AB130" s="2402"/>
      <c r="AC130" s="2402"/>
      <c r="AD130" s="2402"/>
      <c r="AE130" s="2402"/>
      <c r="AF130" s="2402"/>
      <c r="AG130" s="2402"/>
      <c r="AH130" s="2402"/>
      <c r="AI130" s="2402"/>
      <c r="AJ130" s="2402"/>
      <c r="AK130" s="2402"/>
      <c r="AL130" s="2402"/>
      <c r="AM130" s="2402"/>
      <c r="AN130" s="2402"/>
      <c r="AO130" s="2402"/>
      <c r="AP130" s="2402"/>
      <c r="AQ130" s="2402"/>
      <c r="AR130" s="2402"/>
      <c r="AS130" s="2402"/>
      <c r="AT130" s="2402"/>
      <c r="AU130" s="2402"/>
      <c r="AV130" s="2402"/>
      <c r="AW130" s="2402"/>
      <c r="AX130" s="2402"/>
      <c r="AY130" s="2402"/>
      <c r="AZ130" s="2402"/>
      <c r="BA130" s="2402"/>
      <c r="BB130" s="2402"/>
      <c r="BC130" s="2402"/>
      <c r="BD130" s="2403"/>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1"/>
      <c r="Y131" s="2402"/>
      <c r="Z131" s="2402"/>
      <c r="AA131" s="2402"/>
      <c r="AB131" s="2402"/>
      <c r="AC131" s="2402"/>
      <c r="AD131" s="2402"/>
      <c r="AE131" s="2402"/>
      <c r="AF131" s="2402"/>
      <c r="AG131" s="2402"/>
      <c r="AH131" s="2402"/>
      <c r="AI131" s="2402"/>
      <c r="AJ131" s="2402"/>
      <c r="AK131" s="2402"/>
      <c r="AL131" s="2402"/>
      <c r="AM131" s="2402"/>
      <c r="AN131" s="2402"/>
      <c r="AO131" s="2402"/>
      <c r="AP131" s="2402"/>
      <c r="AQ131" s="2402"/>
      <c r="AR131" s="2402"/>
      <c r="AS131" s="2402"/>
      <c r="AT131" s="2402"/>
      <c r="AU131" s="2402"/>
      <c r="AV131" s="2402"/>
      <c r="AW131" s="2402"/>
      <c r="AX131" s="2402"/>
      <c r="AY131" s="2402"/>
      <c r="AZ131" s="2402"/>
      <c r="BA131" s="2402"/>
      <c r="BB131" s="2402"/>
      <c r="BC131" s="2402"/>
      <c r="BD131" s="240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1"/>
      <c r="Y132" s="2402"/>
      <c r="Z132" s="2402"/>
      <c r="AA132" s="2402"/>
      <c r="AB132" s="2402"/>
      <c r="AC132" s="2402"/>
      <c r="AD132" s="2402"/>
      <c r="AE132" s="2402"/>
      <c r="AF132" s="2402"/>
      <c r="AG132" s="2402"/>
      <c r="AH132" s="2402"/>
      <c r="AI132" s="2402"/>
      <c r="AJ132" s="2402"/>
      <c r="AK132" s="2402"/>
      <c r="AL132" s="2402"/>
      <c r="AM132" s="2402"/>
      <c r="AN132" s="2402"/>
      <c r="AO132" s="2402"/>
      <c r="AP132" s="2402"/>
      <c r="AQ132" s="2402"/>
      <c r="AR132" s="2402"/>
      <c r="AS132" s="2402"/>
      <c r="AT132" s="2402"/>
      <c r="AU132" s="2402"/>
      <c r="AV132" s="2402"/>
      <c r="AW132" s="2402"/>
      <c r="AX132" s="2402"/>
      <c r="AY132" s="2402"/>
      <c r="AZ132" s="2402"/>
      <c r="BA132" s="2402"/>
      <c r="BB132" s="2402"/>
      <c r="BC132" s="2402"/>
      <c r="BD132" s="2403"/>
      <c r="BE132" s="1202"/>
    </row>
    <row r="133" spans="1:57" ht="15.75" customHeight="1">
      <c r="A133" s="1206"/>
      <c r="B133" s="2430" t="s">
        <v>1832</v>
      </c>
      <c r="C133" s="2431"/>
      <c r="D133" s="2431"/>
      <c r="E133" s="2431"/>
      <c r="F133" s="2431"/>
      <c r="G133" s="2431"/>
      <c r="H133" s="2431"/>
      <c r="I133" s="2431"/>
      <c r="J133" s="2431"/>
      <c r="K133" s="2431"/>
      <c r="L133" s="2431"/>
      <c r="M133" s="2431"/>
      <c r="N133" s="2431"/>
      <c r="O133" s="2431"/>
      <c r="P133" s="2431"/>
      <c r="Q133" s="2431"/>
      <c r="R133" s="2431"/>
      <c r="S133" s="2431"/>
      <c r="T133" s="2431"/>
      <c r="U133" s="2432"/>
      <c r="V133" s="1206"/>
      <c r="W133" s="1206"/>
      <c r="X133" s="2401"/>
      <c r="Y133" s="2402"/>
      <c r="Z133" s="2402"/>
      <c r="AA133" s="2402"/>
      <c r="AB133" s="2402"/>
      <c r="AC133" s="2402"/>
      <c r="AD133" s="2402"/>
      <c r="AE133" s="2402"/>
      <c r="AF133" s="2402"/>
      <c r="AG133" s="2402"/>
      <c r="AH133" s="2402"/>
      <c r="AI133" s="2402"/>
      <c r="AJ133" s="2402"/>
      <c r="AK133" s="2402"/>
      <c r="AL133" s="2402"/>
      <c r="AM133" s="2402"/>
      <c r="AN133" s="2402"/>
      <c r="AO133" s="2402"/>
      <c r="AP133" s="2402"/>
      <c r="AQ133" s="2402"/>
      <c r="AR133" s="2402"/>
      <c r="AS133" s="2402"/>
      <c r="AT133" s="2402"/>
      <c r="AU133" s="2402"/>
      <c r="AV133" s="2402"/>
      <c r="AW133" s="2402"/>
      <c r="AX133" s="2402"/>
      <c r="AY133" s="2402"/>
      <c r="AZ133" s="2402"/>
      <c r="BA133" s="2402"/>
      <c r="BB133" s="2402"/>
      <c r="BC133" s="2402"/>
      <c r="BD133" s="2403"/>
      <c r="BE133" s="1202"/>
    </row>
    <row r="134" spans="1:57" ht="15.75" customHeight="1">
      <c r="A134" s="1206"/>
      <c r="B134" s="2398"/>
      <c r="C134" s="2399"/>
      <c r="D134" s="2399"/>
      <c r="E134" s="2399"/>
      <c r="F134" s="2399"/>
      <c r="G134" s="2399"/>
      <c r="H134" s="2399"/>
      <c r="I134" s="2413" t="s">
        <v>1827</v>
      </c>
      <c r="J134" s="2413"/>
      <c r="K134" s="2413"/>
      <c r="L134" s="2413"/>
      <c r="M134" s="2413"/>
      <c r="N134" s="2413"/>
      <c r="O134" s="2413"/>
      <c r="P134" s="2413" t="s">
        <v>2186</v>
      </c>
      <c r="Q134" s="2413"/>
      <c r="R134" s="2413"/>
      <c r="S134" s="2413"/>
      <c r="T134" s="2413"/>
      <c r="U134" s="2414"/>
      <c r="V134" s="1206"/>
      <c r="W134" s="1206"/>
      <c r="X134" s="2401"/>
      <c r="Y134" s="2402"/>
      <c r="Z134" s="2402"/>
      <c r="AA134" s="2402"/>
      <c r="AB134" s="2402"/>
      <c r="AC134" s="2402"/>
      <c r="AD134" s="2402"/>
      <c r="AE134" s="2402"/>
      <c r="AF134" s="2402"/>
      <c r="AG134" s="2402"/>
      <c r="AH134" s="2402"/>
      <c r="AI134" s="2402"/>
      <c r="AJ134" s="2402"/>
      <c r="AK134" s="2402"/>
      <c r="AL134" s="2402"/>
      <c r="AM134" s="2402"/>
      <c r="AN134" s="2402"/>
      <c r="AO134" s="2402"/>
      <c r="AP134" s="2402"/>
      <c r="AQ134" s="2402"/>
      <c r="AR134" s="2402"/>
      <c r="AS134" s="2402"/>
      <c r="AT134" s="2402"/>
      <c r="AU134" s="2402"/>
      <c r="AV134" s="2402"/>
      <c r="AW134" s="2402"/>
      <c r="AX134" s="2402"/>
      <c r="AY134" s="2402"/>
      <c r="AZ134" s="2402"/>
      <c r="BA134" s="2402"/>
      <c r="BB134" s="2402"/>
      <c r="BC134" s="2402"/>
      <c r="BD134" s="2403"/>
      <c r="BE134" s="1202"/>
    </row>
    <row r="135" spans="1:57" ht="15.75" customHeight="1">
      <c r="A135" s="1206"/>
      <c r="B135" s="2398"/>
      <c r="C135" s="2399"/>
      <c r="D135" s="2399"/>
      <c r="E135" s="2399"/>
      <c r="F135" s="2399"/>
      <c r="G135" s="2399"/>
      <c r="H135" s="2399"/>
      <c r="I135" s="2413"/>
      <c r="J135" s="2413"/>
      <c r="K135" s="2413"/>
      <c r="L135" s="2413"/>
      <c r="M135" s="2413"/>
      <c r="N135" s="2413"/>
      <c r="O135" s="2413"/>
      <c r="P135" s="2413"/>
      <c r="Q135" s="2413"/>
      <c r="R135" s="2413"/>
      <c r="S135" s="2413"/>
      <c r="T135" s="2413"/>
      <c r="U135" s="2414"/>
      <c r="V135" s="1206"/>
      <c r="W135" s="1206"/>
      <c r="X135" s="2401"/>
      <c r="Y135" s="2402"/>
      <c r="Z135" s="2402"/>
      <c r="AA135" s="2402"/>
      <c r="AB135" s="2402"/>
      <c r="AC135" s="2402"/>
      <c r="AD135" s="2402"/>
      <c r="AE135" s="2402"/>
      <c r="AF135" s="2402"/>
      <c r="AG135" s="2402"/>
      <c r="AH135" s="2402"/>
      <c r="AI135" s="2402"/>
      <c r="AJ135" s="2402"/>
      <c r="AK135" s="2402"/>
      <c r="AL135" s="2402"/>
      <c r="AM135" s="2402"/>
      <c r="AN135" s="2402"/>
      <c r="AO135" s="2402"/>
      <c r="AP135" s="2402"/>
      <c r="AQ135" s="2402"/>
      <c r="AR135" s="2402"/>
      <c r="AS135" s="2402"/>
      <c r="AT135" s="2402"/>
      <c r="AU135" s="2402"/>
      <c r="AV135" s="2402"/>
      <c r="AW135" s="2402"/>
      <c r="AX135" s="2402"/>
      <c r="AY135" s="2402"/>
      <c r="AZ135" s="2402"/>
      <c r="BA135" s="2402"/>
      <c r="BB135" s="2402"/>
      <c r="BC135" s="2402"/>
      <c r="BD135" s="2403"/>
      <c r="BE135" s="1202"/>
    </row>
    <row r="136" spans="1:57" ht="15.75" customHeight="1">
      <c r="A136" s="1206"/>
      <c r="B136" s="2415" t="s">
        <v>2174</v>
      </c>
      <c r="C136" s="2416"/>
      <c r="D136" s="2416"/>
      <c r="E136" s="2416"/>
      <c r="F136" s="2416"/>
      <c r="G136" s="2416"/>
      <c r="H136" s="2416"/>
      <c r="I136" s="2175">
        <v>0</v>
      </c>
      <c r="J136" s="2175"/>
      <c r="K136" s="2175"/>
      <c r="L136" s="2175"/>
      <c r="M136" s="2175"/>
      <c r="N136" s="2175"/>
      <c r="O136" s="2175"/>
      <c r="P136" s="2175">
        <v>0</v>
      </c>
      <c r="Q136" s="2175"/>
      <c r="R136" s="2175"/>
      <c r="S136" s="2175"/>
      <c r="T136" s="2175"/>
      <c r="U136" s="2176"/>
      <c r="V136" s="1206"/>
      <c r="W136" s="1206"/>
      <c r="X136" s="2401"/>
      <c r="Y136" s="2402"/>
      <c r="Z136" s="2402"/>
      <c r="AA136" s="2402"/>
      <c r="AB136" s="2402"/>
      <c r="AC136" s="2402"/>
      <c r="AD136" s="2402"/>
      <c r="AE136" s="2402"/>
      <c r="AF136" s="2402"/>
      <c r="AG136" s="2402"/>
      <c r="AH136" s="2402"/>
      <c r="AI136" s="2402"/>
      <c r="AJ136" s="2402"/>
      <c r="AK136" s="2402"/>
      <c r="AL136" s="2402"/>
      <c r="AM136" s="2402"/>
      <c r="AN136" s="2402"/>
      <c r="AO136" s="2402"/>
      <c r="AP136" s="2402"/>
      <c r="AQ136" s="2402"/>
      <c r="AR136" s="2402"/>
      <c r="AS136" s="2402"/>
      <c r="AT136" s="2402"/>
      <c r="AU136" s="2402"/>
      <c r="AV136" s="2402"/>
      <c r="AW136" s="2402"/>
      <c r="AX136" s="2402"/>
      <c r="AY136" s="2402"/>
      <c r="AZ136" s="2402"/>
      <c r="BA136" s="2402"/>
      <c r="BB136" s="2402"/>
      <c r="BC136" s="2402"/>
      <c r="BD136" s="2403"/>
      <c r="BE136" s="1202"/>
    </row>
    <row r="137" spans="1:57" ht="15.75" customHeight="1" thickBot="1">
      <c r="A137" s="1206"/>
      <c r="B137" s="2417" t="s">
        <v>2175</v>
      </c>
      <c r="C137" s="2418"/>
      <c r="D137" s="2418"/>
      <c r="E137" s="2418"/>
      <c r="F137" s="2418"/>
      <c r="G137" s="2418"/>
      <c r="H137" s="2418"/>
      <c r="I137" s="2173">
        <v>0</v>
      </c>
      <c r="J137" s="2173"/>
      <c r="K137" s="2173"/>
      <c r="L137" s="2173"/>
      <c r="M137" s="2173"/>
      <c r="N137" s="2173"/>
      <c r="O137" s="2173"/>
      <c r="P137" s="2173">
        <v>0</v>
      </c>
      <c r="Q137" s="2173"/>
      <c r="R137" s="2173"/>
      <c r="S137" s="2173"/>
      <c r="T137" s="2173"/>
      <c r="U137" s="2174"/>
      <c r="V137" s="1206"/>
      <c r="W137" s="1206"/>
      <c r="X137" s="2404"/>
      <c r="Y137" s="2405"/>
      <c r="Z137" s="2405"/>
      <c r="AA137" s="2405"/>
      <c r="AB137" s="2405"/>
      <c r="AC137" s="2405"/>
      <c r="AD137" s="2405"/>
      <c r="AE137" s="2405"/>
      <c r="AF137" s="2405"/>
      <c r="AG137" s="2405"/>
      <c r="AH137" s="2405"/>
      <c r="AI137" s="2405"/>
      <c r="AJ137" s="2405"/>
      <c r="AK137" s="2405"/>
      <c r="AL137" s="2405"/>
      <c r="AM137" s="2405"/>
      <c r="AN137" s="2405"/>
      <c r="AO137" s="2405"/>
      <c r="AP137" s="2405"/>
      <c r="AQ137" s="2405"/>
      <c r="AR137" s="2405"/>
      <c r="AS137" s="2405"/>
      <c r="AT137" s="2405"/>
      <c r="AU137" s="2405"/>
      <c r="AV137" s="2405"/>
      <c r="AW137" s="2405"/>
      <c r="AX137" s="2405"/>
      <c r="AY137" s="2405"/>
      <c r="AZ137" s="2405"/>
      <c r="BA137" s="2405"/>
      <c r="BB137" s="2405"/>
      <c r="BC137" s="2405"/>
      <c r="BD137" s="240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5" t="s">
        <v>1833</v>
      </c>
      <c r="C139" s="2396"/>
      <c r="D139" s="2396"/>
      <c r="E139" s="2396"/>
      <c r="F139" s="2396"/>
      <c r="G139" s="2396"/>
      <c r="H139" s="2396"/>
      <c r="I139" s="2396"/>
      <c r="J139" s="2396"/>
      <c r="K139" s="2396"/>
      <c r="L139" s="2396"/>
      <c r="M139" s="2396"/>
      <c r="N139" s="2396"/>
      <c r="O139" s="2396"/>
      <c r="P139" s="2396"/>
      <c r="Q139" s="2396"/>
      <c r="R139" s="2396"/>
      <c r="S139" s="2396"/>
      <c r="T139" s="2396"/>
      <c r="U139" s="2396"/>
      <c r="V139" s="2396"/>
      <c r="W139" s="2396"/>
      <c r="X139" s="2396"/>
      <c r="Y139" s="2396"/>
      <c r="Z139" s="2396"/>
      <c r="AA139" s="2396"/>
      <c r="AB139" s="2396"/>
      <c r="AC139" s="2396"/>
      <c r="AD139" s="2396"/>
      <c r="AE139" s="2396"/>
      <c r="AF139" s="2396"/>
      <c r="AG139" s="2396"/>
      <c r="AH139" s="2234" t="s">
        <v>553</v>
      </c>
      <c r="AI139" s="2234"/>
      <c r="AJ139" s="2234"/>
      <c r="AK139" s="2234"/>
      <c r="AL139" s="2234"/>
      <c r="AM139" s="2234"/>
      <c r="AN139" s="2234"/>
      <c r="AO139" s="2234"/>
      <c r="AP139" s="2234"/>
      <c r="AQ139" s="2234"/>
      <c r="AR139" s="2234"/>
      <c r="AS139" s="2234"/>
      <c r="AT139" s="2234"/>
      <c r="AU139" s="2234"/>
      <c r="AV139" s="2234"/>
      <c r="AW139" s="2234"/>
      <c r="AX139" s="2235"/>
      <c r="AY139" s="1206"/>
      <c r="AZ139" s="1206"/>
      <c r="BA139" s="1206"/>
      <c r="BB139" s="1206"/>
      <c r="BC139" s="1206"/>
      <c r="BD139" s="1206"/>
      <c r="BE139" s="1202"/>
    </row>
    <row r="140" spans="1:57" ht="15.75" customHeight="1">
      <c r="A140" s="1206"/>
      <c r="B140" s="2420" t="s">
        <v>1834</v>
      </c>
      <c r="C140" s="2421"/>
      <c r="D140" s="2421"/>
      <c r="E140" s="2421"/>
      <c r="F140" s="2421"/>
      <c r="G140" s="2421"/>
      <c r="H140" s="2421"/>
      <c r="I140" s="2421"/>
      <c r="J140" s="2421"/>
      <c r="K140" s="2421"/>
      <c r="L140" s="2421"/>
      <c r="M140" s="2421"/>
      <c r="N140" s="2421"/>
      <c r="O140" s="2421"/>
      <c r="P140" s="2421"/>
      <c r="Q140" s="2421"/>
      <c r="R140" s="2422" t="s">
        <v>2188</v>
      </c>
      <c r="S140" s="2422"/>
      <c r="T140" s="2422"/>
      <c r="U140" s="2422"/>
      <c r="V140" s="2422"/>
      <c r="W140" s="2422"/>
      <c r="X140" s="2422"/>
      <c r="Y140" s="2422"/>
      <c r="Z140" s="2422"/>
      <c r="AA140" s="2422"/>
      <c r="AB140" s="2422"/>
      <c r="AC140" s="2422"/>
      <c r="AD140" s="2422"/>
      <c r="AE140" s="2422"/>
      <c r="AF140" s="2422"/>
      <c r="AG140" s="2422"/>
      <c r="AH140" s="2422"/>
      <c r="AI140" s="2422"/>
      <c r="AJ140" s="2422"/>
      <c r="AK140" s="2422"/>
      <c r="AL140" s="2422"/>
      <c r="AM140" s="2422"/>
      <c r="AN140" s="2422"/>
      <c r="AO140" s="2422"/>
      <c r="AP140" s="2422"/>
      <c r="AQ140" s="2422"/>
      <c r="AR140" s="2422"/>
      <c r="AS140" s="2422"/>
      <c r="AT140" s="2422"/>
      <c r="AU140" s="2422"/>
      <c r="AV140" s="2422"/>
      <c r="AW140" s="2422"/>
      <c r="AX140" s="2423"/>
      <c r="AY140" s="1206"/>
      <c r="AZ140" s="1206"/>
      <c r="BA140" s="1206"/>
      <c r="BB140" s="1206"/>
      <c r="BC140" s="1206" t="s">
        <v>251</v>
      </c>
      <c r="BD140" s="1206"/>
      <c r="BE140" s="1202"/>
    </row>
    <row r="141" spans="1:57" ht="15.75" customHeight="1">
      <c r="A141" s="1206"/>
      <c r="B141" s="2424" t="s">
        <v>2189</v>
      </c>
      <c r="C141" s="2425"/>
      <c r="D141" s="2425"/>
      <c r="E141" s="2425"/>
      <c r="F141" s="2425"/>
      <c r="G141" s="2425"/>
      <c r="H141" s="2425"/>
      <c r="I141" s="2425"/>
      <c r="J141" s="2425"/>
      <c r="K141" s="2425"/>
      <c r="L141" s="2425"/>
      <c r="M141" s="2425"/>
      <c r="N141" s="2425"/>
      <c r="O141" s="2425"/>
      <c r="P141" s="2425"/>
      <c r="Q141" s="2425"/>
      <c r="R141" s="2425"/>
      <c r="S141" s="2425"/>
      <c r="T141" s="2425"/>
      <c r="U141" s="2425"/>
      <c r="V141" s="2425"/>
      <c r="W141" s="2425"/>
      <c r="X141" s="2425"/>
      <c r="Y141" s="2425"/>
      <c r="Z141" s="2425"/>
      <c r="AA141" s="2425"/>
      <c r="AB141" s="2425"/>
      <c r="AC141" s="2425"/>
      <c r="AD141" s="2425"/>
      <c r="AE141" s="2425"/>
      <c r="AF141" s="2425"/>
      <c r="AG141" s="2425"/>
      <c r="AH141" s="2425"/>
      <c r="AI141" s="2425"/>
      <c r="AJ141" s="2425"/>
      <c r="AK141" s="2425"/>
      <c r="AL141" s="2425"/>
      <c r="AM141" s="2425"/>
      <c r="AN141" s="2425"/>
      <c r="AO141" s="2425"/>
      <c r="AP141" s="2425"/>
      <c r="AQ141" s="2425"/>
      <c r="AR141" s="2425"/>
      <c r="AS141" s="2425"/>
      <c r="AT141" s="2425"/>
      <c r="AU141" s="2425"/>
      <c r="AV141" s="2425"/>
      <c r="AW141" s="2425"/>
      <c r="AX141" s="2426"/>
      <c r="AY141" s="1206"/>
      <c r="AZ141" s="1206"/>
      <c r="BA141" s="1206"/>
      <c r="BB141" s="1206"/>
      <c r="BC141" s="1206"/>
      <c r="BD141" s="1206"/>
      <c r="BE141" s="1202"/>
    </row>
    <row r="142" spans="1:57" ht="15.75" customHeight="1">
      <c r="A142" s="1206"/>
      <c r="B142" s="2424"/>
      <c r="C142" s="2425"/>
      <c r="D142" s="2425"/>
      <c r="E142" s="2425"/>
      <c r="F142" s="2425"/>
      <c r="G142" s="2425"/>
      <c r="H142" s="2425"/>
      <c r="I142" s="2425"/>
      <c r="J142" s="2425"/>
      <c r="K142" s="2425"/>
      <c r="L142" s="2425"/>
      <c r="M142" s="2425"/>
      <c r="N142" s="2425"/>
      <c r="O142" s="2425"/>
      <c r="P142" s="2425"/>
      <c r="Q142" s="2425"/>
      <c r="R142" s="2425"/>
      <c r="S142" s="2425"/>
      <c r="T142" s="2425"/>
      <c r="U142" s="2425"/>
      <c r="V142" s="2425"/>
      <c r="W142" s="2425"/>
      <c r="X142" s="2425"/>
      <c r="Y142" s="2425"/>
      <c r="Z142" s="2425"/>
      <c r="AA142" s="2425"/>
      <c r="AB142" s="2425"/>
      <c r="AC142" s="2425"/>
      <c r="AD142" s="2425"/>
      <c r="AE142" s="2425"/>
      <c r="AF142" s="2425"/>
      <c r="AG142" s="2425"/>
      <c r="AH142" s="2425"/>
      <c r="AI142" s="2425"/>
      <c r="AJ142" s="2425"/>
      <c r="AK142" s="2425"/>
      <c r="AL142" s="2425"/>
      <c r="AM142" s="2425"/>
      <c r="AN142" s="2425"/>
      <c r="AO142" s="2425"/>
      <c r="AP142" s="2425"/>
      <c r="AQ142" s="2425"/>
      <c r="AR142" s="2425"/>
      <c r="AS142" s="2425"/>
      <c r="AT142" s="2425"/>
      <c r="AU142" s="2425"/>
      <c r="AV142" s="2425"/>
      <c r="AW142" s="2425"/>
      <c r="AX142" s="2426"/>
      <c r="AY142" s="1206"/>
      <c r="AZ142" s="1206"/>
      <c r="BA142" s="1206"/>
      <c r="BB142" s="1206"/>
      <c r="BC142" s="1206"/>
      <c r="BD142" s="1206"/>
      <c r="BE142" s="1202"/>
    </row>
    <row r="143" spans="1:57" ht="15.75" customHeight="1">
      <c r="A143" s="1206"/>
      <c r="B143" s="2424"/>
      <c r="C143" s="2425"/>
      <c r="D143" s="2425"/>
      <c r="E143" s="2425"/>
      <c r="F143" s="2425"/>
      <c r="G143" s="2425"/>
      <c r="H143" s="2425"/>
      <c r="I143" s="2425"/>
      <c r="J143" s="2425"/>
      <c r="K143" s="2425"/>
      <c r="L143" s="2425"/>
      <c r="M143" s="2425"/>
      <c r="N143" s="2425"/>
      <c r="O143" s="2425"/>
      <c r="P143" s="2425"/>
      <c r="Q143" s="2425"/>
      <c r="R143" s="2425"/>
      <c r="S143" s="2425"/>
      <c r="T143" s="2425"/>
      <c r="U143" s="2425"/>
      <c r="V143" s="2425"/>
      <c r="W143" s="2425"/>
      <c r="X143" s="2425"/>
      <c r="Y143" s="2425"/>
      <c r="Z143" s="2425"/>
      <c r="AA143" s="2425"/>
      <c r="AB143" s="2425"/>
      <c r="AC143" s="2425"/>
      <c r="AD143" s="2425"/>
      <c r="AE143" s="2425"/>
      <c r="AF143" s="2425"/>
      <c r="AG143" s="2425"/>
      <c r="AH143" s="2425"/>
      <c r="AI143" s="2425"/>
      <c r="AJ143" s="2425"/>
      <c r="AK143" s="2425"/>
      <c r="AL143" s="2425"/>
      <c r="AM143" s="2425"/>
      <c r="AN143" s="2425"/>
      <c r="AO143" s="2425"/>
      <c r="AP143" s="2425"/>
      <c r="AQ143" s="2425"/>
      <c r="AR143" s="2425"/>
      <c r="AS143" s="2425"/>
      <c r="AT143" s="2425"/>
      <c r="AU143" s="2425"/>
      <c r="AV143" s="2425"/>
      <c r="AW143" s="2425"/>
      <c r="AX143" s="2426"/>
      <c r="AY143" s="1206"/>
      <c r="AZ143" s="1206"/>
      <c r="BA143" s="1206"/>
      <c r="BB143" s="1206"/>
      <c r="BC143" s="1206"/>
      <c r="BD143" s="1206"/>
      <c r="BE143" s="1202"/>
    </row>
    <row r="144" spans="1:57" ht="15.75" customHeight="1">
      <c r="A144" s="1206"/>
      <c r="B144" s="2424"/>
      <c r="C144" s="2425"/>
      <c r="D144" s="2425"/>
      <c r="E144" s="2425"/>
      <c r="F144" s="2425"/>
      <c r="G144" s="2425"/>
      <c r="H144" s="2425"/>
      <c r="I144" s="2425"/>
      <c r="J144" s="2425"/>
      <c r="K144" s="2425"/>
      <c r="L144" s="2425"/>
      <c r="M144" s="2425"/>
      <c r="N144" s="2425"/>
      <c r="O144" s="2425"/>
      <c r="P144" s="2425"/>
      <c r="Q144" s="2425"/>
      <c r="R144" s="2425"/>
      <c r="S144" s="2425"/>
      <c r="T144" s="2425"/>
      <c r="U144" s="2425"/>
      <c r="V144" s="2425"/>
      <c r="W144" s="2425"/>
      <c r="X144" s="2425"/>
      <c r="Y144" s="2425"/>
      <c r="Z144" s="2425"/>
      <c r="AA144" s="2425"/>
      <c r="AB144" s="2425"/>
      <c r="AC144" s="2425"/>
      <c r="AD144" s="2425"/>
      <c r="AE144" s="2425"/>
      <c r="AF144" s="2425"/>
      <c r="AG144" s="2425"/>
      <c r="AH144" s="2425"/>
      <c r="AI144" s="2425"/>
      <c r="AJ144" s="2425"/>
      <c r="AK144" s="2425"/>
      <c r="AL144" s="2425"/>
      <c r="AM144" s="2425"/>
      <c r="AN144" s="2425"/>
      <c r="AO144" s="2425"/>
      <c r="AP144" s="2425"/>
      <c r="AQ144" s="2425"/>
      <c r="AR144" s="2425"/>
      <c r="AS144" s="2425"/>
      <c r="AT144" s="2425"/>
      <c r="AU144" s="2425"/>
      <c r="AV144" s="2425"/>
      <c r="AW144" s="2425"/>
      <c r="AX144" s="2426"/>
      <c r="AY144" s="1206"/>
      <c r="AZ144" s="1206"/>
      <c r="BA144" s="1206"/>
      <c r="BB144" s="1206"/>
      <c r="BC144" s="1206"/>
      <c r="BD144" s="1206"/>
      <c r="BE144" s="1202"/>
    </row>
    <row r="145" spans="1:57" ht="15.75" customHeight="1">
      <c r="A145" s="1206"/>
      <c r="B145" s="2424"/>
      <c r="C145" s="2425"/>
      <c r="D145" s="2425"/>
      <c r="E145" s="2425"/>
      <c r="F145" s="2425"/>
      <c r="G145" s="2425"/>
      <c r="H145" s="2425"/>
      <c r="I145" s="2425"/>
      <c r="J145" s="2425"/>
      <c r="K145" s="2425"/>
      <c r="L145" s="2425"/>
      <c r="M145" s="2425"/>
      <c r="N145" s="2425"/>
      <c r="O145" s="2425"/>
      <c r="P145" s="2425"/>
      <c r="Q145" s="2425"/>
      <c r="R145" s="2425"/>
      <c r="S145" s="2425"/>
      <c r="T145" s="2425"/>
      <c r="U145" s="2425"/>
      <c r="V145" s="2425"/>
      <c r="W145" s="2425"/>
      <c r="X145" s="2425"/>
      <c r="Y145" s="2425"/>
      <c r="Z145" s="2425"/>
      <c r="AA145" s="2425"/>
      <c r="AB145" s="2425"/>
      <c r="AC145" s="2425"/>
      <c r="AD145" s="2425"/>
      <c r="AE145" s="2425"/>
      <c r="AF145" s="2425"/>
      <c r="AG145" s="2425"/>
      <c r="AH145" s="2425"/>
      <c r="AI145" s="2425"/>
      <c r="AJ145" s="2425"/>
      <c r="AK145" s="2425"/>
      <c r="AL145" s="2425"/>
      <c r="AM145" s="2425"/>
      <c r="AN145" s="2425"/>
      <c r="AO145" s="2425"/>
      <c r="AP145" s="2425"/>
      <c r="AQ145" s="2425"/>
      <c r="AR145" s="2425"/>
      <c r="AS145" s="2425"/>
      <c r="AT145" s="2425"/>
      <c r="AU145" s="2425"/>
      <c r="AV145" s="2425"/>
      <c r="AW145" s="2425"/>
      <c r="AX145" s="2426"/>
      <c r="AY145" s="1206"/>
      <c r="AZ145" s="1206"/>
      <c r="BA145" s="1206"/>
      <c r="BB145" s="1206"/>
      <c r="BC145" s="1206"/>
      <c r="BD145" s="1206"/>
      <c r="BE145" s="1202"/>
    </row>
    <row r="146" spans="1:57" ht="15.75" customHeight="1">
      <c r="A146" s="1206"/>
      <c r="B146" s="2424"/>
      <c r="C146" s="2425"/>
      <c r="D146" s="2425"/>
      <c r="E146" s="2425"/>
      <c r="F146" s="2425"/>
      <c r="G146" s="2425"/>
      <c r="H146" s="2425"/>
      <c r="I146" s="2425"/>
      <c r="J146" s="2425"/>
      <c r="K146" s="2425"/>
      <c r="L146" s="2425"/>
      <c r="M146" s="2425"/>
      <c r="N146" s="2425"/>
      <c r="O146" s="2425"/>
      <c r="P146" s="2425"/>
      <c r="Q146" s="2425"/>
      <c r="R146" s="2425"/>
      <c r="S146" s="2425"/>
      <c r="T146" s="2425"/>
      <c r="U146" s="2425"/>
      <c r="V146" s="2425"/>
      <c r="W146" s="2425"/>
      <c r="X146" s="2425"/>
      <c r="Y146" s="2425"/>
      <c r="Z146" s="2425"/>
      <c r="AA146" s="2425"/>
      <c r="AB146" s="2425"/>
      <c r="AC146" s="2425"/>
      <c r="AD146" s="2425"/>
      <c r="AE146" s="2425"/>
      <c r="AF146" s="2425"/>
      <c r="AG146" s="2425"/>
      <c r="AH146" s="2425"/>
      <c r="AI146" s="2425"/>
      <c r="AJ146" s="2425"/>
      <c r="AK146" s="2425"/>
      <c r="AL146" s="2425"/>
      <c r="AM146" s="2425"/>
      <c r="AN146" s="2425"/>
      <c r="AO146" s="2425"/>
      <c r="AP146" s="2425"/>
      <c r="AQ146" s="2425"/>
      <c r="AR146" s="2425"/>
      <c r="AS146" s="2425"/>
      <c r="AT146" s="2425"/>
      <c r="AU146" s="2425"/>
      <c r="AV146" s="2425"/>
      <c r="AW146" s="2425"/>
      <c r="AX146" s="2426"/>
      <c r="AY146" s="1206"/>
      <c r="AZ146" s="1206"/>
      <c r="BA146" s="1206"/>
      <c r="BB146" s="1206"/>
      <c r="BC146" s="1206"/>
      <c r="BD146" s="1206"/>
      <c r="BE146" s="1202"/>
    </row>
    <row r="147" spans="1:57" ht="15.75" customHeight="1">
      <c r="A147" s="1206"/>
      <c r="B147" s="2424"/>
      <c r="C147" s="2425"/>
      <c r="D147" s="2425"/>
      <c r="E147" s="2425"/>
      <c r="F147" s="2425"/>
      <c r="G147" s="2425"/>
      <c r="H147" s="2425"/>
      <c r="I147" s="2425"/>
      <c r="J147" s="2425"/>
      <c r="K147" s="2425"/>
      <c r="L147" s="2425"/>
      <c r="M147" s="2425"/>
      <c r="N147" s="2425"/>
      <c r="O147" s="2425"/>
      <c r="P147" s="2425"/>
      <c r="Q147" s="2425"/>
      <c r="R147" s="2425"/>
      <c r="S147" s="2425"/>
      <c r="T147" s="2425"/>
      <c r="U147" s="2425"/>
      <c r="V147" s="2425"/>
      <c r="W147" s="2425"/>
      <c r="X147" s="2425"/>
      <c r="Y147" s="2425"/>
      <c r="Z147" s="2425"/>
      <c r="AA147" s="2425"/>
      <c r="AB147" s="2425"/>
      <c r="AC147" s="2425"/>
      <c r="AD147" s="2425"/>
      <c r="AE147" s="2425"/>
      <c r="AF147" s="2425"/>
      <c r="AG147" s="2425"/>
      <c r="AH147" s="2425"/>
      <c r="AI147" s="2425"/>
      <c r="AJ147" s="2425"/>
      <c r="AK147" s="2425"/>
      <c r="AL147" s="2425"/>
      <c r="AM147" s="2425"/>
      <c r="AN147" s="2425"/>
      <c r="AO147" s="2425"/>
      <c r="AP147" s="2425"/>
      <c r="AQ147" s="2425"/>
      <c r="AR147" s="2425"/>
      <c r="AS147" s="2425"/>
      <c r="AT147" s="2425"/>
      <c r="AU147" s="2425"/>
      <c r="AV147" s="2425"/>
      <c r="AW147" s="2425"/>
      <c r="AX147" s="2426"/>
      <c r="AY147" s="1206"/>
      <c r="AZ147" s="1206"/>
      <c r="BA147" s="1206"/>
      <c r="BB147" s="1206"/>
      <c r="BC147" s="1206"/>
      <c r="BD147" s="1206"/>
      <c r="BE147" s="1202"/>
    </row>
    <row r="148" spans="1:57" ht="15.75" customHeight="1">
      <c r="A148" s="1206"/>
      <c r="B148" s="2424"/>
      <c r="C148" s="2425"/>
      <c r="D148" s="2425"/>
      <c r="E148" s="2425"/>
      <c r="F148" s="2425"/>
      <c r="G148" s="2425"/>
      <c r="H148" s="2425"/>
      <c r="I148" s="2425"/>
      <c r="J148" s="2425"/>
      <c r="K148" s="2425"/>
      <c r="L148" s="2425"/>
      <c r="M148" s="2425"/>
      <c r="N148" s="2425"/>
      <c r="O148" s="2425"/>
      <c r="P148" s="2425"/>
      <c r="Q148" s="2425"/>
      <c r="R148" s="2425"/>
      <c r="S148" s="2425"/>
      <c r="T148" s="2425"/>
      <c r="U148" s="2425"/>
      <c r="V148" s="2425"/>
      <c r="W148" s="2425"/>
      <c r="X148" s="2425"/>
      <c r="Y148" s="2425"/>
      <c r="Z148" s="2425"/>
      <c r="AA148" s="2425"/>
      <c r="AB148" s="2425"/>
      <c r="AC148" s="2425"/>
      <c r="AD148" s="2425"/>
      <c r="AE148" s="2425"/>
      <c r="AF148" s="2425"/>
      <c r="AG148" s="2425"/>
      <c r="AH148" s="2425"/>
      <c r="AI148" s="2425"/>
      <c r="AJ148" s="2425"/>
      <c r="AK148" s="2425"/>
      <c r="AL148" s="2425"/>
      <c r="AM148" s="2425"/>
      <c r="AN148" s="2425"/>
      <c r="AO148" s="2425"/>
      <c r="AP148" s="2425"/>
      <c r="AQ148" s="2425"/>
      <c r="AR148" s="2425"/>
      <c r="AS148" s="2425"/>
      <c r="AT148" s="2425"/>
      <c r="AU148" s="2425"/>
      <c r="AV148" s="2425"/>
      <c r="AW148" s="2425"/>
      <c r="AX148" s="2426"/>
      <c r="AY148" s="1206"/>
      <c r="AZ148" s="1206"/>
      <c r="BA148" s="1206"/>
      <c r="BB148" s="1206"/>
      <c r="BC148" s="1206"/>
      <c r="BD148" s="1206"/>
      <c r="BE148" s="1202"/>
    </row>
    <row r="149" spans="1:57" ht="15.75" customHeight="1">
      <c r="A149" s="1206"/>
      <c r="B149" s="2424"/>
      <c r="C149" s="2425"/>
      <c r="D149" s="2425"/>
      <c r="E149" s="2425"/>
      <c r="F149" s="2425"/>
      <c r="G149" s="2425"/>
      <c r="H149" s="2425"/>
      <c r="I149" s="2425"/>
      <c r="J149" s="2425"/>
      <c r="K149" s="2425"/>
      <c r="L149" s="2425"/>
      <c r="M149" s="2425"/>
      <c r="N149" s="2425"/>
      <c r="O149" s="2425"/>
      <c r="P149" s="2425"/>
      <c r="Q149" s="2425"/>
      <c r="R149" s="2425"/>
      <c r="S149" s="2425"/>
      <c r="T149" s="2425"/>
      <c r="U149" s="2425"/>
      <c r="V149" s="2425"/>
      <c r="W149" s="2425"/>
      <c r="X149" s="2425"/>
      <c r="Y149" s="2425"/>
      <c r="Z149" s="2425"/>
      <c r="AA149" s="2425"/>
      <c r="AB149" s="2425"/>
      <c r="AC149" s="2425"/>
      <c r="AD149" s="2425"/>
      <c r="AE149" s="2425"/>
      <c r="AF149" s="2425"/>
      <c r="AG149" s="2425"/>
      <c r="AH149" s="2425"/>
      <c r="AI149" s="2425"/>
      <c r="AJ149" s="2425"/>
      <c r="AK149" s="2425"/>
      <c r="AL149" s="2425"/>
      <c r="AM149" s="2425"/>
      <c r="AN149" s="2425"/>
      <c r="AO149" s="2425"/>
      <c r="AP149" s="2425"/>
      <c r="AQ149" s="2425"/>
      <c r="AR149" s="2425"/>
      <c r="AS149" s="2425"/>
      <c r="AT149" s="2425"/>
      <c r="AU149" s="2425"/>
      <c r="AV149" s="2425"/>
      <c r="AW149" s="2425"/>
      <c r="AX149" s="2426"/>
      <c r="AY149" s="1206"/>
      <c r="AZ149" s="1206"/>
      <c r="BA149" s="1206"/>
      <c r="BB149" s="1206"/>
      <c r="BC149" s="1206"/>
      <c r="BD149" s="1206"/>
      <c r="BE149" s="1202"/>
    </row>
    <row r="150" spans="1:57" ht="15.75" customHeight="1" thickBot="1">
      <c r="A150" s="1206"/>
      <c r="B150" s="2427"/>
      <c r="C150" s="2428"/>
      <c r="D150" s="2428"/>
      <c r="E150" s="2428"/>
      <c r="F150" s="2428"/>
      <c r="G150" s="2428"/>
      <c r="H150" s="2428"/>
      <c r="I150" s="2428"/>
      <c r="J150" s="2428"/>
      <c r="K150" s="2428"/>
      <c r="L150" s="2428"/>
      <c r="M150" s="2428"/>
      <c r="N150" s="2428"/>
      <c r="O150" s="2428"/>
      <c r="P150" s="2428"/>
      <c r="Q150" s="2428"/>
      <c r="R150" s="2428"/>
      <c r="S150" s="2428"/>
      <c r="T150" s="2428"/>
      <c r="U150" s="2428"/>
      <c r="V150" s="2428"/>
      <c r="W150" s="2428"/>
      <c r="X150" s="2428"/>
      <c r="Y150" s="2428"/>
      <c r="Z150" s="2428"/>
      <c r="AA150" s="2428"/>
      <c r="AB150" s="2428"/>
      <c r="AC150" s="2428"/>
      <c r="AD150" s="2428"/>
      <c r="AE150" s="2428"/>
      <c r="AF150" s="2428"/>
      <c r="AG150" s="2428"/>
      <c r="AH150" s="2428"/>
      <c r="AI150" s="2428"/>
      <c r="AJ150" s="2428"/>
      <c r="AK150" s="2428"/>
      <c r="AL150" s="2428"/>
      <c r="AM150" s="2428"/>
      <c r="AN150" s="2428"/>
      <c r="AO150" s="2428"/>
      <c r="AP150" s="2428"/>
      <c r="AQ150" s="2428"/>
      <c r="AR150" s="2428"/>
      <c r="AS150" s="2428"/>
      <c r="AT150" s="2428"/>
      <c r="AU150" s="2428"/>
      <c r="AV150" s="2428"/>
      <c r="AW150" s="2428"/>
      <c r="AX150" s="242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9" t="s">
        <v>1836</v>
      </c>
      <c r="C154" s="2215"/>
      <c r="D154" s="2215"/>
      <c r="E154" s="2215"/>
      <c r="F154" s="2215"/>
      <c r="G154" s="2215"/>
      <c r="H154" s="2215"/>
      <c r="I154" s="2215"/>
      <c r="J154" s="2215"/>
      <c r="K154" s="2215"/>
      <c r="L154" s="2215"/>
      <c r="M154" s="2215"/>
      <c r="N154" s="2215"/>
      <c r="O154" s="2215"/>
      <c r="P154" s="2215"/>
      <c r="Q154" s="2215"/>
      <c r="R154" s="2215"/>
      <c r="S154" s="2215"/>
      <c r="T154" s="2215"/>
      <c r="U154" s="2216"/>
      <c r="V154" s="1206"/>
      <c r="W154" s="1214"/>
      <c r="X154" s="2419" t="s">
        <v>2191</v>
      </c>
      <c r="Y154" s="2215"/>
      <c r="Z154" s="2215"/>
      <c r="AA154" s="2215"/>
      <c r="AB154" s="2215"/>
      <c r="AC154" s="2215"/>
      <c r="AD154" s="2215"/>
      <c r="AE154" s="2215"/>
      <c r="AF154" s="2215"/>
      <c r="AG154" s="2215"/>
      <c r="AH154" s="2215"/>
      <c r="AI154" s="2215"/>
      <c r="AJ154" s="2215"/>
      <c r="AK154" s="2215"/>
      <c r="AL154" s="2215"/>
      <c r="AM154" s="2215"/>
      <c r="AN154" s="2215"/>
      <c r="AO154" s="2215"/>
      <c r="AP154" s="2215"/>
      <c r="AQ154" s="2216"/>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8"/>
      <c r="C155" s="2399"/>
      <c r="D155" s="2399"/>
      <c r="E155" s="2399"/>
      <c r="F155" s="2399"/>
      <c r="G155" s="2399"/>
      <c r="H155" s="2399"/>
      <c r="I155" s="2413" t="s">
        <v>1827</v>
      </c>
      <c r="J155" s="2413"/>
      <c r="K155" s="2413"/>
      <c r="L155" s="2413"/>
      <c r="M155" s="2413"/>
      <c r="N155" s="2413"/>
      <c r="O155" s="2413"/>
      <c r="P155" s="2413" t="s">
        <v>2192</v>
      </c>
      <c r="Q155" s="2413"/>
      <c r="R155" s="2413"/>
      <c r="S155" s="2413"/>
      <c r="T155" s="2413"/>
      <c r="U155" s="2414"/>
      <c r="V155" s="1206"/>
      <c r="W155" s="1206"/>
      <c r="X155" s="2398"/>
      <c r="Y155" s="2399"/>
      <c r="Z155" s="2399"/>
      <c r="AA155" s="2399"/>
      <c r="AB155" s="2399"/>
      <c r="AC155" s="2399"/>
      <c r="AD155" s="2399"/>
      <c r="AE155" s="2413" t="s">
        <v>1827</v>
      </c>
      <c r="AF155" s="2413"/>
      <c r="AG155" s="2413"/>
      <c r="AH155" s="2413"/>
      <c r="AI155" s="2413"/>
      <c r="AJ155" s="2413"/>
      <c r="AK155" s="2413"/>
      <c r="AL155" s="2413" t="s">
        <v>2186</v>
      </c>
      <c r="AM155" s="2413"/>
      <c r="AN155" s="2413"/>
      <c r="AO155" s="2413"/>
      <c r="AP155" s="2413"/>
      <c r="AQ155" s="2414"/>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8"/>
      <c r="C156" s="2399"/>
      <c r="D156" s="2399"/>
      <c r="E156" s="2399"/>
      <c r="F156" s="2399"/>
      <c r="G156" s="2399"/>
      <c r="H156" s="2399"/>
      <c r="I156" s="2413"/>
      <c r="J156" s="2413"/>
      <c r="K156" s="2413"/>
      <c r="L156" s="2413"/>
      <c r="M156" s="2413"/>
      <c r="N156" s="2413"/>
      <c r="O156" s="2413"/>
      <c r="P156" s="2413"/>
      <c r="Q156" s="2413"/>
      <c r="R156" s="2413"/>
      <c r="S156" s="2413"/>
      <c r="T156" s="2413"/>
      <c r="U156" s="2414"/>
      <c r="V156" s="1206"/>
      <c r="W156" s="1206"/>
      <c r="X156" s="2398"/>
      <c r="Y156" s="2399"/>
      <c r="Z156" s="2399"/>
      <c r="AA156" s="2399"/>
      <c r="AB156" s="2399"/>
      <c r="AC156" s="2399"/>
      <c r="AD156" s="2399"/>
      <c r="AE156" s="2413"/>
      <c r="AF156" s="2413"/>
      <c r="AG156" s="2413"/>
      <c r="AH156" s="2413"/>
      <c r="AI156" s="2413"/>
      <c r="AJ156" s="2413"/>
      <c r="AK156" s="2413"/>
      <c r="AL156" s="2413"/>
      <c r="AM156" s="2413"/>
      <c r="AN156" s="2413"/>
      <c r="AO156" s="2413"/>
      <c r="AP156" s="2413"/>
      <c r="AQ156" s="241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2174</v>
      </c>
      <c r="C157" s="2416"/>
      <c r="D157" s="2416"/>
      <c r="E157" s="2416"/>
      <c r="F157" s="2416"/>
      <c r="G157" s="2416"/>
      <c r="H157" s="2416"/>
      <c r="I157" s="2175">
        <v>0</v>
      </c>
      <c r="J157" s="2175"/>
      <c r="K157" s="2175"/>
      <c r="L157" s="2175"/>
      <c r="M157" s="2175"/>
      <c r="N157" s="2175"/>
      <c r="O157" s="2175"/>
      <c r="P157" s="2175">
        <v>0</v>
      </c>
      <c r="Q157" s="2175"/>
      <c r="R157" s="2175"/>
      <c r="S157" s="2175"/>
      <c r="T157" s="2175"/>
      <c r="U157" s="2176"/>
      <c r="V157" s="1206"/>
      <c r="W157" s="1206"/>
      <c r="X157" s="2417" t="s">
        <v>2174</v>
      </c>
      <c r="Y157" s="2418"/>
      <c r="Z157" s="2418"/>
      <c r="AA157" s="2418"/>
      <c r="AB157" s="2418"/>
      <c r="AC157" s="2418"/>
      <c r="AD157" s="2418"/>
      <c r="AE157" s="2173">
        <v>0</v>
      </c>
      <c r="AF157" s="2173"/>
      <c r="AG157" s="2173"/>
      <c r="AH157" s="2173"/>
      <c r="AI157" s="2173"/>
      <c r="AJ157" s="2173"/>
      <c r="AK157" s="2173"/>
      <c r="AL157" s="2173">
        <v>0</v>
      </c>
      <c r="AM157" s="2173"/>
      <c r="AN157" s="2173"/>
      <c r="AO157" s="2173"/>
      <c r="AP157" s="2173"/>
      <c r="AQ157" s="217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2175</v>
      </c>
      <c r="C158" s="2418"/>
      <c r="D158" s="2418"/>
      <c r="E158" s="2418"/>
      <c r="F158" s="2418"/>
      <c r="G158" s="2418"/>
      <c r="H158" s="2418"/>
      <c r="I158" s="2173">
        <v>0</v>
      </c>
      <c r="J158" s="2173"/>
      <c r="K158" s="2173"/>
      <c r="L158" s="2173"/>
      <c r="M158" s="2173"/>
      <c r="N158" s="2173"/>
      <c r="O158" s="2173"/>
      <c r="P158" s="2173">
        <v>0</v>
      </c>
      <c r="Q158" s="2173"/>
      <c r="R158" s="2173"/>
      <c r="S158" s="2173"/>
      <c r="T158" s="2173"/>
      <c r="U158" s="217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9" t="s">
        <v>2176</v>
      </c>
      <c r="D160" s="2215"/>
      <c r="E160" s="2215"/>
      <c r="F160" s="2215"/>
      <c r="G160" s="2215"/>
      <c r="H160" s="2215"/>
      <c r="I160" s="2215"/>
      <c r="J160" s="2215"/>
      <c r="K160" s="2215"/>
      <c r="L160" s="2215"/>
      <c r="M160" s="2215"/>
      <c r="N160" s="2215"/>
      <c r="O160" s="2215"/>
      <c r="P160" s="2215"/>
      <c r="Q160" s="2215"/>
      <c r="R160" s="2215"/>
      <c r="S160" s="2215"/>
      <c r="T160" s="2215"/>
      <c r="U160" s="2215"/>
      <c r="V160" s="2215"/>
      <c r="W160" s="2215"/>
      <c r="X160" s="2215"/>
      <c r="Y160" s="2215"/>
      <c r="Z160" s="2215"/>
      <c r="AA160" s="2215"/>
      <c r="AB160" s="2215"/>
      <c r="AC160" s="2215"/>
      <c r="AD160" s="2215"/>
      <c r="AE160" s="2215"/>
      <c r="AF160" s="2215"/>
      <c r="AG160" s="221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8" t="s">
        <v>1837</v>
      </c>
      <c r="D161" s="2399"/>
      <c r="E161" s="2399"/>
      <c r="F161" s="2399"/>
      <c r="G161" s="2399"/>
      <c r="H161" s="2399"/>
      <c r="I161" s="2399"/>
      <c r="J161" s="2399"/>
      <c r="K161" s="2399"/>
      <c r="L161" s="2399"/>
      <c r="M161" s="2399"/>
      <c r="N161" s="2399"/>
      <c r="O161" s="2399"/>
      <c r="P161" s="2399"/>
      <c r="Q161" s="2399" t="s">
        <v>1838</v>
      </c>
      <c r="R161" s="2399"/>
      <c r="S161" s="2399"/>
      <c r="T161" s="2180" t="s">
        <v>2177</v>
      </c>
      <c r="U161" s="2180"/>
      <c r="V161" s="2180"/>
      <c r="W161" s="2180"/>
      <c r="X161" s="2180"/>
      <c r="Y161" s="2180"/>
      <c r="Z161" s="2180"/>
      <c r="AA161" s="2180"/>
      <c r="AB161" s="2399" t="s">
        <v>1839</v>
      </c>
      <c r="AC161" s="2399"/>
      <c r="AD161" s="2399"/>
      <c r="AE161" s="2399"/>
      <c r="AF161" s="2399"/>
      <c r="AG161" s="240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7" t="s">
        <v>1840</v>
      </c>
      <c r="D162" s="2408"/>
      <c r="E162" s="2408"/>
      <c r="F162" s="2408"/>
      <c r="G162" s="2408"/>
      <c r="H162" s="2408"/>
      <c r="I162" s="2408"/>
      <c r="J162" s="2408"/>
      <c r="K162" s="2408"/>
      <c r="L162" s="2408"/>
      <c r="M162" s="2408"/>
      <c r="N162" s="2408"/>
      <c r="O162" s="2408"/>
      <c r="P162" s="2408"/>
      <c r="Q162" s="2357">
        <v>55</v>
      </c>
      <c r="R162" s="2357"/>
      <c r="S162" s="2357"/>
      <c r="T162" s="2371"/>
      <c r="U162" s="2371"/>
      <c r="V162" s="2371"/>
      <c r="W162" s="2371"/>
      <c r="X162" s="2371"/>
      <c r="Y162" s="2371"/>
      <c r="Z162" s="2371"/>
      <c r="AA162" s="237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7" t="s">
        <v>1841</v>
      </c>
      <c r="D163" s="2408"/>
      <c r="E163" s="2408"/>
      <c r="F163" s="2408"/>
      <c r="G163" s="2408"/>
      <c r="H163" s="2408"/>
      <c r="I163" s="2408"/>
      <c r="J163" s="2408"/>
      <c r="K163" s="2408"/>
      <c r="L163" s="2408"/>
      <c r="M163" s="2408"/>
      <c r="N163" s="2408"/>
      <c r="O163" s="2408"/>
      <c r="P163" s="2408"/>
      <c r="Q163" s="2357">
        <v>55</v>
      </c>
      <c r="R163" s="2357"/>
      <c r="S163" s="2357"/>
      <c r="T163" s="2410"/>
      <c r="U163" s="2410"/>
      <c r="V163" s="2410"/>
      <c r="W163" s="2410"/>
      <c r="X163" s="2410"/>
      <c r="Y163" s="2410"/>
      <c r="Z163" s="2410"/>
      <c r="AA163" s="241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7" t="s">
        <v>1842</v>
      </c>
      <c r="D164" s="2408"/>
      <c r="E164" s="2408"/>
      <c r="F164" s="2408"/>
      <c r="G164" s="2408"/>
      <c r="H164" s="2408"/>
      <c r="I164" s="2408"/>
      <c r="J164" s="2408"/>
      <c r="K164" s="2408"/>
      <c r="L164" s="2408"/>
      <c r="M164" s="2408"/>
      <c r="N164" s="2408"/>
      <c r="O164" s="2408"/>
      <c r="P164" s="2408"/>
      <c r="Q164" s="2357">
        <v>55</v>
      </c>
      <c r="R164" s="2357"/>
      <c r="S164" s="2357"/>
      <c r="T164" s="2371"/>
      <c r="U164" s="2371"/>
      <c r="V164" s="2371"/>
      <c r="W164" s="2371"/>
      <c r="X164" s="2371"/>
      <c r="Y164" s="2371"/>
      <c r="Z164" s="2371"/>
      <c r="AA164" s="237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7" t="s">
        <v>1813</v>
      </c>
      <c r="D165" s="2408"/>
      <c r="E165" s="2408"/>
      <c r="F165" s="2408"/>
      <c r="G165" s="2408"/>
      <c r="H165" s="2408"/>
      <c r="I165" s="2408"/>
      <c r="J165" s="2408"/>
      <c r="K165" s="2408"/>
      <c r="L165" s="2408"/>
      <c r="M165" s="2408"/>
      <c r="N165" s="2408"/>
      <c r="O165" s="2408"/>
      <c r="P165" s="2408"/>
      <c r="Q165" s="2357">
        <v>55</v>
      </c>
      <c r="R165" s="2357"/>
      <c r="S165" s="2357"/>
      <c r="T165" s="2371"/>
      <c r="U165" s="2371"/>
      <c r="V165" s="2371"/>
      <c r="W165" s="2371"/>
      <c r="X165" s="2371"/>
      <c r="Y165" s="2371"/>
      <c r="Z165" s="2371"/>
      <c r="AA165" s="2371"/>
      <c r="AB165" s="2411">
        <v>0</v>
      </c>
      <c r="AC165" s="2411"/>
      <c r="AD165" s="2411"/>
      <c r="AE165" s="2411"/>
      <c r="AF165" s="2411"/>
      <c r="AG165" s="241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7" t="s">
        <v>170</v>
      </c>
      <c r="D166" s="2408"/>
      <c r="E166" s="2408"/>
      <c r="F166" s="2409" t="s">
        <v>1843</v>
      </c>
      <c r="G166" s="2409"/>
      <c r="H166" s="2409"/>
      <c r="I166" s="2409"/>
      <c r="J166" s="2409"/>
      <c r="K166" s="2409"/>
      <c r="L166" s="2409"/>
      <c r="M166" s="2409"/>
      <c r="N166" s="2409"/>
      <c r="O166" s="2409"/>
      <c r="P166" s="2409"/>
      <c r="Q166" s="2357">
        <v>55</v>
      </c>
      <c r="R166" s="2357"/>
      <c r="S166" s="2357"/>
      <c r="T166" s="2410"/>
      <c r="U166" s="2410"/>
      <c r="V166" s="2410"/>
      <c r="W166" s="2410"/>
      <c r="X166" s="2410"/>
      <c r="Y166" s="2410"/>
      <c r="Z166" s="2410"/>
      <c r="AA166" s="2410"/>
      <c r="AB166" s="2411">
        <v>0</v>
      </c>
      <c r="AC166" s="2411"/>
      <c r="AD166" s="2411"/>
      <c r="AE166" s="2411"/>
      <c r="AF166" s="2411"/>
      <c r="AG166" s="241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7" t="s">
        <v>170</v>
      </c>
      <c r="D167" s="2408"/>
      <c r="E167" s="2408"/>
      <c r="F167" s="2409" t="s">
        <v>1843</v>
      </c>
      <c r="G167" s="2409"/>
      <c r="H167" s="2409"/>
      <c r="I167" s="2409"/>
      <c r="J167" s="2409"/>
      <c r="K167" s="2409"/>
      <c r="L167" s="2409"/>
      <c r="M167" s="2409"/>
      <c r="N167" s="2409"/>
      <c r="O167" s="2409"/>
      <c r="P167" s="2409"/>
      <c r="Q167" s="2357">
        <v>55</v>
      </c>
      <c r="R167" s="2357"/>
      <c r="S167" s="2357"/>
      <c r="T167" s="2410"/>
      <c r="U167" s="2410"/>
      <c r="V167" s="2410"/>
      <c r="W167" s="2410"/>
      <c r="X167" s="2410"/>
      <c r="Y167" s="2410"/>
      <c r="Z167" s="2410"/>
      <c r="AA167" s="2410"/>
      <c r="AB167" s="2411">
        <v>0</v>
      </c>
      <c r="AC167" s="2411"/>
      <c r="AD167" s="2411"/>
      <c r="AE167" s="2411"/>
      <c r="AF167" s="2411"/>
      <c r="AG167" s="241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8" t="s">
        <v>170</v>
      </c>
      <c r="D168" s="2379"/>
      <c r="E168" s="2379"/>
      <c r="F168" s="2380" t="s">
        <v>1843</v>
      </c>
      <c r="G168" s="2380"/>
      <c r="H168" s="2380"/>
      <c r="I168" s="2380"/>
      <c r="J168" s="2380"/>
      <c r="K168" s="2380"/>
      <c r="L168" s="2380"/>
      <c r="M168" s="2380"/>
      <c r="N168" s="2380"/>
      <c r="O168" s="2380"/>
      <c r="P168" s="2380"/>
      <c r="Q168" s="2381">
        <v>55</v>
      </c>
      <c r="R168" s="2381"/>
      <c r="S168" s="2381"/>
      <c r="T168" s="2382"/>
      <c r="U168" s="2382"/>
      <c r="V168" s="2382"/>
      <c r="W168" s="2382"/>
      <c r="X168" s="2382"/>
      <c r="Y168" s="2382"/>
      <c r="Z168" s="2382"/>
      <c r="AA168" s="2382"/>
      <c r="AB168" s="2383">
        <v>0</v>
      </c>
      <c r="AC168" s="2383"/>
      <c r="AD168" s="2383"/>
      <c r="AE168" s="2383"/>
      <c r="AF168" s="2383"/>
      <c r="AG168" s="238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2" t="s">
        <v>1844</v>
      </c>
      <c r="D170" s="2183"/>
      <c r="E170" s="2183"/>
      <c r="F170" s="2183"/>
      <c r="G170" s="2183"/>
      <c r="H170" s="2183"/>
      <c r="I170" s="2183"/>
      <c r="J170" s="2183"/>
      <c r="K170" s="2183"/>
      <c r="L170" s="2183"/>
      <c r="M170" s="2183"/>
      <c r="N170" s="2184"/>
      <c r="O170" s="1206"/>
      <c r="P170" s="2395" t="s">
        <v>1845</v>
      </c>
      <c r="Q170" s="2396"/>
      <c r="R170" s="2396"/>
      <c r="S170" s="2396"/>
      <c r="T170" s="2396"/>
      <c r="U170" s="2396"/>
      <c r="V170" s="2396"/>
      <c r="W170" s="2396"/>
      <c r="X170" s="2396"/>
      <c r="Y170" s="2396"/>
      <c r="Z170" s="2396"/>
      <c r="AA170" s="2396"/>
      <c r="AB170" s="2396"/>
      <c r="AC170" s="2396"/>
      <c r="AD170" s="2396"/>
      <c r="AE170" s="2396"/>
      <c r="AF170" s="2396"/>
      <c r="AG170" s="2396"/>
      <c r="AH170" s="2396"/>
      <c r="AI170" s="2396"/>
      <c r="AJ170" s="2396"/>
      <c r="AK170" s="2396"/>
      <c r="AL170" s="2396"/>
      <c r="AM170" s="2396"/>
      <c r="AN170" s="2396"/>
      <c r="AO170" s="239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8" t="s">
        <v>1846</v>
      </c>
      <c r="D171" s="2399"/>
      <c r="E171" s="2399"/>
      <c r="F171" s="2399"/>
      <c r="G171" s="2399"/>
      <c r="H171" s="2399"/>
      <c r="I171" s="2399" t="s">
        <v>1847</v>
      </c>
      <c r="J171" s="2399"/>
      <c r="K171" s="2399"/>
      <c r="L171" s="2399"/>
      <c r="M171" s="2399"/>
      <c r="N171" s="2400"/>
      <c r="O171" s="1206"/>
      <c r="P171" s="2401" t="s">
        <v>2185</v>
      </c>
      <c r="Q171" s="2402"/>
      <c r="R171" s="2402"/>
      <c r="S171" s="2402"/>
      <c r="T171" s="2402"/>
      <c r="U171" s="2402"/>
      <c r="V171" s="2402"/>
      <c r="W171" s="2402"/>
      <c r="X171" s="2402"/>
      <c r="Y171" s="2402"/>
      <c r="Z171" s="2402"/>
      <c r="AA171" s="2402"/>
      <c r="AB171" s="2402"/>
      <c r="AC171" s="2402"/>
      <c r="AD171" s="2402"/>
      <c r="AE171" s="2402"/>
      <c r="AF171" s="2402"/>
      <c r="AG171" s="2402"/>
      <c r="AH171" s="2402"/>
      <c r="AI171" s="2402"/>
      <c r="AJ171" s="2402"/>
      <c r="AK171" s="2402"/>
      <c r="AL171" s="2402"/>
      <c r="AM171" s="2402"/>
      <c r="AN171" s="2402"/>
      <c r="AO171" s="240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0"/>
      <c r="D172" s="2351"/>
      <c r="E172" s="2351"/>
      <c r="F172" s="2351"/>
      <c r="G172" s="2351"/>
      <c r="H172" s="2351"/>
      <c r="I172" s="2371"/>
      <c r="J172" s="2371"/>
      <c r="K172" s="2371"/>
      <c r="L172" s="2371"/>
      <c r="M172" s="2371"/>
      <c r="N172" s="2372"/>
      <c r="O172" s="1206"/>
      <c r="P172" s="2401"/>
      <c r="Q172" s="2402"/>
      <c r="R172" s="2402"/>
      <c r="S172" s="2402"/>
      <c r="T172" s="2402"/>
      <c r="U172" s="2402"/>
      <c r="V172" s="2402"/>
      <c r="W172" s="2402"/>
      <c r="X172" s="2402"/>
      <c r="Y172" s="2402"/>
      <c r="Z172" s="2402"/>
      <c r="AA172" s="2402"/>
      <c r="AB172" s="2402"/>
      <c r="AC172" s="2402"/>
      <c r="AD172" s="2402"/>
      <c r="AE172" s="2402"/>
      <c r="AF172" s="2402"/>
      <c r="AG172" s="2402"/>
      <c r="AH172" s="2402"/>
      <c r="AI172" s="2402"/>
      <c r="AJ172" s="2402"/>
      <c r="AK172" s="2402"/>
      <c r="AL172" s="2402"/>
      <c r="AM172" s="2402"/>
      <c r="AN172" s="2402"/>
      <c r="AO172" s="240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0"/>
      <c r="D173" s="2351"/>
      <c r="E173" s="2351"/>
      <c r="F173" s="2351"/>
      <c r="G173" s="2351"/>
      <c r="H173" s="2351"/>
      <c r="I173" s="2371"/>
      <c r="J173" s="2371"/>
      <c r="K173" s="2371"/>
      <c r="L173" s="2371"/>
      <c r="M173" s="2371"/>
      <c r="N173" s="2372"/>
      <c r="O173" s="1206"/>
      <c r="P173" s="2401"/>
      <c r="Q173" s="2402"/>
      <c r="R173" s="2402"/>
      <c r="S173" s="2402"/>
      <c r="T173" s="2402"/>
      <c r="U173" s="2402"/>
      <c r="V173" s="2402"/>
      <c r="W173" s="2402"/>
      <c r="X173" s="2402"/>
      <c r="Y173" s="2402"/>
      <c r="Z173" s="2402"/>
      <c r="AA173" s="2402"/>
      <c r="AB173" s="2402"/>
      <c r="AC173" s="2402"/>
      <c r="AD173" s="2402"/>
      <c r="AE173" s="2402"/>
      <c r="AF173" s="2402"/>
      <c r="AG173" s="2402"/>
      <c r="AH173" s="2402"/>
      <c r="AI173" s="2402"/>
      <c r="AJ173" s="2402"/>
      <c r="AK173" s="2402"/>
      <c r="AL173" s="2402"/>
      <c r="AM173" s="2402"/>
      <c r="AN173" s="2402"/>
      <c r="AO173" s="240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0"/>
      <c r="D174" s="2351"/>
      <c r="E174" s="2351"/>
      <c r="F174" s="2351"/>
      <c r="G174" s="2351"/>
      <c r="H174" s="2351"/>
      <c r="I174" s="2371"/>
      <c r="J174" s="2371"/>
      <c r="K174" s="2371"/>
      <c r="L174" s="2371"/>
      <c r="M174" s="2371"/>
      <c r="N174" s="2372"/>
      <c r="O174" s="1206"/>
      <c r="P174" s="2401"/>
      <c r="Q174" s="2402"/>
      <c r="R174" s="2402"/>
      <c r="S174" s="2402"/>
      <c r="T174" s="2402"/>
      <c r="U174" s="2402"/>
      <c r="V174" s="2402"/>
      <c r="W174" s="2402"/>
      <c r="X174" s="2402"/>
      <c r="Y174" s="2402"/>
      <c r="Z174" s="2402"/>
      <c r="AA174" s="2402"/>
      <c r="AB174" s="2402"/>
      <c r="AC174" s="2402"/>
      <c r="AD174" s="2402"/>
      <c r="AE174" s="2402"/>
      <c r="AF174" s="2402"/>
      <c r="AG174" s="2402"/>
      <c r="AH174" s="2402"/>
      <c r="AI174" s="2402"/>
      <c r="AJ174" s="2402"/>
      <c r="AK174" s="2402"/>
      <c r="AL174" s="2402"/>
      <c r="AM174" s="2402"/>
      <c r="AN174" s="2402"/>
      <c r="AO174" s="240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0"/>
      <c r="D175" s="2351"/>
      <c r="E175" s="2351"/>
      <c r="F175" s="2351"/>
      <c r="G175" s="2351"/>
      <c r="H175" s="2351"/>
      <c r="I175" s="2371"/>
      <c r="J175" s="2371"/>
      <c r="K175" s="2371"/>
      <c r="L175" s="2371"/>
      <c r="M175" s="2371"/>
      <c r="N175" s="2372"/>
      <c r="O175" s="1206"/>
      <c r="P175" s="2401"/>
      <c r="Q175" s="2402"/>
      <c r="R175" s="2402"/>
      <c r="S175" s="2402"/>
      <c r="T175" s="2402"/>
      <c r="U175" s="2402"/>
      <c r="V175" s="2402"/>
      <c r="W175" s="2402"/>
      <c r="X175" s="2402"/>
      <c r="Y175" s="2402"/>
      <c r="Z175" s="2402"/>
      <c r="AA175" s="2402"/>
      <c r="AB175" s="2402"/>
      <c r="AC175" s="2402"/>
      <c r="AD175" s="2402"/>
      <c r="AE175" s="2402"/>
      <c r="AF175" s="2402"/>
      <c r="AG175" s="2402"/>
      <c r="AH175" s="2402"/>
      <c r="AI175" s="2402"/>
      <c r="AJ175" s="2402"/>
      <c r="AK175" s="2402"/>
      <c r="AL175" s="2402"/>
      <c r="AM175" s="2402"/>
      <c r="AN175" s="2402"/>
      <c r="AO175" s="240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0"/>
      <c r="D176" s="2351"/>
      <c r="E176" s="2351"/>
      <c r="F176" s="2351"/>
      <c r="G176" s="2351"/>
      <c r="H176" s="2351"/>
      <c r="I176" s="2371"/>
      <c r="J176" s="2371"/>
      <c r="K176" s="2371"/>
      <c r="L176" s="2371"/>
      <c r="M176" s="2371"/>
      <c r="N176" s="2372"/>
      <c r="O176" s="1206"/>
      <c r="P176" s="2401"/>
      <c r="Q176" s="2402"/>
      <c r="R176" s="2402"/>
      <c r="S176" s="2402"/>
      <c r="T176" s="2402"/>
      <c r="U176" s="2402"/>
      <c r="V176" s="2402"/>
      <c r="W176" s="2402"/>
      <c r="X176" s="2402"/>
      <c r="Y176" s="2402"/>
      <c r="Z176" s="2402"/>
      <c r="AA176" s="2402"/>
      <c r="AB176" s="2402"/>
      <c r="AC176" s="2402"/>
      <c r="AD176" s="2402"/>
      <c r="AE176" s="2402"/>
      <c r="AF176" s="2402"/>
      <c r="AG176" s="2402"/>
      <c r="AH176" s="2402"/>
      <c r="AI176" s="2402"/>
      <c r="AJ176" s="2402"/>
      <c r="AK176" s="2402"/>
      <c r="AL176" s="2402"/>
      <c r="AM176" s="2402"/>
      <c r="AN176" s="2402"/>
      <c r="AO176" s="240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0"/>
      <c r="D177" s="2351"/>
      <c r="E177" s="2351"/>
      <c r="F177" s="2351"/>
      <c r="G177" s="2351"/>
      <c r="H177" s="2351"/>
      <c r="I177" s="2371"/>
      <c r="J177" s="2371"/>
      <c r="K177" s="2371"/>
      <c r="L177" s="2371"/>
      <c r="M177" s="2371"/>
      <c r="N177" s="2372"/>
      <c r="O177" s="1206"/>
      <c r="P177" s="2401"/>
      <c r="Q177" s="2402"/>
      <c r="R177" s="2402"/>
      <c r="S177" s="2402"/>
      <c r="T177" s="2402"/>
      <c r="U177" s="2402"/>
      <c r="V177" s="2402"/>
      <c r="W177" s="2402"/>
      <c r="X177" s="2402"/>
      <c r="Y177" s="2402"/>
      <c r="Z177" s="2402"/>
      <c r="AA177" s="2402"/>
      <c r="AB177" s="2402"/>
      <c r="AC177" s="2402"/>
      <c r="AD177" s="2402"/>
      <c r="AE177" s="2402"/>
      <c r="AF177" s="2402"/>
      <c r="AG177" s="2402"/>
      <c r="AH177" s="2402"/>
      <c r="AI177" s="2402"/>
      <c r="AJ177" s="2402"/>
      <c r="AK177" s="2402"/>
      <c r="AL177" s="2402"/>
      <c r="AM177" s="2402"/>
      <c r="AN177" s="2402"/>
      <c r="AO177" s="240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5"/>
      <c r="D178" s="2386"/>
      <c r="E178" s="2386"/>
      <c r="F178" s="2386"/>
      <c r="G178" s="2386"/>
      <c r="H178" s="2386"/>
      <c r="I178" s="2387"/>
      <c r="J178" s="2387"/>
      <c r="K178" s="2387"/>
      <c r="L178" s="2387"/>
      <c r="M178" s="2387"/>
      <c r="N178" s="2388"/>
      <c r="O178" s="1206"/>
      <c r="P178" s="2404"/>
      <c r="Q178" s="2405"/>
      <c r="R178" s="2405"/>
      <c r="S178" s="2405"/>
      <c r="T178" s="2405"/>
      <c r="U178" s="2405"/>
      <c r="V178" s="2405"/>
      <c r="W178" s="2405"/>
      <c r="X178" s="2405"/>
      <c r="Y178" s="2405"/>
      <c r="Z178" s="2405"/>
      <c r="AA178" s="2405"/>
      <c r="AB178" s="2405"/>
      <c r="AC178" s="2405"/>
      <c r="AD178" s="2405"/>
      <c r="AE178" s="2405"/>
      <c r="AF178" s="2405"/>
      <c r="AG178" s="2405"/>
      <c r="AH178" s="2405"/>
      <c r="AI178" s="2405"/>
      <c r="AJ178" s="2405"/>
      <c r="AK178" s="2405"/>
      <c r="AL178" s="2405"/>
      <c r="AM178" s="2405"/>
      <c r="AN178" s="2405"/>
      <c r="AO178" s="240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9" t="s">
        <v>2487</v>
      </c>
      <c r="D180" s="2390"/>
      <c r="E180" s="2390"/>
      <c r="F180" s="2390"/>
      <c r="G180" s="2390"/>
      <c r="H180" s="2390"/>
      <c r="I180" s="2390"/>
      <c r="J180" s="2390"/>
      <c r="K180" s="2390"/>
      <c r="L180" s="2390"/>
      <c r="M180" s="2390"/>
      <c r="N180" s="2390"/>
      <c r="O180" s="2390"/>
      <c r="P180" s="2390"/>
      <c r="Q180" s="2390"/>
      <c r="R180" s="2390"/>
      <c r="S180" s="2390"/>
      <c r="T180" s="2390"/>
      <c r="U180" s="2390"/>
      <c r="V180" s="2390"/>
      <c r="W180" s="2390"/>
      <c r="X180" s="2390"/>
      <c r="Y180" s="2390"/>
      <c r="Z180" s="2390"/>
      <c r="AA180" s="2390"/>
      <c r="AB180" s="2390"/>
      <c r="AC180" s="2390"/>
      <c r="AD180" s="2390"/>
      <c r="AE180" s="2391"/>
      <c r="AF180" s="1206"/>
      <c r="AG180" s="1206"/>
      <c r="AH180" s="2584" t="s">
        <v>2602</v>
      </c>
      <c r="AI180" s="2585"/>
      <c r="AJ180" s="2585"/>
      <c r="AK180" s="2585"/>
      <c r="AL180" s="2585"/>
      <c r="AM180" s="2585"/>
      <c r="AN180" s="2585"/>
      <c r="AO180" s="2585"/>
      <c r="AP180" s="2585"/>
      <c r="AQ180" s="2585"/>
      <c r="AR180" s="2585"/>
      <c r="AS180" s="2585"/>
      <c r="AT180" s="2585"/>
      <c r="AU180" s="2585"/>
      <c r="AV180" s="2585"/>
      <c r="AW180" s="2585"/>
      <c r="AX180" s="2585"/>
      <c r="AY180" s="2585"/>
      <c r="AZ180" s="2585"/>
      <c r="BA180" s="2585"/>
      <c r="BB180" s="2585"/>
      <c r="BC180" s="2585"/>
      <c r="BD180" s="2585"/>
      <c r="BE180" s="2586"/>
    </row>
    <row r="181" spans="1:57" ht="15.75" customHeight="1" thickBot="1">
      <c r="A181" s="1206"/>
      <c r="B181" s="1206"/>
      <c r="C181" s="2392"/>
      <c r="D181" s="2393"/>
      <c r="E181" s="2393"/>
      <c r="F181" s="2393"/>
      <c r="G181" s="2393"/>
      <c r="H181" s="2393"/>
      <c r="I181" s="2393"/>
      <c r="J181" s="2393"/>
      <c r="K181" s="2393"/>
      <c r="L181" s="2393"/>
      <c r="M181" s="2393"/>
      <c r="N181" s="2393"/>
      <c r="O181" s="2393"/>
      <c r="P181" s="2393"/>
      <c r="Q181" s="2393"/>
      <c r="R181" s="2393"/>
      <c r="S181" s="2393"/>
      <c r="T181" s="2393"/>
      <c r="U181" s="2393"/>
      <c r="V181" s="2393"/>
      <c r="W181" s="2393"/>
      <c r="X181" s="2393"/>
      <c r="Y181" s="2393"/>
      <c r="Z181" s="2393"/>
      <c r="AA181" s="2393"/>
      <c r="AB181" s="2393"/>
      <c r="AC181" s="2393"/>
      <c r="AD181" s="2393"/>
      <c r="AE181" s="2394"/>
      <c r="AF181" s="1206"/>
      <c r="AG181" s="1206"/>
      <c r="AH181" s="2587" t="s">
        <v>2623</v>
      </c>
      <c r="AI181" s="2587"/>
      <c r="AJ181" s="2587"/>
      <c r="AK181" s="2587"/>
      <c r="AL181" s="2587"/>
      <c r="AM181" s="2587"/>
      <c r="AN181" s="2587"/>
      <c r="AO181" s="2587"/>
      <c r="AP181" s="2587"/>
      <c r="AQ181" s="2587"/>
      <c r="AR181" s="2587"/>
      <c r="AS181" s="2587"/>
      <c r="AT181" s="2587"/>
      <c r="AU181" s="2587"/>
      <c r="AV181" s="2587"/>
      <c r="AW181" s="2587"/>
      <c r="AX181" s="2587"/>
      <c r="AY181" s="2587"/>
      <c r="AZ181" s="2587"/>
      <c r="BA181" s="2587"/>
      <c r="BB181" s="2587"/>
      <c r="BC181" s="2587"/>
      <c r="BD181" s="2587"/>
      <c r="BE181" s="2587"/>
    </row>
    <row r="182" spans="1:57" ht="15.75" customHeight="1">
      <c r="A182" s="1206"/>
      <c r="B182" s="1206"/>
      <c r="C182" s="2182" t="s">
        <v>1837</v>
      </c>
      <c r="D182" s="2183"/>
      <c r="E182" s="2183"/>
      <c r="F182" s="2183"/>
      <c r="G182" s="2183"/>
      <c r="H182" s="2183"/>
      <c r="I182" s="2183"/>
      <c r="J182" s="2183"/>
      <c r="K182" s="2183"/>
      <c r="L182" s="2183"/>
      <c r="M182" s="2183"/>
      <c r="N182" s="2183" t="s">
        <v>1848</v>
      </c>
      <c r="O182" s="2183"/>
      <c r="P182" s="2183"/>
      <c r="Q182" s="2183"/>
      <c r="R182" s="2183"/>
      <c r="S182" s="2183"/>
      <c r="T182" s="2183"/>
      <c r="U182" s="2215" t="s">
        <v>1837</v>
      </c>
      <c r="V182" s="2215"/>
      <c r="W182" s="2215"/>
      <c r="X182" s="2215"/>
      <c r="Y182" s="2215"/>
      <c r="Z182" s="2215"/>
      <c r="AA182" s="2215"/>
      <c r="AB182" s="2215"/>
      <c r="AC182" s="2215"/>
      <c r="AD182" s="2215"/>
      <c r="AE182" s="2216"/>
      <c r="AF182" s="1206"/>
      <c r="AG182" s="1206"/>
      <c r="AH182" s="2370" t="s">
        <v>2607</v>
      </c>
      <c r="AI182" s="2370"/>
      <c r="AJ182" s="2370"/>
      <c r="AK182" s="2370"/>
      <c r="AL182" s="2370"/>
      <c r="AM182" s="2370"/>
      <c r="AN182" s="2370"/>
      <c r="AO182" s="2370"/>
      <c r="AP182" s="2370"/>
      <c r="AQ182" s="2370"/>
      <c r="AR182" s="2370"/>
      <c r="AS182" s="2370"/>
      <c r="AT182" s="2370"/>
      <c r="AU182" s="2595">
        <v>2500000</v>
      </c>
      <c r="AV182" s="2595"/>
      <c r="AW182" s="2595"/>
      <c r="AX182" s="2595"/>
      <c r="AY182" s="2595"/>
      <c r="AZ182" s="2595"/>
      <c r="BA182" s="2595"/>
      <c r="BB182" s="2595"/>
      <c r="BC182" s="2599"/>
      <c r="BD182" s="2600"/>
      <c r="BE182" s="2601"/>
    </row>
    <row r="183" spans="1:57" ht="15.75" customHeight="1">
      <c r="A183" s="1206"/>
      <c r="B183" s="1206"/>
      <c r="C183" s="2359" t="s">
        <v>2488</v>
      </c>
      <c r="D183" s="2360"/>
      <c r="E183" s="2360"/>
      <c r="F183" s="2360"/>
      <c r="G183" s="2360"/>
      <c r="H183" s="2360"/>
      <c r="I183" s="2360"/>
      <c r="J183" s="2360"/>
      <c r="K183" s="2360"/>
      <c r="L183" s="2360"/>
      <c r="M183" s="2360"/>
      <c r="N183" s="2373">
        <f ca="1">'Sources and Uses Budget'!B105</f>
        <v>38125451.821293063</v>
      </c>
      <c r="O183" s="2373"/>
      <c r="P183" s="2373"/>
      <c r="Q183" s="2373"/>
      <c r="R183" s="2373"/>
      <c r="S183" s="2373"/>
      <c r="T183" s="2373"/>
      <c r="U183" s="2374"/>
      <c r="V183" s="2374"/>
      <c r="W183" s="2374"/>
      <c r="X183" s="2374"/>
      <c r="Y183" s="2374"/>
      <c r="Z183" s="2374"/>
      <c r="AA183" s="2374"/>
      <c r="AB183" s="2374"/>
      <c r="AC183" s="2374"/>
      <c r="AD183" s="2374"/>
      <c r="AE183" s="2375"/>
      <c r="AF183" s="1206"/>
      <c r="AG183" s="1206"/>
      <c r="AH183" s="2370" t="s">
        <v>2606</v>
      </c>
      <c r="AI183" s="2370"/>
      <c r="AJ183" s="2370"/>
      <c r="AK183" s="2370"/>
      <c r="AL183" s="2370"/>
      <c r="AM183" s="2370"/>
      <c r="AN183" s="2370"/>
      <c r="AO183" s="2370"/>
      <c r="AP183" s="2370"/>
      <c r="AQ183" s="2370"/>
      <c r="AR183" s="2370"/>
      <c r="AS183" s="2370"/>
      <c r="AT183" s="2370"/>
      <c r="AU183" s="2596">
        <f>MAX(0,Application!AG439-100)*20000</f>
        <v>0</v>
      </c>
      <c r="AV183" s="2596"/>
      <c r="AW183" s="2596"/>
      <c r="AX183" s="2596"/>
      <c r="AY183" s="2596"/>
      <c r="AZ183" s="2596"/>
      <c r="BA183" s="2596"/>
      <c r="BB183" s="2596"/>
      <c r="BC183" s="2329"/>
      <c r="BD183" s="2330"/>
      <c r="BE183" s="2331"/>
    </row>
    <row r="184" spans="1:57" ht="15.75" customHeight="1">
      <c r="A184" s="1206"/>
      <c r="B184" s="1206"/>
      <c r="C184" s="2359" t="s">
        <v>2489</v>
      </c>
      <c r="D184" s="2360"/>
      <c r="E184" s="2360"/>
      <c r="F184" s="2360"/>
      <c r="G184" s="2360"/>
      <c r="H184" s="2360"/>
      <c r="I184" s="2360"/>
      <c r="J184" s="2360"/>
      <c r="K184" s="2360"/>
      <c r="L184" s="2360"/>
      <c r="M184" s="2360"/>
      <c r="N184" s="2373">
        <f ca="1">N183/J29</f>
        <v>828814.17002811003</v>
      </c>
      <c r="O184" s="2373"/>
      <c r="P184" s="2373"/>
      <c r="Q184" s="2373"/>
      <c r="R184" s="2373"/>
      <c r="S184" s="2373"/>
      <c r="T184" s="2373"/>
      <c r="U184" s="1222"/>
      <c r="V184" s="1222"/>
      <c r="W184" s="1222"/>
      <c r="X184" s="1222"/>
      <c r="Y184" s="1222"/>
      <c r="Z184" s="1222"/>
      <c r="AA184" s="1222"/>
      <c r="AB184" s="1222"/>
      <c r="AC184" s="1222"/>
      <c r="AD184" s="1222"/>
      <c r="AE184" s="1221"/>
      <c r="AF184" s="1206"/>
      <c r="AG184" s="1206"/>
      <c r="AH184" s="2588" t="s">
        <v>2605</v>
      </c>
      <c r="AI184" s="2588"/>
      <c r="AJ184" s="2588"/>
      <c r="AK184" s="2588"/>
      <c r="AL184" s="2588"/>
      <c r="AM184" s="2588"/>
      <c r="AN184" s="2588"/>
      <c r="AO184" s="2588"/>
      <c r="AP184" s="2588"/>
      <c r="AQ184" s="2588"/>
      <c r="AR184" s="2588"/>
      <c r="AS184" s="2588"/>
      <c r="AT184" s="2588"/>
      <c r="AU184" s="2328">
        <f>AU182+AU183</f>
        <v>2500000</v>
      </c>
      <c r="AV184" s="2328"/>
      <c r="AW184" s="2328"/>
      <c r="AX184" s="2328"/>
      <c r="AY184" s="2328"/>
      <c r="AZ184" s="2328"/>
      <c r="BA184" s="2328"/>
      <c r="BB184" s="2328"/>
      <c r="BC184" s="2329"/>
      <c r="BD184" s="2330"/>
      <c r="BE184" s="2331"/>
    </row>
    <row r="185" spans="1:57" ht="15.75" customHeight="1">
      <c r="A185" s="1206"/>
      <c r="B185" s="1206"/>
      <c r="C185" s="2376" t="s">
        <v>2490</v>
      </c>
      <c r="D185" s="2377"/>
      <c r="E185" s="2377"/>
      <c r="F185" s="2377"/>
      <c r="G185" s="2377"/>
      <c r="H185" s="2377"/>
      <c r="I185" s="2377"/>
      <c r="J185" s="2377"/>
      <c r="K185" s="2377"/>
      <c r="L185" s="2377"/>
      <c r="M185" s="2377"/>
      <c r="N185" s="2211">
        <v>0</v>
      </c>
      <c r="O185" s="2211"/>
      <c r="P185" s="2211"/>
      <c r="Q185" s="2211"/>
      <c r="R185" s="2211"/>
      <c r="S185" s="2211"/>
      <c r="T185" s="2211"/>
      <c r="U185" s="2354"/>
      <c r="V185" s="2354"/>
      <c r="W185" s="2354"/>
      <c r="X185" s="2354"/>
      <c r="Y185" s="2354"/>
      <c r="Z185" s="2354"/>
      <c r="AA185" s="2354"/>
      <c r="AB185" s="2354"/>
      <c r="AC185" s="2354"/>
      <c r="AD185" s="2354"/>
      <c r="AE185" s="2355"/>
      <c r="AF185" s="1206"/>
      <c r="AG185" s="1206"/>
      <c r="AH185" s="2598" t="s">
        <v>2604</v>
      </c>
      <c r="AI185" s="2598"/>
      <c r="AJ185" s="2598"/>
      <c r="AK185" s="2598"/>
      <c r="AL185" s="2598"/>
      <c r="AM185" s="2598"/>
      <c r="AN185" s="2598"/>
      <c r="AO185" s="2598"/>
      <c r="AP185" s="2598"/>
      <c r="AQ185" s="2598"/>
      <c r="AR185" s="2598"/>
      <c r="AS185" s="2598"/>
      <c r="AT185" s="2598"/>
      <c r="AU185" s="2597" t="str">
        <f>IF(AU189-AU192&lt;=AU184,"Y","N")</f>
        <v>Y</v>
      </c>
      <c r="AV185" s="2597"/>
      <c r="AW185" s="2597"/>
      <c r="AX185" s="2597"/>
      <c r="AY185" s="2597"/>
      <c r="AZ185" s="2597"/>
      <c r="BA185" s="2597"/>
      <c r="BB185" s="2597"/>
      <c r="BC185" s="2329"/>
      <c r="BD185" s="2330"/>
      <c r="BE185" s="2331"/>
    </row>
    <row r="186" spans="1:57" ht="15.75" customHeight="1" thickBot="1">
      <c r="A186" s="1206"/>
      <c r="B186" s="1206"/>
      <c r="C186" s="2359" t="s">
        <v>2491</v>
      </c>
      <c r="D186" s="2360"/>
      <c r="E186" s="2360"/>
      <c r="F186" s="2360"/>
      <c r="G186" s="2360"/>
      <c r="H186" s="2360"/>
      <c r="I186" s="2360"/>
      <c r="J186" s="2360"/>
      <c r="K186" s="2360"/>
      <c r="L186" s="2360"/>
      <c r="M186" s="2360"/>
      <c r="N186" s="2361">
        <f>SUM('Sources and Uses Budget'!B85:B86)</f>
        <v>2426547</v>
      </c>
      <c r="O186" s="2361"/>
      <c r="P186" s="2361"/>
      <c r="Q186" s="2361"/>
      <c r="R186" s="2361"/>
      <c r="S186" s="2361"/>
      <c r="T186" s="2361"/>
      <c r="U186" s="2354"/>
      <c r="V186" s="2354"/>
      <c r="W186" s="2354"/>
      <c r="X186" s="2354"/>
      <c r="Y186" s="2354"/>
      <c r="Z186" s="2354"/>
      <c r="AA186" s="2354"/>
      <c r="AB186" s="2354"/>
      <c r="AC186" s="2354"/>
      <c r="AD186" s="2354"/>
      <c r="AE186" s="235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9" t="s">
        <v>2492</v>
      </c>
      <c r="D187" s="2360"/>
      <c r="E187" s="2360"/>
      <c r="F187" s="2360"/>
      <c r="G187" s="2360"/>
      <c r="H187" s="2360"/>
      <c r="I187" s="2360"/>
      <c r="J187" s="2360"/>
      <c r="K187" s="2360"/>
      <c r="L187" s="2360"/>
      <c r="M187" s="2360"/>
      <c r="N187" s="2361">
        <f>'Sources and Uses Budget'!B8</f>
        <v>38499</v>
      </c>
      <c r="O187" s="2361"/>
      <c r="P187" s="2361"/>
      <c r="Q187" s="2361"/>
      <c r="R187" s="2361"/>
      <c r="S187" s="2361"/>
      <c r="T187" s="2361"/>
      <c r="U187" s="2354"/>
      <c r="V187" s="2354"/>
      <c r="W187" s="2354"/>
      <c r="X187" s="2354"/>
      <c r="Y187" s="2354"/>
      <c r="Z187" s="2354"/>
      <c r="AA187" s="2354"/>
      <c r="AB187" s="2354"/>
      <c r="AC187" s="2354"/>
      <c r="AD187" s="2354"/>
      <c r="AE187" s="2355"/>
      <c r="AF187" s="1206"/>
      <c r="AG187" s="1206"/>
      <c r="AH187" s="2362" t="s">
        <v>1849</v>
      </c>
      <c r="AI187" s="2363"/>
      <c r="AJ187" s="2363"/>
      <c r="AK187" s="2363"/>
      <c r="AL187" s="2363"/>
      <c r="AM187" s="2363"/>
      <c r="AN187" s="2363"/>
      <c r="AO187" s="2363"/>
      <c r="AP187" s="2363"/>
      <c r="AQ187" s="2363"/>
      <c r="AR187" s="2363"/>
      <c r="AS187" s="2363"/>
      <c r="AT187" s="2363"/>
      <c r="AU187" s="2363"/>
      <c r="AV187" s="2363"/>
      <c r="AW187" s="2363"/>
      <c r="AX187" s="2363"/>
      <c r="AY187" s="2363"/>
      <c r="AZ187" s="2363"/>
      <c r="BA187" s="2363"/>
      <c r="BB187" s="2363"/>
      <c r="BC187" s="2363"/>
      <c r="BD187" s="2363"/>
      <c r="BE187" s="2364"/>
    </row>
    <row r="188" spans="1:57" ht="15.75" customHeight="1">
      <c r="A188" s="1206"/>
      <c r="B188" s="1206"/>
      <c r="C188" s="2359" t="s">
        <v>2493</v>
      </c>
      <c r="D188" s="2360"/>
      <c r="E188" s="2360"/>
      <c r="F188" s="2360"/>
      <c r="G188" s="2360"/>
      <c r="H188" s="2360"/>
      <c r="I188" s="2360"/>
      <c r="J188" s="2360"/>
      <c r="K188" s="2360"/>
      <c r="L188" s="2360"/>
      <c r="M188" s="2360"/>
      <c r="N188" s="2353">
        <v>0</v>
      </c>
      <c r="O188" s="2353"/>
      <c r="P188" s="2353"/>
      <c r="Q188" s="2353"/>
      <c r="R188" s="2353"/>
      <c r="S188" s="2353"/>
      <c r="T188" s="2353"/>
      <c r="U188" s="2354"/>
      <c r="V188" s="2354"/>
      <c r="W188" s="2354"/>
      <c r="X188" s="2354"/>
      <c r="Y188" s="2354"/>
      <c r="Z188" s="2354"/>
      <c r="AA188" s="2354"/>
      <c r="AB188" s="2354"/>
      <c r="AC188" s="2354"/>
      <c r="AD188" s="2354"/>
      <c r="AE188" s="2355"/>
      <c r="AF188" s="1206"/>
      <c r="AG188" s="1206"/>
      <c r="AH188" s="2365" t="s">
        <v>1849</v>
      </c>
      <c r="AI188" s="2365"/>
      <c r="AJ188" s="2365"/>
      <c r="AK188" s="2365"/>
      <c r="AL188" s="2365"/>
      <c r="AM188" s="2365"/>
      <c r="AN188" s="2365"/>
      <c r="AO188" s="2365"/>
      <c r="AP188" s="2365"/>
      <c r="AQ188" s="2365"/>
      <c r="AR188" s="2365"/>
      <c r="AS188" s="2365"/>
      <c r="AT188" s="2365"/>
      <c r="AU188" s="2366">
        <v>0</v>
      </c>
      <c r="AV188" s="2366"/>
      <c r="AW188" s="2366"/>
      <c r="AX188" s="2366"/>
      <c r="AY188" s="2366"/>
      <c r="AZ188" s="2366"/>
      <c r="BA188" s="2366"/>
      <c r="BB188" s="2366"/>
      <c r="BC188" s="2367"/>
      <c r="BD188" s="2368"/>
      <c r="BE188" s="2369"/>
    </row>
    <row r="189" spans="1:57" ht="15.75" customHeight="1">
      <c r="A189" s="1206"/>
      <c r="B189" s="1206"/>
      <c r="C189" s="2359" t="s">
        <v>2494</v>
      </c>
      <c r="D189" s="2360"/>
      <c r="E189" s="2360"/>
      <c r="F189" s="2360"/>
      <c r="G189" s="2360"/>
      <c r="H189" s="2360"/>
      <c r="I189" s="2360"/>
      <c r="J189" s="2360"/>
      <c r="K189" s="2360"/>
      <c r="L189" s="2360"/>
      <c r="M189" s="2360"/>
      <c r="N189" s="2353">
        <v>0</v>
      </c>
      <c r="O189" s="2353"/>
      <c r="P189" s="2353"/>
      <c r="Q189" s="2353"/>
      <c r="R189" s="2353"/>
      <c r="S189" s="2353"/>
      <c r="T189" s="2353"/>
      <c r="U189" s="2354"/>
      <c r="V189" s="2354"/>
      <c r="W189" s="2354"/>
      <c r="X189" s="2354"/>
      <c r="Y189" s="2354"/>
      <c r="Z189" s="2354"/>
      <c r="AA189" s="2354"/>
      <c r="AB189" s="2354"/>
      <c r="AC189" s="2354"/>
      <c r="AD189" s="2354"/>
      <c r="AE189" s="2355"/>
      <c r="AF189" s="1206"/>
      <c r="AG189" s="1206"/>
      <c r="AH189" s="2370" t="s">
        <v>2603</v>
      </c>
      <c r="AI189" s="2370"/>
      <c r="AJ189" s="2370"/>
      <c r="AK189" s="2370"/>
      <c r="AL189" s="2370"/>
      <c r="AM189" s="2370"/>
      <c r="AN189" s="2370"/>
      <c r="AO189" s="2370"/>
      <c r="AP189" s="2370"/>
      <c r="AQ189" s="2370"/>
      <c r="AR189" s="2370"/>
      <c r="AS189" s="2370"/>
      <c r="AT189" s="2370"/>
      <c r="AU189" s="2358"/>
      <c r="AV189" s="2358"/>
      <c r="AW189" s="2358"/>
      <c r="AX189" s="2358"/>
      <c r="AY189" s="2358"/>
      <c r="AZ189" s="2358"/>
      <c r="BA189" s="2358"/>
      <c r="BB189" s="2358"/>
      <c r="BC189" s="2329"/>
      <c r="BD189" s="2330"/>
      <c r="BE189" s="2331"/>
    </row>
    <row r="190" spans="1:57" ht="15.75" customHeight="1">
      <c r="A190" s="1206"/>
      <c r="B190" s="1206"/>
      <c r="C190" s="2356" t="s">
        <v>301</v>
      </c>
      <c r="D190" s="2357"/>
      <c r="E190" s="2352" t="s">
        <v>1843</v>
      </c>
      <c r="F190" s="2352"/>
      <c r="G190" s="2352"/>
      <c r="H190" s="2352"/>
      <c r="I190" s="2352"/>
      <c r="J190" s="2352"/>
      <c r="K190" s="2352"/>
      <c r="L190" s="2352"/>
      <c r="M190" s="2352"/>
      <c r="N190" s="2353">
        <v>0</v>
      </c>
      <c r="O190" s="2353"/>
      <c r="P190" s="2353"/>
      <c r="Q190" s="2353"/>
      <c r="R190" s="2353"/>
      <c r="S190" s="2353"/>
      <c r="T190" s="2353"/>
      <c r="U190" s="2354"/>
      <c r="V190" s="2354"/>
      <c r="W190" s="2354"/>
      <c r="X190" s="2354"/>
      <c r="Y190" s="2354"/>
      <c r="Z190" s="2354"/>
      <c r="AA190" s="2354"/>
      <c r="AB190" s="2354"/>
      <c r="AC190" s="2354"/>
      <c r="AD190" s="2354"/>
      <c r="AE190" s="2355"/>
      <c r="AF190" s="1206"/>
      <c r="AG190" s="1206"/>
      <c r="AH190" s="2588" t="s">
        <v>2602</v>
      </c>
      <c r="AI190" s="2588"/>
      <c r="AJ190" s="2588"/>
      <c r="AK190" s="2588"/>
      <c r="AL190" s="2588"/>
      <c r="AM190" s="2588"/>
      <c r="AN190" s="2588"/>
      <c r="AO190" s="2588"/>
      <c r="AP190" s="2588"/>
      <c r="AQ190" s="2588"/>
      <c r="AR190" s="2588"/>
      <c r="AS190" s="2588"/>
      <c r="AT190" s="2588"/>
      <c r="AU190" s="2328">
        <f>SUM(AU188:BB189)</f>
        <v>0</v>
      </c>
      <c r="AV190" s="2328"/>
      <c r="AW190" s="2328"/>
      <c r="AX190" s="2328"/>
      <c r="AY190" s="2328"/>
      <c r="AZ190" s="2328"/>
      <c r="BA190" s="2328"/>
      <c r="BB190" s="2328"/>
      <c r="BC190" s="2329"/>
      <c r="BD190" s="2330"/>
      <c r="BE190" s="2331"/>
    </row>
    <row r="191" spans="1:57" ht="15.75" customHeight="1" thickBot="1">
      <c r="A191" s="1206"/>
      <c r="B191" s="1206"/>
      <c r="C191" s="2350" t="s">
        <v>301</v>
      </c>
      <c r="D191" s="2351"/>
      <c r="E191" s="2352" t="s">
        <v>1843</v>
      </c>
      <c r="F191" s="2352"/>
      <c r="G191" s="2352"/>
      <c r="H191" s="2352"/>
      <c r="I191" s="2352"/>
      <c r="J191" s="2352"/>
      <c r="K191" s="2352"/>
      <c r="L191" s="2352"/>
      <c r="M191" s="2352"/>
      <c r="N191" s="2353">
        <v>0</v>
      </c>
      <c r="O191" s="2353"/>
      <c r="P191" s="2353"/>
      <c r="Q191" s="2353"/>
      <c r="R191" s="2353"/>
      <c r="S191" s="2353"/>
      <c r="T191" s="2353"/>
      <c r="U191" s="2354"/>
      <c r="V191" s="2354"/>
      <c r="W191" s="2354"/>
      <c r="X191" s="2354"/>
      <c r="Y191" s="2354"/>
      <c r="Z191" s="2354"/>
      <c r="AA191" s="2354"/>
      <c r="AB191" s="2354"/>
      <c r="AC191" s="2354"/>
      <c r="AD191" s="2354"/>
      <c r="AE191" s="235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2"/>
      <c r="BD191" s="2333"/>
      <c r="BE191" s="2334"/>
    </row>
    <row r="192" spans="1:57" ht="15.75" customHeight="1" thickBot="1">
      <c r="A192" s="1206"/>
      <c r="B192" s="1206"/>
      <c r="C192" s="2339" t="s">
        <v>301</v>
      </c>
      <c r="D192" s="2340"/>
      <c r="E192" s="2341" t="s">
        <v>1843</v>
      </c>
      <c r="F192" s="2341"/>
      <c r="G192" s="2341"/>
      <c r="H192" s="2341"/>
      <c r="I192" s="2341"/>
      <c r="J192" s="2341"/>
      <c r="K192" s="2341"/>
      <c r="L192" s="2341"/>
      <c r="M192" s="2342"/>
      <c r="N192" s="2343">
        <v>0</v>
      </c>
      <c r="O192" s="2343"/>
      <c r="P192" s="2343"/>
      <c r="Q192" s="2343"/>
      <c r="R192" s="2343"/>
      <c r="S192" s="2343"/>
      <c r="T192" s="2344"/>
      <c r="U192" s="2345"/>
      <c r="V192" s="2346"/>
      <c r="W192" s="2346"/>
      <c r="X192" s="2346"/>
      <c r="Y192" s="2346"/>
      <c r="Z192" s="2346"/>
      <c r="AA192" s="2346"/>
      <c r="AB192" s="2346"/>
      <c r="AC192" s="2346"/>
      <c r="AD192" s="2346"/>
      <c r="AE192" s="2347"/>
      <c r="AF192" s="1206"/>
      <c r="AG192" s="1206"/>
      <c r="AH192" s="2313" t="s">
        <v>1850</v>
      </c>
      <c r="AI192" s="2314"/>
      <c r="AJ192" s="2314"/>
      <c r="AK192" s="2314"/>
      <c r="AL192" s="2314"/>
      <c r="AM192" s="2314"/>
      <c r="AN192" s="2314"/>
      <c r="AO192" s="2314"/>
      <c r="AP192" s="2314"/>
      <c r="AQ192" s="2314"/>
      <c r="AR192" s="2314"/>
      <c r="AS192" s="2314"/>
      <c r="AT192" s="2314"/>
      <c r="AU192" s="2323"/>
      <c r="AV192" s="2323"/>
      <c r="AW192" s="2323"/>
      <c r="AX192" s="2323"/>
      <c r="AY192" s="2323"/>
      <c r="AZ192" s="2323"/>
      <c r="BA192" s="2323"/>
      <c r="BB192" s="2323"/>
      <c r="BC192" s="1219"/>
      <c r="BD192" s="1219"/>
      <c r="BE192" s="1218"/>
    </row>
    <row r="193" spans="1:57" ht="15.75" customHeight="1">
      <c r="A193" s="1206"/>
      <c r="B193" s="1206"/>
      <c r="C193" s="2335" t="s">
        <v>1851</v>
      </c>
      <c r="D193" s="2336"/>
      <c r="E193" s="2336"/>
      <c r="F193" s="2336"/>
      <c r="G193" s="2336"/>
      <c r="H193" s="2336"/>
      <c r="I193" s="2336"/>
      <c r="J193" s="2336"/>
      <c r="K193" s="2336"/>
      <c r="L193" s="2336"/>
      <c r="M193" s="2336"/>
      <c r="N193" s="2337">
        <f>SUM(N185:T192)</f>
        <v>2465046</v>
      </c>
      <c r="O193" s="2337"/>
      <c r="P193" s="2337"/>
      <c r="Q193" s="2337"/>
      <c r="R193" s="2337"/>
      <c r="S193" s="2337"/>
      <c r="T193" s="2338"/>
      <c r="U193" s="1206"/>
      <c r="V193" s="1206"/>
      <c r="W193" s="1206"/>
      <c r="X193" s="1206"/>
      <c r="Y193" s="1206"/>
      <c r="Z193" s="1206"/>
      <c r="AA193" s="1206"/>
      <c r="AB193" s="1206"/>
      <c r="AC193" s="1206"/>
      <c r="AD193" s="1206"/>
      <c r="AE193" s="1206"/>
      <c r="AF193" s="1206"/>
      <c r="AG193" s="1206"/>
      <c r="AH193" s="2348" t="s">
        <v>2601</v>
      </c>
      <c r="AI193" s="2348"/>
      <c r="AJ193" s="2348"/>
      <c r="AK193" s="2348"/>
      <c r="AL193" s="2348"/>
      <c r="AM193" s="2348"/>
      <c r="AN193" s="2348"/>
      <c r="AO193" s="2348"/>
      <c r="AP193" s="2348"/>
      <c r="AQ193" s="2348"/>
      <c r="AR193" s="2348"/>
      <c r="AS193" s="2348"/>
      <c r="AT193" s="2348"/>
      <c r="AU193" s="2348"/>
      <c r="AV193" s="2348"/>
      <c r="AW193" s="2348"/>
      <c r="AX193" s="2348"/>
      <c r="AY193" s="2348"/>
      <c r="AZ193" s="2348"/>
      <c r="BA193" s="2348"/>
      <c r="BB193" s="2348"/>
      <c r="BC193" s="2348"/>
      <c r="BD193" s="2348"/>
      <c r="BE193" s="2349"/>
    </row>
    <row r="194" spans="1:57" ht="15.75" customHeight="1" thickBot="1">
      <c r="A194" s="1206"/>
      <c r="B194" s="1206"/>
      <c r="C194" s="2315" t="s">
        <v>2495</v>
      </c>
      <c r="D194" s="2316"/>
      <c r="E194" s="2316"/>
      <c r="F194" s="2316"/>
      <c r="G194" s="2316"/>
      <c r="H194" s="2316"/>
      <c r="I194" s="2316"/>
      <c r="J194" s="2316"/>
      <c r="K194" s="2316"/>
      <c r="L194" s="2316"/>
      <c r="M194" s="2316"/>
      <c r="N194" s="2317">
        <f ca="1">(N183-N193)/J29</f>
        <v>775226.2135063709</v>
      </c>
      <c r="O194" s="2318"/>
      <c r="P194" s="2318"/>
      <c r="Q194" s="2318"/>
      <c r="R194" s="2318"/>
      <c r="S194" s="2318"/>
      <c r="T194" s="2319"/>
      <c r="U194" s="1217"/>
      <c r="V194" s="1206"/>
      <c r="W194" s="1206"/>
      <c r="X194" s="1206"/>
      <c r="Y194" s="1206"/>
      <c r="Z194" s="1206"/>
      <c r="AA194" s="1206"/>
      <c r="AB194" s="1206"/>
      <c r="AC194" s="1206"/>
      <c r="AD194" s="1206"/>
      <c r="AE194" s="1206"/>
      <c r="AF194" s="1206"/>
      <c r="AG194" s="1206"/>
      <c r="AH194" s="2348"/>
      <c r="AI194" s="2348"/>
      <c r="AJ194" s="2348"/>
      <c r="AK194" s="2348"/>
      <c r="AL194" s="2348"/>
      <c r="AM194" s="2348"/>
      <c r="AN194" s="2348"/>
      <c r="AO194" s="2348"/>
      <c r="AP194" s="2348"/>
      <c r="AQ194" s="2348"/>
      <c r="AR194" s="2348"/>
      <c r="AS194" s="2348"/>
      <c r="AT194" s="2348"/>
      <c r="AU194" s="2348"/>
      <c r="AV194" s="2348"/>
      <c r="AW194" s="2348"/>
      <c r="AX194" s="2348"/>
      <c r="AY194" s="2348"/>
      <c r="AZ194" s="2348"/>
      <c r="BA194" s="2348"/>
      <c r="BB194" s="2348"/>
      <c r="BC194" s="2348"/>
      <c r="BD194" s="2348"/>
      <c r="BE194" s="234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0"/>
      <c r="AI195" s="2320"/>
      <c r="AJ195" s="2320"/>
      <c r="AK195" s="2320"/>
      <c r="AL195" s="2320"/>
      <c r="AM195" s="2320"/>
      <c r="AN195" s="2320"/>
      <c r="AO195" s="2320"/>
      <c r="AP195" s="2320"/>
      <c r="AQ195" s="2320"/>
      <c r="AR195" s="2320"/>
      <c r="AS195" s="2324"/>
      <c r="AT195" s="2324"/>
      <c r="AU195" s="2324"/>
      <c r="AV195" s="2324"/>
      <c r="AW195" s="2324"/>
      <c r="AX195" s="2324"/>
      <c r="AY195" s="2324"/>
      <c r="AZ195" s="2324"/>
      <c r="BA195" s="2324"/>
      <c r="BB195" s="2324"/>
      <c r="BC195" s="2324"/>
      <c r="BD195" s="232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5" t="s">
        <v>2600</v>
      </c>
      <c r="D197" s="2326"/>
      <c r="E197" s="2326"/>
      <c r="F197" s="2326"/>
      <c r="G197" s="2326"/>
      <c r="H197" s="2326"/>
      <c r="I197" s="2326"/>
      <c r="J197" s="2326"/>
      <c r="K197" s="2326"/>
      <c r="L197" s="2326"/>
      <c r="M197" s="2326"/>
      <c r="N197" s="2326"/>
      <c r="O197" s="2326"/>
      <c r="P197" s="2326"/>
      <c r="Q197" s="2326"/>
      <c r="R197" s="2326"/>
      <c r="S197" s="2326"/>
      <c r="T197" s="2326"/>
      <c r="U197" s="2326"/>
      <c r="V197" s="2326"/>
      <c r="W197" s="2326"/>
      <c r="X197" s="2326"/>
      <c r="Y197" s="2326"/>
      <c r="Z197" s="2326"/>
      <c r="AA197" s="2326"/>
      <c r="AB197" s="2326"/>
      <c r="AC197" s="2326"/>
      <c r="AD197" s="2326"/>
      <c r="AE197" s="232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1" t="s">
        <v>2599</v>
      </c>
      <c r="D198" s="2591"/>
      <c r="E198" s="2591"/>
      <c r="F198" s="2591"/>
      <c r="G198" s="2591"/>
      <c r="H198" s="2591"/>
      <c r="I198" s="2591"/>
      <c r="J198" s="2591"/>
      <c r="K198" s="2591"/>
      <c r="L198" s="2591"/>
      <c r="M198" s="2591"/>
      <c r="N198" s="2591"/>
      <c r="O198" s="2592" t="s">
        <v>2598</v>
      </c>
      <c r="P198" s="2592"/>
      <c r="Q198" s="2592"/>
      <c r="R198" s="2592"/>
      <c r="S198" s="2592"/>
      <c r="T198" s="2592"/>
      <c r="U198" s="2592"/>
      <c r="V198" s="2592"/>
      <c r="W198" s="2592"/>
      <c r="X198" s="2592" t="s">
        <v>2597</v>
      </c>
      <c r="Y198" s="2592"/>
      <c r="Z198" s="2592"/>
      <c r="AA198" s="2592"/>
      <c r="AB198" s="2592"/>
      <c r="AC198" s="2592"/>
      <c r="AD198" s="2592"/>
      <c r="AE198" s="2592"/>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9" t="s">
        <v>2596</v>
      </c>
      <c r="D199" s="2589"/>
      <c r="E199" s="2589"/>
      <c r="F199" s="2589"/>
      <c r="G199" s="2589"/>
      <c r="H199" s="2589"/>
      <c r="I199" s="2589"/>
      <c r="J199" s="2589"/>
      <c r="K199" s="2589"/>
      <c r="L199" s="2589"/>
      <c r="M199" s="2589"/>
      <c r="N199" s="2589"/>
      <c r="O199" s="2321" t="s">
        <v>2595</v>
      </c>
      <c r="P199" s="2321"/>
      <c r="Q199" s="2321"/>
      <c r="R199" s="2321"/>
      <c r="S199" s="2321"/>
      <c r="T199" s="2321"/>
      <c r="U199" s="2321"/>
      <c r="V199" s="2321"/>
      <c r="W199" s="2321"/>
      <c r="X199" s="2322">
        <v>0.03</v>
      </c>
      <c r="Y199" s="2322"/>
      <c r="Z199" s="2322"/>
      <c r="AA199" s="2322"/>
      <c r="AB199" s="2322"/>
      <c r="AC199" s="2322"/>
      <c r="AD199" s="2322"/>
      <c r="AE199" s="232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9" t="s">
        <v>865</v>
      </c>
      <c r="D200" s="2589"/>
      <c r="E200" s="2589"/>
      <c r="F200" s="2589"/>
      <c r="G200" s="2589"/>
      <c r="H200" s="2589"/>
      <c r="I200" s="2589"/>
      <c r="J200" s="2589"/>
      <c r="K200" s="2589"/>
      <c r="L200" s="2589"/>
      <c r="M200" s="2589"/>
      <c r="N200" s="2589"/>
      <c r="O200" s="2321" t="s">
        <v>2595</v>
      </c>
      <c r="P200" s="2321"/>
      <c r="Q200" s="2321"/>
      <c r="R200" s="2321"/>
      <c r="S200" s="2321"/>
      <c r="T200" s="2321"/>
      <c r="U200" s="2321"/>
      <c r="V200" s="2321"/>
      <c r="W200" s="2321"/>
      <c r="X200" s="2322">
        <v>0.03</v>
      </c>
      <c r="Y200" s="2322"/>
      <c r="Z200" s="2322"/>
      <c r="AA200" s="2322"/>
      <c r="AB200" s="2322"/>
      <c r="AC200" s="2322"/>
      <c r="AD200" s="2322"/>
      <c r="AE200" s="232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9" t="s">
        <v>2594</v>
      </c>
      <c r="D201" s="2589"/>
      <c r="E201" s="2589"/>
      <c r="F201" s="2589"/>
      <c r="G201" s="2589"/>
      <c r="H201" s="2589"/>
      <c r="I201" s="2589"/>
      <c r="J201" s="2589"/>
      <c r="K201" s="2589"/>
      <c r="L201" s="2589"/>
      <c r="M201" s="2589"/>
      <c r="N201" s="2589"/>
      <c r="O201" s="2593">
        <f>SUM(O199:W200)</f>
        <v>0</v>
      </c>
      <c r="P201" s="2594"/>
      <c r="Q201" s="2594"/>
      <c r="R201" s="2594"/>
      <c r="S201" s="2594"/>
      <c r="T201" s="2594"/>
      <c r="U201" s="2594"/>
      <c r="V201" s="2594"/>
      <c r="W201" s="2594"/>
      <c r="X201" s="2594" t="s">
        <v>2593</v>
      </c>
      <c r="Y201" s="2594"/>
      <c r="Z201" s="2594"/>
      <c r="AA201" s="2594"/>
      <c r="AB201" s="2594"/>
      <c r="AC201" s="2594"/>
      <c r="AD201" s="2594"/>
      <c r="AE201" s="2594"/>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0" t="s">
        <v>2592</v>
      </c>
      <c r="D202" s="2590"/>
      <c r="E202" s="2590"/>
      <c r="F202" s="2590"/>
      <c r="G202" s="2590"/>
      <c r="H202" s="2590"/>
      <c r="I202" s="2590"/>
      <c r="J202" s="2590"/>
      <c r="K202" s="2590"/>
      <c r="L202" s="2590"/>
      <c r="M202" s="2590"/>
      <c r="N202" s="2590"/>
      <c r="O202" s="2590"/>
      <c r="P202" s="2590"/>
      <c r="Q202" s="2590"/>
      <c r="R202" s="2590"/>
      <c r="S202" s="2590"/>
      <c r="T202" s="2590"/>
      <c r="U202" s="2590"/>
      <c r="V202" s="2590"/>
      <c r="W202" s="2590"/>
      <c r="X202" s="2590"/>
      <c r="Y202" s="2590"/>
      <c r="Z202" s="2590"/>
      <c r="AA202" s="2590"/>
      <c r="AB202" s="2590"/>
      <c r="AC202" s="2590"/>
      <c r="AD202" s="2590"/>
      <c r="AE202" s="2590"/>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0" t="s">
        <v>2591</v>
      </c>
      <c r="D204" s="2301"/>
      <c r="E204" s="2301"/>
      <c r="F204" s="2301"/>
      <c r="G204" s="2301"/>
      <c r="H204" s="2301"/>
      <c r="I204" s="2301"/>
      <c r="J204" s="2301"/>
      <c r="K204" s="2301"/>
      <c r="L204" s="2301"/>
      <c r="M204" s="2301"/>
      <c r="N204" s="2301"/>
      <c r="O204" s="2301"/>
      <c r="P204" s="2301"/>
      <c r="Q204" s="2301"/>
      <c r="R204" s="2301"/>
      <c r="S204" s="2301"/>
      <c r="T204" s="2301"/>
      <c r="U204" s="2301"/>
      <c r="V204" s="2301"/>
      <c r="W204" s="2301"/>
      <c r="X204" s="2301"/>
      <c r="Y204" s="2301"/>
      <c r="Z204" s="2301"/>
      <c r="AA204" s="2301"/>
      <c r="AB204" s="2301"/>
      <c r="AC204" s="2301"/>
      <c r="AD204" s="2301"/>
      <c r="AE204" s="2301"/>
      <c r="AF204" s="2301"/>
      <c r="AG204" s="2301"/>
      <c r="AH204" s="2301"/>
      <c r="AI204" s="2301"/>
      <c r="AJ204" s="2301"/>
      <c r="AK204" s="230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3" t="s">
        <v>2590</v>
      </c>
      <c r="D205" s="2261"/>
      <c r="E205" s="2261"/>
      <c r="F205" s="2304"/>
      <c r="G205" s="2260" t="s">
        <v>2589</v>
      </c>
      <c r="H205" s="2261"/>
      <c r="I205" s="2261"/>
      <c r="J205" s="2261"/>
      <c r="K205" s="2261"/>
      <c r="L205" s="2261"/>
      <c r="M205" s="2261"/>
      <c r="N205" s="2261"/>
      <c r="O205" s="2304"/>
      <c r="P205" s="2307" t="s">
        <v>2588</v>
      </c>
      <c r="Q205" s="2308"/>
      <c r="R205" s="2308"/>
      <c r="S205" s="2308"/>
      <c r="T205" s="2309"/>
      <c r="U205" s="2254" t="s">
        <v>2587</v>
      </c>
      <c r="V205" s="2255"/>
      <c r="W205" s="2255"/>
      <c r="X205" s="2256"/>
      <c r="Y205" s="2254" t="s">
        <v>2586</v>
      </c>
      <c r="Z205" s="2255"/>
      <c r="AA205" s="2255"/>
      <c r="AB205" s="2256"/>
      <c r="AC205" s="2254" t="s">
        <v>2585</v>
      </c>
      <c r="AD205" s="2255"/>
      <c r="AE205" s="2255"/>
      <c r="AF205" s="2256"/>
      <c r="AG205" s="2260" t="s">
        <v>2584</v>
      </c>
      <c r="AH205" s="2261"/>
      <c r="AI205" s="2261"/>
      <c r="AJ205" s="2261"/>
      <c r="AK205" s="2262"/>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5"/>
      <c r="D206" s="2264"/>
      <c r="E206" s="2264"/>
      <c r="F206" s="2306"/>
      <c r="G206" s="2263"/>
      <c r="H206" s="2264"/>
      <c r="I206" s="2264"/>
      <c r="J206" s="2264"/>
      <c r="K206" s="2264"/>
      <c r="L206" s="2264"/>
      <c r="M206" s="2264"/>
      <c r="N206" s="2264"/>
      <c r="O206" s="2306"/>
      <c r="P206" s="2310"/>
      <c r="Q206" s="2311"/>
      <c r="R206" s="2311"/>
      <c r="S206" s="2311"/>
      <c r="T206" s="2312"/>
      <c r="U206" s="2257"/>
      <c r="V206" s="2258"/>
      <c r="W206" s="2258"/>
      <c r="X206" s="2259"/>
      <c r="Y206" s="2257"/>
      <c r="Z206" s="2258"/>
      <c r="AA206" s="2258"/>
      <c r="AB206" s="2259"/>
      <c r="AC206" s="2257"/>
      <c r="AD206" s="2258"/>
      <c r="AE206" s="2258"/>
      <c r="AF206" s="2259"/>
      <c r="AG206" s="2263"/>
      <c r="AH206" s="2264"/>
      <c r="AI206" s="2264"/>
      <c r="AJ206" s="2264"/>
      <c r="AK206" s="226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6">
        <v>1</v>
      </c>
      <c r="D207" s="2267"/>
      <c r="E207" s="2267"/>
      <c r="F207" s="2267"/>
      <c r="G207" s="2268" t="s">
        <v>2152</v>
      </c>
      <c r="H207" s="2268"/>
      <c r="I207" s="2268"/>
      <c r="J207" s="2268"/>
      <c r="K207" s="2268"/>
      <c r="L207" s="2268"/>
      <c r="M207" s="2268"/>
      <c r="N207" s="2268"/>
      <c r="O207" s="2268"/>
      <c r="P207" s="2269"/>
      <c r="Q207" s="2270"/>
      <c r="R207" s="2270"/>
      <c r="S207" s="2270"/>
      <c r="T207" s="2270"/>
      <c r="U207" s="2271" t="s">
        <v>2152</v>
      </c>
      <c r="V207" s="2271"/>
      <c r="W207" s="2271"/>
      <c r="X207" s="2271"/>
      <c r="Y207" s="2271" t="s">
        <v>2152</v>
      </c>
      <c r="Z207" s="2271"/>
      <c r="AA207" s="2271"/>
      <c r="AB207" s="2271"/>
      <c r="AC207" s="2272" t="s">
        <v>2152</v>
      </c>
      <c r="AD207" s="2272"/>
      <c r="AE207" s="2272"/>
      <c r="AF207" s="2272"/>
      <c r="AG207" s="2251"/>
      <c r="AH207" s="2252"/>
      <c r="AI207" s="2252"/>
      <c r="AJ207" s="2252"/>
      <c r="AK207" s="225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6">
        <v>2</v>
      </c>
      <c r="D208" s="2267"/>
      <c r="E208" s="2267"/>
      <c r="F208" s="2267"/>
      <c r="G208" s="2268" t="s">
        <v>2152</v>
      </c>
      <c r="H208" s="2268"/>
      <c r="I208" s="2268"/>
      <c r="J208" s="2268"/>
      <c r="K208" s="2268"/>
      <c r="L208" s="2268"/>
      <c r="M208" s="2268"/>
      <c r="N208" s="2268"/>
      <c r="O208" s="2268"/>
      <c r="P208" s="2269"/>
      <c r="Q208" s="2269"/>
      <c r="R208" s="2269"/>
      <c r="S208" s="2269"/>
      <c r="T208" s="2269"/>
      <c r="U208" s="2271" t="s">
        <v>2152</v>
      </c>
      <c r="V208" s="2271"/>
      <c r="W208" s="2271"/>
      <c r="X208" s="2271"/>
      <c r="Y208" s="2271" t="s">
        <v>2152</v>
      </c>
      <c r="Z208" s="2271"/>
      <c r="AA208" s="2271"/>
      <c r="AB208" s="2271"/>
      <c r="AC208" s="2272" t="s">
        <v>2152</v>
      </c>
      <c r="AD208" s="2272"/>
      <c r="AE208" s="2272"/>
      <c r="AF208" s="2272"/>
      <c r="AG208" s="2251"/>
      <c r="AH208" s="2252"/>
      <c r="AI208" s="2252"/>
      <c r="AJ208" s="2252"/>
      <c r="AK208" s="225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6">
        <v>3</v>
      </c>
      <c r="D209" s="2267"/>
      <c r="E209" s="2267"/>
      <c r="F209" s="2267"/>
      <c r="G209" s="2268" t="s">
        <v>2152</v>
      </c>
      <c r="H209" s="2268"/>
      <c r="I209" s="2268"/>
      <c r="J209" s="2268"/>
      <c r="K209" s="2268"/>
      <c r="L209" s="2268"/>
      <c r="M209" s="2268"/>
      <c r="N209" s="2268"/>
      <c r="O209" s="2268"/>
      <c r="P209" s="2269"/>
      <c r="Q209" s="2269"/>
      <c r="R209" s="2269"/>
      <c r="S209" s="2269"/>
      <c r="T209" s="2269"/>
      <c r="U209" s="2271" t="s">
        <v>2152</v>
      </c>
      <c r="V209" s="2271"/>
      <c r="W209" s="2271"/>
      <c r="X209" s="2271"/>
      <c r="Y209" s="2271" t="s">
        <v>2152</v>
      </c>
      <c r="Z209" s="2271"/>
      <c r="AA209" s="2271"/>
      <c r="AB209" s="2271"/>
      <c r="AC209" s="2272" t="s">
        <v>2152</v>
      </c>
      <c r="AD209" s="2272"/>
      <c r="AE209" s="2272"/>
      <c r="AF209" s="2272"/>
      <c r="AG209" s="2251"/>
      <c r="AH209" s="2252"/>
      <c r="AI209" s="2252"/>
      <c r="AJ209" s="2252"/>
      <c r="AK209" s="225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6">
        <v>4</v>
      </c>
      <c r="D210" s="2267"/>
      <c r="E210" s="2267"/>
      <c r="F210" s="2267"/>
      <c r="G210" s="2268" t="s">
        <v>2152</v>
      </c>
      <c r="H210" s="2268"/>
      <c r="I210" s="2268"/>
      <c r="J210" s="2268"/>
      <c r="K210" s="2268"/>
      <c r="L210" s="2268"/>
      <c r="M210" s="2268"/>
      <c r="N210" s="2268"/>
      <c r="O210" s="2268"/>
      <c r="P210" s="2269"/>
      <c r="Q210" s="2269"/>
      <c r="R210" s="2269"/>
      <c r="S210" s="2269"/>
      <c r="T210" s="2269"/>
      <c r="U210" s="2271" t="s">
        <v>2152</v>
      </c>
      <c r="V210" s="2271"/>
      <c r="W210" s="2271"/>
      <c r="X210" s="2271"/>
      <c r="Y210" s="2271" t="s">
        <v>2152</v>
      </c>
      <c r="Z210" s="2271"/>
      <c r="AA210" s="2271"/>
      <c r="AB210" s="2271"/>
      <c r="AC210" s="2272" t="s">
        <v>2152</v>
      </c>
      <c r="AD210" s="2272"/>
      <c r="AE210" s="2272"/>
      <c r="AF210" s="2272"/>
      <c r="AG210" s="2251"/>
      <c r="AH210" s="2252"/>
      <c r="AI210" s="2252"/>
      <c r="AJ210" s="2252"/>
      <c r="AK210" s="225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6">
        <v>5</v>
      </c>
      <c r="D211" s="2267"/>
      <c r="E211" s="2267"/>
      <c r="F211" s="2267"/>
      <c r="G211" s="2268"/>
      <c r="H211" s="2268"/>
      <c r="I211" s="2268"/>
      <c r="J211" s="2268"/>
      <c r="K211" s="2268"/>
      <c r="L211" s="2268"/>
      <c r="M211" s="2268"/>
      <c r="N211" s="2268"/>
      <c r="O211" s="2268"/>
      <c r="P211" s="2269"/>
      <c r="Q211" s="2269"/>
      <c r="R211" s="2269"/>
      <c r="S211" s="2269"/>
      <c r="T211" s="2269"/>
      <c r="U211" s="2271" t="s">
        <v>2152</v>
      </c>
      <c r="V211" s="2271"/>
      <c r="W211" s="2271"/>
      <c r="X211" s="2271"/>
      <c r="Y211" s="2271" t="s">
        <v>2152</v>
      </c>
      <c r="Z211" s="2271"/>
      <c r="AA211" s="2271"/>
      <c r="AB211" s="2271"/>
      <c r="AC211" s="2272" t="s">
        <v>2152</v>
      </c>
      <c r="AD211" s="2272"/>
      <c r="AE211" s="2272"/>
      <c r="AF211" s="2272"/>
      <c r="AG211" s="2251"/>
      <c r="AH211" s="2252"/>
      <c r="AI211" s="2252"/>
      <c r="AJ211" s="2252"/>
      <c r="AK211" s="225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6">
        <v>6</v>
      </c>
      <c r="D212" s="2267"/>
      <c r="E212" s="2267"/>
      <c r="F212" s="2267"/>
      <c r="G212" s="2268" t="s">
        <v>2152</v>
      </c>
      <c r="H212" s="2268"/>
      <c r="I212" s="2268"/>
      <c r="J212" s="2268"/>
      <c r="K212" s="2268"/>
      <c r="L212" s="2268"/>
      <c r="M212" s="2268"/>
      <c r="N212" s="2268"/>
      <c r="O212" s="2268"/>
      <c r="P212" s="2269"/>
      <c r="Q212" s="2269"/>
      <c r="R212" s="2269"/>
      <c r="S212" s="2269"/>
      <c r="T212" s="2269"/>
      <c r="U212" s="2271"/>
      <c r="V212" s="2271"/>
      <c r="W212" s="2271"/>
      <c r="X212" s="2271"/>
      <c r="Y212" s="2271"/>
      <c r="Z212" s="2271"/>
      <c r="AA212" s="2271"/>
      <c r="AB212" s="2271"/>
      <c r="AC212" s="2272" t="s">
        <v>2152</v>
      </c>
      <c r="AD212" s="2272"/>
      <c r="AE212" s="2272"/>
      <c r="AF212" s="2272"/>
      <c r="AG212" s="2251"/>
      <c r="AH212" s="2252"/>
      <c r="AI212" s="2252"/>
      <c r="AJ212" s="2252"/>
      <c r="AK212" s="225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6">
        <v>7</v>
      </c>
      <c r="D213" s="2267"/>
      <c r="E213" s="2267"/>
      <c r="F213" s="2267"/>
      <c r="G213" s="2602"/>
      <c r="H213" s="2603"/>
      <c r="I213" s="2603"/>
      <c r="J213" s="2603"/>
      <c r="K213" s="2603"/>
      <c r="L213" s="2603"/>
      <c r="M213" s="2603"/>
      <c r="N213" s="2603"/>
      <c r="O213" s="2604"/>
      <c r="P213" s="2269"/>
      <c r="Q213" s="2269"/>
      <c r="R213" s="2269"/>
      <c r="S213" s="2269"/>
      <c r="T213" s="2269"/>
      <c r="U213" s="2271"/>
      <c r="V213" s="2271"/>
      <c r="W213" s="2271"/>
      <c r="X213" s="2271"/>
      <c r="Y213" s="2271"/>
      <c r="Z213" s="2271"/>
      <c r="AA213" s="2271"/>
      <c r="AB213" s="2271"/>
      <c r="AC213" s="2272" t="s">
        <v>2152</v>
      </c>
      <c r="AD213" s="2272"/>
      <c r="AE213" s="2272"/>
      <c r="AF213" s="2272"/>
      <c r="AG213" s="2251"/>
      <c r="AH213" s="2252"/>
      <c r="AI213" s="2252"/>
      <c r="AJ213" s="2252"/>
      <c r="AK213" s="225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5" t="s">
        <v>2583</v>
      </c>
      <c r="D214" s="2606"/>
      <c r="E214" s="2606"/>
      <c r="F214" s="2606"/>
      <c r="G214" s="2606"/>
      <c r="H214" s="2606"/>
      <c r="I214" s="2606"/>
      <c r="J214" s="2606"/>
      <c r="K214" s="2606"/>
      <c r="L214" s="2606"/>
      <c r="M214" s="2606"/>
      <c r="N214" s="2606"/>
      <c r="O214" s="2606"/>
      <c r="P214" s="2607"/>
      <c r="Q214" s="2607"/>
      <c r="R214" s="2607"/>
      <c r="S214" s="2607"/>
      <c r="T214" s="2607"/>
      <c r="U214" s="2608">
        <v>0</v>
      </c>
      <c r="V214" s="2608"/>
      <c r="W214" s="2608"/>
      <c r="X214" s="2608"/>
      <c r="Y214" s="2608">
        <v>0</v>
      </c>
      <c r="Z214" s="2608"/>
      <c r="AA214" s="2608"/>
      <c r="AB214" s="2608"/>
      <c r="AC214" s="2609">
        <v>0</v>
      </c>
      <c r="AD214" s="2609"/>
      <c r="AE214" s="2609"/>
      <c r="AF214" s="2609"/>
      <c r="AG214" s="2248"/>
      <c r="AH214" s="2249"/>
      <c r="AI214" s="2249"/>
      <c r="AJ214" s="2249"/>
      <c r="AK214" s="225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6" t="s">
        <v>1852</v>
      </c>
      <c r="C219" s="2277"/>
      <c r="D219" s="2277"/>
      <c r="E219" s="2277"/>
      <c r="F219" s="2277"/>
      <c r="G219" s="2277"/>
      <c r="H219" s="2277"/>
      <c r="I219" s="2277"/>
      <c r="J219" s="2277"/>
      <c r="K219" s="2277"/>
      <c r="L219" s="2277"/>
      <c r="M219" s="2277"/>
      <c r="N219" s="2277"/>
      <c r="O219" s="2277"/>
      <c r="P219" s="2277"/>
      <c r="Q219" s="2277"/>
      <c r="R219" s="2277"/>
      <c r="S219" s="2277"/>
      <c r="T219" s="2277"/>
      <c r="U219" s="2277"/>
      <c r="V219" s="2277"/>
      <c r="W219" s="2277"/>
      <c r="X219" s="2277"/>
      <c r="Y219" s="2277"/>
      <c r="Z219" s="2277"/>
      <c r="AA219" s="2277"/>
      <c r="AB219" s="2277"/>
      <c r="AC219" s="2277"/>
      <c r="AD219" s="2277"/>
      <c r="AE219" s="2277"/>
      <c r="AF219" s="2277"/>
      <c r="AG219" s="2277"/>
      <c r="AH219" s="2277"/>
      <c r="AI219" s="2277"/>
      <c r="AJ219" s="2277"/>
      <c r="AK219" s="2277"/>
      <c r="AL219" s="2277"/>
      <c r="AM219" s="2277"/>
      <c r="AN219" s="2277"/>
      <c r="AO219" s="2277"/>
      <c r="AP219" s="2277"/>
      <c r="AQ219" s="2277"/>
      <c r="AR219" s="2277"/>
      <c r="AS219" s="2277"/>
      <c r="AT219" s="2277"/>
      <c r="AU219" s="2277"/>
      <c r="AV219" s="2277"/>
      <c r="AW219" s="2277"/>
      <c r="AX219" s="2277"/>
      <c r="AY219" s="2277"/>
      <c r="AZ219" s="2277"/>
      <c r="BA219" s="2277"/>
      <c r="BB219" s="2277"/>
      <c r="BC219" s="2277"/>
      <c r="BD219" s="2278"/>
      <c r="BE219" s="1202"/>
    </row>
    <row r="220" spans="1:57" ht="15.75" customHeight="1">
      <c r="A220" s="1206"/>
      <c r="B220" s="2279"/>
      <c r="C220" s="2280"/>
      <c r="D220" s="2280"/>
      <c r="E220" s="2280"/>
      <c r="F220" s="2280"/>
      <c r="G220" s="2280"/>
      <c r="H220" s="2280"/>
      <c r="I220" s="2280"/>
      <c r="J220" s="2280"/>
      <c r="K220" s="2280"/>
      <c r="L220" s="2280"/>
      <c r="M220" s="2280"/>
      <c r="N220" s="2280"/>
      <c r="O220" s="2280"/>
      <c r="P220" s="2280"/>
      <c r="Q220" s="2280"/>
      <c r="R220" s="2280"/>
      <c r="S220" s="2280"/>
      <c r="T220" s="2280"/>
      <c r="U220" s="2280"/>
      <c r="V220" s="2280"/>
      <c r="W220" s="2280"/>
      <c r="X220" s="2280"/>
      <c r="Y220" s="2280"/>
      <c r="Z220" s="2280"/>
      <c r="AA220" s="2280"/>
      <c r="AB220" s="2280"/>
      <c r="AC220" s="2280"/>
      <c r="AD220" s="2280"/>
      <c r="AE220" s="2280"/>
      <c r="AF220" s="2280"/>
      <c r="AG220" s="2280"/>
      <c r="AH220" s="2280"/>
      <c r="AI220" s="2280"/>
      <c r="AJ220" s="2280"/>
      <c r="AK220" s="2280"/>
      <c r="AL220" s="2280"/>
      <c r="AM220" s="2280"/>
      <c r="AN220" s="2280"/>
      <c r="AO220" s="2280"/>
      <c r="AP220" s="2280"/>
      <c r="AQ220" s="2280"/>
      <c r="AR220" s="2280"/>
      <c r="AS220" s="2280"/>
      <c r="AT220" s="2280"/>
      <c r="AU220" s="2280"/>
      <c r="AV220" s="2280"/>
      <c r="AW220" s="2280"/>
      <c r="AX220" s="2280"/>
      <c r="AY220" s="2280"/>
      <c r="AZ220" s="2280"/>
      <c r="BA220" s="2280"/>
      <c r="BB220" s="2280"/>
      <c r="BC220" s="2280"/>
      <c r="BD220" s="2281"/>
      <c r="BE220" s="1202"/>
    </row>
    <row r="221" spans="1:57" ht="15.75" customHeight="1">
      <c r="A221" s="1206"/>
      <c r="B221" s="2282" t="s">
        <v>1853</v>
      </c>
      <c r="C221" s="2283"/>
      <c r="D221" s="2283"/>
      <c r="E221" s="2283"/>
      <c r="F221" s="2283"/>
      <c r="G221" s="2283"/>
      <c r="H221" s="2283"/>
      <c r="I221" s="2283"/>
      <c r="J221" s="2283"/>
      <c r="K221" s="2283"/>
      <c r="L221" s="2283"/>
      <c r="M221" s="2283"/>
      <c r="N221" s="2283"/>
      <c r="O221" s="2283"/>
      <c r="P221" s="2283"/>
      <c r="Q221" s="2283"/>
      <c r="R221" s="2283"/>
      <c r="S221" s="2283"/>
      <c r="T221" s="2283"/>
      <c r="U221" s="2283"/>
      <c r="V221" s="2283"/>
      <c r="W221" s="2283"/>
      <c r="X221" s="2283"/>
      <c r="Y221" s="2283"/>
      <c r="Z221" s="2283"/>
      <c r="AA221" s="2283"/>
      <c r="AB221" s="2283"/>
      <c r="AC221" s="2283"/>
      <c r="AD221" s="2283"/>
      <c r="AE221" s="2283"/>
      <c r="AF221" s="2283"/>
      <c r="AG221" s="2283"/>
      <c r="AH221" s="2283"/>
      <c r="AI221" s="2283"/>
      <c r="AJ221" s="2283"/>
      <c r="AK221" s="2283"/>
      <c r="AL221" s="2283"/>
      <c r="AM221" s="2283"/>
      <c r="AN221" s="2283"/>
      <c r="AO221" s="2283"/>
      <c r="AP221" s="2283"/>
      <c r="AQ221" s="2283"/>
      <c r="AR221" s="2283"/>
      <c r="AS221" s="2283"/>
      <c r="AT221" s="2283"/>
      <c r="AU221" s="2283"/>
      <c r="AV221" s="2283"/>
      <c r="AW221" s="2283"/>
      <c r="AX221" s="2283"/>
      <c r="AY221" s="2283"/>
      <c r="AZ221" s="2283"/>
      <c r="BA221" s="2283"/>
      <c r="BB221" s="2283"/>
      <c r="BC221" s="2283"/>
      <c r="BD221" s="2284"/>
      <c r="BE221" s="1202"/>
    </row>
    <row r="222" spans="1:57" ht="15.75" customHeight="1">
      <c r="A222" s="1206"/>
      <c r="B222" s="2282" t="s">
        <v>1854</v>
      </c>
      <c r="C222" s="2283"/>
      <c r="D222" s="2283"/>
      <c r="E222" s="2283"/>
      <c r="F222" s="2283"/>
      <c r="G222" s="2283"/>
      <c r="H222" s="2283"/>
      <c r="I222" s="2283"/>
      <c r="J222" s="2283"/>
      <c r="K222" s="2283"/>
      <c r="L222" s="2283"/>
      <c r="M222" s="2283"/>
      <c r="N222" s="2283"/>
      <c r="O222" s="2283"/>
      <c r="P222" s="2283"/>
      <c r="Q222" s="2283"/>
      <c r="R222" s="2283"/>
      <c r="S222" s="2283"/>
      <c r="T222" s="2283"/>
      <c r="U222" s="2283"/>
      <c r="V222" s="2283"/>
      <c r="W222" s="2283"/>
      <c r="X222" s="2283"/>
      <c r="Y222" s="2283"/>
      <c r="Z222" s="2283"/>
      <c r="AA222" s="2283"/>
      <c r="AB222" s="2283"/>
      <c r="AC222" s="2283"/>
      <c r="AD222" s="2283"/>
      <c r="AE222" s="2283"/>
      <c r="AF222" s="2283"/>
      <c r="AG222" s="2283"/>
      <c r="AH222" s="2283"/>
      <c r="AI222" s="2283"/>
      <c r="AJ222" s="2283"/>
      <c r="AK222" s="2283"/>
      <c r="AL222" s="2283"/>
      <c r="AM222" s="2283"/>
      <c r="AN222" s="2283"/>
      <c r="AO222" s="2283"/>
      <c r="AP222" s="2283"/>
      <c r="AQ222" s="2283"/>
      <c r="AR222" s="2283"/>
      <c r="AS222" s="2283"/>
      <c r="AT222" s="2283"/>
      <c r="AU222" s="2283"/>
      <c r="AV222" s="2283"/>
      <c r="AW222" s="2283"/>
      <c r="AX222" s="2283"/>
      <c r="AY222" s="2283"/>
      <c r="AZ222" s="2283"/>
      <c r="BA222" s="2283"/>
      <c r="BB222" s="2283"/>
      <c r="BC222" s="2283"/>
      <c r="BD222" s="228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5" t="s">
        <v>1855</v>
      </c>
      <c r="C224" s="2286"/>
      <c r="D224" s="2286"/>
      <c r="E224" s="2286"/>
      <c r="F224" s="2286"/>
      <c r="G224" s="2286"/>
      <c r="H224" s="2286"/>
      <c r="I224" s="2286"/>
      <c r="J224" s="2286"/>
      <c r="K224" s="2286"/>
      <c r="L224" s="2286"/>
      <c r="M224" s="2286"/>
      <c r="N224" s="2286"/>
      <c r="O224" s="2286"/>
      <c r="P224" s="2286"/>
      <c r="Q224" s="2286"/>
      <c r="R224" s="2286"/>
      <c r="S224" s="2286"/>
      <c r="T224" s="2286"/>
      <c r="U224" s="2286"/>
      <c r="V224" s="2286"/>
      <c r="W224" s="2286"/>
      <c r="X224" s="2286"/>
      <c r="Y224" s="2286"/>
      <c r="Z224" s="2286"/>
      <c r="AA224" s="2286"/>
      <c r="AB224" s="2286"/>
      <c r="AC224" s="2286"/>
      <c r="AD224" s="2286"/>
      <c r="AE224" s="2286"/>
      <c r="AF224" s="2286"/>
      <c r="AG224" s="2286"/>
      <c r="AH224" s="2286"/>
      <c r="AI224" s="2286"/>
      <c r="AJ224" s="2286"/>
      <c r="AK224" s="2286"/>
      <c r="AL224" s="2286"/>
      <c r="AM224" s="2286"/>
      <c r="AN224" s="2286"/>
      <c r="AO224" s="2286"/>
      <c r="AP224" s="2286"/>
      <c r="AQ224" s="2286"/>
      <c r="AR224" s="2286"/>
      <c r="AS224" s="2286"/>
      <c r="AT224" s="2286"/>
      <c r="AU224" s="2286"/>
      <c r="AV224" s="2286"/>
      <c r="AW224" s="2286"/>
      <c r="AX224" s="2286"/>
      <c r="AY224" s="2286"/>
      <c r="AZ224" s="2286"/>
      <c r="BA224" s="2286"/>
      <c r="BB224" s="2286"/>
      <c r="BC224" s="2286"/>
      <c r="BD224" s="228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9" t="s">
        <v>1857</v>
      </c>
      <c r="I228" s="2299"/>
      <c r="J228" s="2299"/>
      <c r="K228" s="2299"/>
      <c r="L228" s="2299"/>
      <c r="M228" s="2299"/>
      <c r="N228" s="2299"/>
      <c r="O228" s="2299"/>
      <c r="P228" s="2299"/>
      <c r="Q228" s="2299"/>
      <c r="R228" s="2299"/>
      <c r="S228" s="2299"/>
      <c r="T228" s="2299"/>
      <c r="U228" s="2299"/>
      <c r="V228" s="2299"/>
      <c r="W228" s="2299"/>
      <c r="X228" s="2299"/>
      <c r="Y228" s="2299"/>
      <c r="Z228" s="2299"/>
      <c r="AA228" s="2299"/>
      <c r="AB228" s="2299"/>
      <c r="AC228" s="2299"/>
      <c r="AD228" s="2299"/>
      <c r="AE228" s="2299"/>
      <c r="AF228" s="2299"/>
      <c r="AG228" s="2299"/>
      <c r="AH228" s="2299"/>
      <c r="AI228" s="2299"/>
      <c r="AJ228" s="2299"/>
      <c r="AK228" s="2299"/>
      <c r="AL228" s="2299"/>
      <c r="AM228" s="2299"/>
      <c r="AN228" s="2299"/>
      <c r="AO228" s="2299"/>
      <c r="AP228" s="2299"/>
      <c r="AQ228" s="2299"/>
      <c r="AR228" s="2299"/>
      <c r="AS228" s="2299"/>
      <c r="AT228" s="2299"/>
      <c r="AU228" s="2299"/>
      <c r="AV228" s="2299"/>
      <c r="AW228" s="2299"/>
      <c r="AX228" s="2299"/>
      <c r="AY228" s="229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8" t="s">
        <v>2496</v>
      </c>
      <c r="I230" s="2298"/>
      <c r="J230" s="2298"/>
      <c r="K230" s="2298"/>
      <c r="L230" s="2298"/>
      <c r="M230" s="2298"/>
      <c r="N230" s="2298"/>
      <c r="O230" s="2298"/>
      <c r="P230" s="2298"/>
      <c r="Q230" s="2298"/>
      <c r="R230" s="2298"/>
      <c r="S230" s="2298"/>
      <c r="T230" s="2298"/>
      <c r="U230" s="2298"/>
      <c r="V230" s="2298"/>
      <c r="W230" s="2298"/>
      <c r="X230" s="2298"/>
      <c r="Y230" s="2298"/>
      <c r="Z230" s="2298"/>
      <c r="AA230" s="2298"/>
      <c r="AB230" s="2298"/>
      <c r="AC230" s="2298"/>
      <c r="AD230" s="2298"/>
      <c r="AE230" s="2298"/>
      <c r="AF230" s="2298"/>
      <c r="AG230" s="2298"/>
      <c r="AH230" s="2298"/>
      <c r="AI230" s="2298"/>
      <c r="AJ230" s="2298"/>
      <c r="AK230" s="2298"/>
      <c r="AL230" s="2298"/>
      <c r="AM230" s="2298"/>
      <c r="AN230" s="2298"/>
      <c r="AO230" s="2298"/>
      <c r="AP230" s="2298"/>
      <c r="AQ230" s="2298"/>
      <c r="AR230" s="2298"/>
      <c r="AS230" s="2298"/>
      <c r="AT230" s="2298"/>
      <c r="AU230" s="2298"/>
      <c r="AV230" s="2298"/>
      <c r="AW230" s="2298"/>
      <c r="AX230" s="2298"/>
      <c r="AY230" s="2298"/>
      <c r="AZ230" s="2298"/>
      <c r="BA230" s="1206"/>
      <c r="BB230" s="1206"/>
      <c r="BC230" s="1206"/>
      <c r="BD230" s="1202"/>
      <c r="BE230" s="1202"/>
    </row>
    <row r="231" spans="1:57" ht="15.75" customHeight="1">
      <c r="A231" s="1206"/>
      <c r="B231" s="1212"/>
      <c r="C231" s="1206"/>
      <c r="D231" s="1206"/>
      <c r="E231" s="1206"/>
      <c r="F231" s="1206"/>
      <c r="G231" s="1206"/>
      <c r="H231" s="2298"/>
      <c r="I231" s="2298"/>
      <c r="J231" s="2298"/>
      <c r="K231" s="2298"/>
      <c r="L231" s="2298"/>
      <c r="M231" s="2298"/>
      <c r="N231" s="2298"/>
      <c r="O231" s="2298"/>
      <c r="P231" s="2298"/>
      <c r="Q231" s="2298"/>
      <c r="R231" s="2298"/>
      <c r="S231" s="2298"/>
      <c r="T231" s="2298"/>
      <c r="U231" s="2298"/>
      <c r="V231" s="2298"/>
      <c r="W231" s="2298"/>
      <c r="X231" s="2298"/>
      <c r="Y231" s="2298"/>
      <c r="Z231" s="2298"/>
      <c r="AA231" s="2298"/>
      <c r="AB231" s="2298"/>
      <c r="AC231" s="2298"/>
      <c r="AD231" s="2298"/>
      <c r="AE231" s="2298"/>
      <c r="AF231" s="2298"/>
      <c r="AG231" s="2298"/>
      <c r="AH231" s="2298"/>
      <c r="AI231" s="2298"/>
      <c r="AJ231" s="2298"/>
      <c r="AK231" s="2298"/>
      <c r="AL231" s="2298"/>
      <c r="AM231" s="2298"/>
      <c r="AN231" s="2298"/>
      <c r="AO231" s="2298"/>
      <c r="AP231" s="2298"/>
      <c r="AQ231" s="2298"/>
      <c r="AR231" s="2298"/>
      <c r="AS231" s="2298"/>
      <c r="AT231" s="2298"/>
      <c r="AU231" s="2298"/>
      <c r="AV231" s="2298"/>
      <c r="AW231" s="2298"/>
      <c r="AX231" s="2298"/>
      <c r="AY231" s="2298"/>
      <c r="AZ231" s="2298"/>
      <c r="BA231" s="1206"/>
      <c r="BB231" s="1206"/>
      <c r="BC231" s="1206"/>
      <c r="BD231" s="1202"/>
      <c r="BE231" s="1202"/>
    </row>
    <row r="232" spans="1:57" ht="15.75" customHeight="1">
      <c r="A232" s="1206"/>
      <c r="B232" s="1212"/>
      <c r="C232" s="1206"/>
      <c r="D232" s="1206"/>
      <c r="E232" s="1206"/>
      <c r="F232" s="1206"/>
      <c r="G232" s="1206"/>
      <c r="H232" s="2298"/>
      <c r="I232" s="2298"/>
      <c r="J232" s="2298"/>
      <c r="K232" s="2298"/>
      <c r="L232" s="2298"/>
      <c r="M232" s="2298"/>
      <c r="N232" s="2298"/>
      <c r="O232" s="2298"/>
      <c r="P232" s="2298"/>
      <c r="Q232" s="2298"/>
      <c r="R232" s="2298"/>
      <c r="S232" s="2298"/>
      <c r="T232" s="2298"/>
      <c r="U232" s="2298"/>
      <c r="V232" s="2298"/>
      <c r="W232" s="2298"/>
      <c r="X232" s="2298"/>
      <c r="Y232" s="2298"/>
      <c r="Z232" s="2298"/>
      <c r="AA232" s="2298"/>
      <c r="AB232" s="2298"/>
      <c r="AC232" s="2298"/>
      <c r="AD232" s="2298"/>
      <c r="AE232" s="2298"/>
      <c r="AF232" s="2298"/>
      <c r="AG232" s="2298"/>
      <c r="AH232" s="2298"/>
      <c r="AI232" s="2298"/>
      <c r="AJ232" s="2298"/>
      <c r="AK232" s="2298"/>
      <c r="AL232" s="2298"/>
      <c r="AM232" s="2298"/>
      <c r="AN232" s="2298"/>
      <c r="AO232" s="2298"/>
      <c r="AP232" s="2298"/>
      <c r="AQ232" s="2298"/>
      <c r="AR232" s="2298"/>
      <c r="AS232" s="2298"/>
      <c r="AT232" s="2298"/>
      <c r="AU232" s="2298"/>
      <c r="AV232" s="2298"/>
      <c r="AW232" s="2298"/>
      <c r="AX232" s="2298"/>
      <c r="AY232" s="2298"/>
      <c r="AZ232" s="2298"/>
      <c r="BA232" s="1206"/>
      <c r="BB232" s="1206"/>
      <c r="BC232" s="1206"/>
      <c r="BD232" s="1202"/>
      <c r="BE232" s="1202"/>
    </row>
    <row r="233" spans="1:57" ht="15.75" customHeight="1">
      <c r="A233" s="1206"/>
      <c r="B233" s="1212"/>
      <c r="C233" s="1206"/>
      <c r="D233" s="1206"/>
      <c r="E233" s="1206"/>
      <c r="F233" s="1206"/>
      <c r="G233" s="1206"/>
      <c r="H233" s="2298"/>
      <c r="I233" s="2298"/>
      <c r="J233" s="2298"/>
      <c r="K233" s="2298"/>
      <c r="L233" s="2298"/>
      <c r="M233" s="2298"/>
      <c r="N233" s="2298"/>
      <c r="O233" s="2298"/>
      <c r="P233" s="2298"/>
      <c r="Q233" s="2298"/>
      <c r="R233" s="2298"/>
      <c r="S233" s="2298"/>
      <c r="T233" s="2298"/>
      <c r="U233" s="2298"/>
      <c r="V233" s="2298"/>
      <c r="W233" s="2298"/>
      <c r="X233" s="2298"/>
      <c r="Y233" s="2298"/>
      <c r="Z233" s="2298"/>
      <c r="AA233" s="2298"/>
      <c r="AB233" s="2298"/>
      <c r="AC233" s="2298"/>
      <c r="AD233" s="2298"/>
      <c r="AE233" s="2298"/>
      <c r="AF233" s="2298"/>
      <c r="AG233" s="2298"/>
      <c r="AH233" s="2298"/>
      <c r="AI233" s="2298"/>
      <c r="AJ233" s="2298"/>
      <c r="AK233" s="2298"/>
      <c r="AL233" s="2298"/>
      <c r="AM233" s="2298"/>
      <c r="AN233" s="2298"/>
      <c r="AO233" s="2298"/>
      <c r="AP233" s="2298"/>
      <c r="AQ233" s="2298"/>
      <c r="AR233" s="2298"/>
      <c r="AS233" s="2298"/>
      <c r="AT233" s="2298"/>
      <c r="AU233" s="2298"/>
      <c r="AV233" s="2298"/>
      <c r="AW233" s="2298"/>
      <c r="AX233" s="2298"/>
      <c r="AY233" s="2298"/>
      <c r="AZ233" s="229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7" t="s">
        <v>1858</v>
      </c>
      <c r="I235" s="2297"/>
      <c r="J235" s="2297"/>
      <c r="K235" s="2297"/>
      <c r="L235" s="2297"/>
      <c r="M235" s="2297"/>
      <c r="N235" s="2297"/>
      <c r="O235" s="2297"/>
      <c r="P235" s="2297"/>
      <c r="Q235" s="2297"/>
      <c r="R235" s="2297"/>
      <c r="S235" s="2297"/>
      <c r="T235" s="2297"/>
      <c r="U235" s="2297"/>
      <c r="V235" s="2297"/>
      <c r="W235" s="2297"/>
      <c r="X235" s="2297"/>
      <c r="Y235" s="2297"/>
      <c r="Z235" s="2297"/>
      <c r="AA235" s="2297"/>
      <c r="AB235" s="2297"/>
      <c r="AC235" s="2297"/>
      <c r="AD235" s="2297"/>
      <c r="AE235" s="2297"/>
      <c r="AF235" s="2297"/>
      <c r="AG235" s="2297"/>
      <c r="AH235" s="2297"/>
      <c r="AI235" s="2297"/>
      <c r="AJ235" s="2297"/>
      <c r="AK235" s="2297"/>
      <c r="AL235" s="2297"/>
      <c r="AM235" s="2297"/>
      <c r="AN235" s="2297"/>
      <c r="AO235" s="2297"/>
      <c r="AP235" s="2297"/>
      <c r="AQ235" s="2297"/>
      <c r="AR235" s="2297"/>
      <c r="AS235" s="2297"/>
      <c r="AT235" s="2297"/>
      <c r="AU235" s="2297"/>
      <c r="AV235" s="229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3" t="s">
        <v>1859</v>
      </c>
      <c r="I237" s="2273"/>
      <c r="J237" s="2273"/>
      <c r="K237" s="2273"/>
      <c r="L237" s="1208"/>
      <c r="M237" s="1208"/>
      <c r="N237" s="1208"/>
      <c r="O237" s="1208"/>
      <c r="P237" s="1208"/>
      <c r="Q237" s="1208"/>
      <c r="R237" s="1208"/>
      <c r="S237" s="2294"/>
      <c r="T237" s="2295"/>
      <c r="U237" s="2295"/>
      <c r="V237" s="2295"/>
      <c r="W237" s="2295"/>
      <c r="X237" s="2295"/>
      <c r="Y237" s="2295"/>
      <c r="Z237" s="2295"/>
      <c r="AA237" s="2295"/>
      <c r="AB237" s="2295"/>
      <c r="AC237" s="2295"/>
      <c r="AD237" s="2295"/>
      <c r="AE237" s="2295"/>
      <c r="AF237" s="2295"/>
      <c r="AG237" s="2295"/>
      <c r="AH237" s="2295"/>
      <c r="AI237" s="2295"/>
      <c r="AJ237" s="229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3" t="s">
        <v>1860</v>
      </c>
      <c r="I239" s="2273"/>
      <c r="J239" s="2273"/>
      <c r="K239" s="1210"/>
      <c r="L239" s="1208"/>
      <c r="M239" s="1208"/>
      <c r="N239" s="1208"/>
      <c r="O239" s="1208"/>
      <c r="P239" s="1208"/>
      <c r="Q239" s="1208"/>
      <c r="R239" s="1208"/>
      <c r="S239" s="2291"/>
      <c r="T239" s="2292"/>
      <c r="U239" s="2292"/>
      <c r="V239" s="2292"/>
      <c r="W239" s="2292"/>
      <c r="X239" s="2292"/>
      <c r="Y239" s="2292"/>
      <c r="Z239" s="2292"/>
      <c r="AA239" s="2292"/>
      <c r="AB239" s="2292"/>
      <c r="AC239" s="2292"/>
      <c r="AD239" s="2292"/>
      <c r="AE239" s="2292"/>
      <c r="AF239" s="2292"/>
      <c r="AG239" s="2292"/>
      <c r="AH239" s="2292"/>
      <c r="AI239" s="2292"/>
      <c r="AJ239" s="229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3" t="s">
        <v>443</v>
      </c>
      <c r="I241" s="2273"/>
      <c r="J241" s="1210"/>
      <c r="K241" s="1210"/>
      <c r="L241" s="1208"/>
      <c r="M241" s="1208"/>
      <c r="N241" s="1208"/>
      <c r="O241" s="1208"/>
      <c r="P241" s="1208"/>
      <c r="Q241" s="1208"/>
      <c r="R241" s="1208"/>
      <c r="S241" s="2291"/>
      <c r="T241" s="2292"/>
      <c r="U241" s="2292"/>
      <c r="V241" s="2292"/>
      <c r="W241" s="2292"/>
      <c r="X241" s="2292"/>
      <c r="Y241" s="2292"/>
      <c r="Z241" s="2292"/>
      <c r="AA241" s="2292"/>
      <c r="AB241" s="2292"/>
      <c r="AC241" s="2292"/>
      <c r="AD241" s="2292"/>
      <c r="AE241" s="2292"/>
      <c r="AF241" s="2292"/>
      <c r="AG241" s="2292"/>
      <c r="AH241" s="2292"/>
      <c r="AI241" s="2292"/>
      <c r="AJ241" s="229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4" t="s">
        <v>1861</v>
      </c>
      <c r="I243" s="2274"/>
      <c r="J243" s="2274"/>
      <c r="K243" s="2274"/>
      <c r="L243" s="2274"/>
      <c r="M243" s="2274"/>
      <c r="N243" s="2274"/>
      <c r="O243" s="2274"/>
      <c r="P243" s="1208"/>
      <c r="Q243" s="1208"/>
      <c r="R243" s="1208"/>
      <c r="S243" s="2291"/>
      <c r="T243" s="2292"/>
      <c r="U243" s="2292"/>
      <c r="V243" s="2292"/>
      <c r="W243" s="2292"/>
      <c r="X243" s="2292"/>
      <c r="Y243" s="2292"/>
      <c r="Z243" s="2292"/>
      <c r="AA243" s="2292"/>
      <c r="AB243" s="2292"/>
      <c r="AC243" s="2292"/>
      <c r="AD243" s="2292"/>
      <c r="AE243" s="2292"/>
      <c r="AF243" s="2292"/>
      <c r="AG243" s="2292"/>
      <c r="AH243" s="2292"/>
      <c r="AI243" s="2292"/>
      <c r="AJ243" s="229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5" t="s">
        <v>1862</v>
      </c>
      <c r="I245" s="2275"/>
      <c r="J245" s="1208"/>
      <c r="K245" s="1208"/>
      <c r="L245" s="1208"/>
      <c r="M245" s="1208"/>
      <c r="N245" s="1208"/>
      <c r="O245" s="1208"/>
      <c r="P245" s="1208"/>
      <c r="Q245" s="1208"/>
      <c r="R245" s="1208"/>
      <c r="S245" s="2288"/>
      <c r="T245" s="2289"/>
      <c r="U245" s="2289"/>
      <c r="V245" s="2289"/>
      <c r="W245" s="2289"/>
      <c r="X245" s="2289"/>
      <c r="Y245" s="2289"/>
      <c r="Z245" s="2289"/>
      <c r="AA245" s="2289"/>
      <c r="AB245" s="2289"/>
      <c r="AC245" s="2289"/>
      <c r="AD245" s="2289"/>
      <c r="AE245" s="2289"/>
      <c r="AF245" s="2289"/>
      <c r="AG245" s="2289"/>
      <c r="AH245" s="2289"/>
      <c r="AI245" s="2289"/>
      <c r="AJ245" s="229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7" workbookViewId="0">
      <selection activeCell="AB50" sqref="AB50:AF50"/>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41" t="s">
        <v>1388</v>
      </c>
      <c r="B1" s="2641"/>
      <c r="C1" s="2641"/>
      <c r="D1" s="2641"/>
      <c r="E1" s="2641"/>
      <c r="F1" s="2641"/>
      <c r="G1" s="2641"/>
      <c r="H1" s="2641"/>
      <c r="I1" s="2641"/>
      <c r="J1" s="2641"/>
      <c r="K1" s="2641"/>
      <c r="L1" s="2641"/>
      <c r="M1" s="2641"/>
      <c r="N1" s="2641"/>
      <c r="O1" s="2641"/>
      <c r="P1" s="2641"/>
      <c r="Q1" s="2641"/>
      <c r="R1" s="2641"/>
      <c r="S1" s="2641"/>
      <c r="T1" s="2641"/>
      <c r="U1" s="2641"/>
      <c r="V1" s="2641"/>
      <c r="W1" s="2641"/>
      <c r="X1" s="2641"/>
      <c r="Y1" s="2641"/>
      <c r="Z1" s="2641"/>
      <c r="AA1" s="2641"/>
      <c r="AB1" s="2641"/>
      <c r="AC1" s="2641"/>
      <c r="AD1" s="2641"/>
      <c r="AE1" s="2641"/>
      <c r="AF1" s="2641"/>
      <c r="AG1" s="2641"/>
      <c r="AH1" s="2641"/>
      <c r="AI1" s="2641"/>
      <c r="AJ1" s="2641"/>
      <c r="AK1" s="2641"/>
      <c r="AL1" s="2641"/>
      <c r="AM1" s="2641"/>
      <c r="AN1" s="2641"/>
    </row>
    <row r="2" spans="1:40" ht="13" customHeight="1" thickBot="1">
      <c r="A2" s="2642"/>
      <c r="B2" s="2642"/>
      <c r="C2" s="2642"/>
      <c r="D2" s="2642"/>
      <c r="E2" s="2642"/>
      <c r="F2" s="2642"/>
      <c r="G2" s="2642"/>
      <c r="H2" s="2642"/>
      <c r="I2" s="2642"/>
      <c r="J2" s="2642"/>
      <c r="K2" s="2642"/>
      <c r="L2" s="2642"/>
      <c r="M2" s="2642"/>
      <c r="N2" s="2642"/>
      <c r="O2" s="2642"/>
      <c r="P2" s="2642"/>
      <c r="Q2" s="2642"/>
      <c r="R2" s="2642"/>
      <c r="S2" s="2642"/>
      <c r="T2" s="2642"/>
      <c r="U2" s="2642"/>
      <c r="V2" s="2642"/>
      <c r="W2" s="2642"/>
      <c r="X2" s="2642"/>
      <c r="Y2" s="2642"/>
      <c r="Z2" s="2642"/>
      <c r="AA2" s="2642"/>
      <c r="AB2" s="2642"/>
      <c r="AC2" s="2642"/>
      <c r="AD2" s="2642"/>
      <c r="AE2" s="2642"/>
      <c r="AF2" s="2642"/>
      <c r="AG2" s="2642"/>
      <c r="AH2" s="2642"/>
      <c r="AI2" s="2642"/>
      <c r="AJ2" s="2642"/>
      <c r="AK2" s="2642"/>
      <c r="AL2" s="2642"/>
      <c r="AM2" s="2642"/>
      <c r="AN2" s="2642"/>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NON-DDA/
NON-QCT Building(s)</v>
      </c>
      <c r="U7" s="2643"/>
      <c r="V7" s="2643"/>
      <c r="W7" s="2643"/>
      <c r="X7" s="2643"/>
      <c r="Y7" s="2643" t="str">
        <f>IF(T25=100%,"",'Sources and Basis Breakdown'!G2)</f>
        <v/>
      </c>
      <c r="Z7" s="2643"/>
      <c r="AA7" s="2643"/>
      <c r="AB7" s="2643"/>
      <c r="AC7" s="2643"/>
      <c r="AD7" s="2643" t="str">
        <f xml:space="preserve"> IF(T25=100%, 'Sources and Basis Breakdown'!J2,'Sources and Basis Breakdown'!I2)</f>
        <v>30% PVC for Acquisition
NON-DDA/
NON-QCT Building(s)</v>
      </c>
      <c r="AE7" s="2643"/>
      <c r="AF7" s="2643"/>
      <c r="AG7" s="2643"/>
      <c r="AH7" s="2643"/>
      <c r="AI7" s="2643" t="str">
        <f>IF(T25=100%,"",'Sources and Basis Breakdown'!J2)</f>
        <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2" t="s">
        <v>375</v>
      </c>
      <c r="C11" s="2623"/>
      <c r="D11" s="2623"/>
      <c r="E11" s="2623"/>
      <c r="F11" s="2623"/>
      <c r="G11" s="2623"/>
      <c r="H11" s="2623"/>
      <c r="I11" s="2623"/>
      <c r="J11" s="2623"/>
      <c r="K11" s="2623"/>
      <c r="L11" s="2623"/>
      <c r="M11" s="2623"/>
      <c r="N11" s="2623"/>
      <c r="O11" s="2623"/>
      <c r="P11" s="2623"/>
      <c r="Q11" s="2623"/>
      <c r="R11" s="2623"/>
      <c r="S11" s="2624"/>
      <c r="T11" s="2644">
        <f ca="1">IF('Sources and Basis Breakdown'!F107=0,'Sources and Basis Breakdown'!E107,'Sources and Basis Breakdown'!F107)</f>
        <v>34569658.941176198</v>
      </c>
      <c r="U11" s="2645"/>
      <c r="V11" s="2645"/>
      <c r="W11" s="2645"/>
      <c r="X11" s="2645"/>
      <c r="Y11" s="2644">
        <f>IF(Y7="",0,IF('Sources and Basis Breakdown'!G107+'Sources and Basis Breakdown'!F107='Sources and Basis Breakdown'!E107,'Sources and Basis Breakdown'!G107,0))</f>
        <v>0</v>
      </c>
      <c r="Z11" s="2645"/>
      <c r="AA11" s="2645"/>
      <c r="AB11" s="2645"/>
      <c r="AC11" s="2645"/>
      <c r="AD11" s="2645">
        <f>IF('Sources and Basis Breakdown'!I107=0,'Sources and Basis Breakdown'!H107,'Sources and Basis Breakdown'!I107)</f>
        <v>0</v>
      </c>
      <c r="AE11" s="2645"/>
      <c r="AF11" s="2645"/>
      <c r="AG11" s="2645"/>
      <c r="AH11" s="2645"/>
      <c r="AI11" s="2645">
        <f>IF(Y7="",0,IF('Sources and Basis Breakdown'!I107+'Sources and Basis Breakdown'!J107='Sources and Basis Breakdown'!H107,'Sources and Basis Breakdown'!J107,0))</f>
        <v>0</v>
      </c>
      <c r="AJ11" s="2645"/>
      <c r="AK11" s="2645"/>
      <c r="AL11" s="2645"/>
      <c r="AM11" s="2645"/>
    </row>
    <row r="12" spans="1:40" ht="13" customHeight="1">
      <c r="B12" s="2637" t="s">
        <v>505</v>
      </c>
      <c r="C12" s="1287"/>
      <c r="D12" s="1287"/>
      <c r="E12" s="1287"/>
      <c r="F12" s="1287"/>
      <c r="G12" s="1287"/>
      <c r="H12" s="1287"/>
      <c r="I12" s="1287"/>
      <c r="J12" s="1287"/>
      <c r="K12" s="1287"/>
      <c r="L12" s="1287"/>
      <c r="M12" s="1287"/>
      <c r="N12" s="1287"/>
      <c r="O12" s="1287"/>
      <c r="P12" s="1287"/>
      <c r="Q12" s="1287"/>
      <c r="R12" s="1287"/>
      <c r="S12" s="2638"/>
      <c r="T12" s="2610"/>
      <c r="U12" s="2611"/>
      <c r="V12" s="2611"/>
      <c r="W12" s="2611"/>
      <c r="X12" s="2612"/>
      <c r="Y12" s="2610"/>
      <c r="Z12" s="2611"/>
      <c r="AA12" s="2611"/>
      <c r="AB12" s="2611"/>
      <c r="AC12" s="2612"/>
      <c r="AD12" s="2610"/>
      <c r="AE12" s="2611"/>
      <c r="AF12" s="2611"/>
      <c r="AG12" s="2611"/>
      <c r="AH12" s="2612"/>
      <c r="AI12" s="2610"/>
      <c r="AJ12" s="2611"/>
      <c r="AK12" s="2611"/>
      <c r="AL12" s="2611"/>
      <c r="AM12" s="2612"/>
    </row>
    <row r="13" spans="1:40" ht="13" customHeight="1">
      <c r="B13" s="467"/>
      <c r="C13" s="2639" t="s">
        <v>506</v>
      </c>
      <c r="D13" s="2639"/>
      <c r="E13" s="2639"/>
      <c r="F13" s="2639"/>
      <c r="G13" s="2639"/>
      <c r="H13" s="2639"/>
      <c r="I13" s="2639"/>
      <c r="J13" s="2639"/>
      <c r="K13" s="2639"/>
      <c r="L13" s="2639"/>
      <c r="M13" s="2639"/>
      <c r="N13" s="2639"/>
      <c r="O13" s="2639"/>
      <c r="P13" s="2639"/>
      <c r="Q13" s="2639"/>
      <c r="R13" s="2639"/>
      <c r="S13" s="2640"/>
      <c r="T13" s="2646"/>
      <c r="U13" s="2647"/>
      <c r="V13" s="2647"/>
      <c r="W13" s="2647"/>
      <c r="X13" s="2647"/>
      <c r="Y13" s="2646"/>
      <c r="Z13" s="2647"/>
      <c r="AA13" s="2647"/>
      <c r="AB13" s="2647"/>
      <c r="AC13" s="2647"/>
      <c r="AD13" s="2647"/>
      <c r="AE13" s="2647"/>
      <c r="AF13" s="2647"/>
      <c r="AG13" s="2647"/>
      <c r="AH13" s="2647"/>
      <c r="AI13" s="2647"/>
      <c r="AJ13" s="2647"/>
      <c r="AK13" s="2647"/>
      <c r="AL13" s="2647"/>
      <c r="AM13" s="2647"/>
    </row>
    <row r="14" spans="1:40" ht="13" customHeight="1">
      <c r="B14" s="467"/>
      <c r="C14" s="2639" t="s">
        <v>507</v>
      </c>
      <c r="D14" s="2639"/>
      <c r="E14" s="2639"/>
      <c r="F14" s="2639"/>
      <c r="G14" s="2639"/>
      <c r="H14" s="2639"/>
      <c r="I14" s="2639"/>
      <c r="J14" s="2639"/>
      <c r="K14" s="2639"/>
      <c r="L14" s="2639"/>
      <c r="M14" s="2639"/>
      <c r="N14" s="2639"/>
      <c r="O14" s="2639"/>
      <c r="P14" s="2639"/>
      <c r="Q14" s="2639"/>
      <c r="R14" s="2639"/>
      <c r="S14" s="2640"/>
      <c r="T14" s="2613"/>
      <c r="U14" s="2614"/>
      <c r="V14" s="2614"/>
      <c r="W14" s="2614"/>
      <c r="X14" s="2614"/>
      <c r="Y14" s="2613"/>
      <c r="Z14" s="2614"/>
      <c r="AA14" s="2614"/>
      <c r="AB14" s="2614"/>
      <c r="AC14" s="2614"/>
      <c r="AD14" s="2614"/>
      <c r="AE14" s="2614"/>
      <c r="AF14" s="2614"/>
      <c r="AG14" s="2614"/>
      <c r="AH14" s="2614"/>
      <c r="AI14" s="2614"/>
      <c r="AJ14" s="2614"/>
      <c r="AK14" s="2614"/>
      <c r="AL14" s="2614"/>
      <c r="AM14" s="2614"/>
    </row>
    <row r="15" spans="1:40" ht="13" customHeight="1">
      <c r="B15" s="467"/>
      <c r="C15" s="2639" t="s">
        <v>508</v>
      </c>
      <c r="D15" s="2639"/>
      <c r="E15" s="2639"/>
      <c r="F15" s="2639"/>
      <c r="G15" s="2639"/>
      <c r="H15" s="2639"/>
      <c r="I15" s="2639"/>
      <c r="J15" s="2639"/>
      <c r="K15" s="2639"/>
      <c r="L15" s="2639"/>
      <c r="M15" s="2639"/>
      <c r="N15" s="2639"/>
      <c r="O15" s="2639"/>
      <c r="P15" s="2639"/>
      <c r="Q15" s="2639"/>
      <c r="R15" s="2639"/>
      <c r="S15" s="2640"/>
      <c r="T15" s="2613"/>
      <c r="U15" s="2614"/>
      <c r="V15" s="2614"/>
      <c r="W15" s="2614"/>
      <c r="X15" s="2614"/>
      <c r="Y15" s="2613"/>
      <c r="Z15" s="2614"/>
      <c r="AA15" s="2614"/>
      <c r="AB15" s="2614"/>
      <c r="AC15" s="2614"/>
      <c r="AD15" s="2614"/>
      <c r="AE15" s="2614"/>
      <c r="AF15" s="2614"/>
      <c r="AG15" s="2614"/>
      <c r="AH15" s="2614"/>
      <c r="AI15" s="2614"/>
      <c r="AJ15" s="2614"/>
      <c r="AK15" s="2614"/>
      <c r="AL15" s="2614"/>
      <c r="AM15" s="2614"/>
    </row>
    <row r="16" spans="1:40" ht="13" customHeight="1">
      <c r="B16" s="467"/>
      <c r="C16" s="2639" t="s">
        <v>814</v>
      </c>
      <c r="D16" s="2639"/>
      <c r="E16" s="2639"/>
      <c r="F16" s="2639"/>
      <c r="G16" s="2639"/>
      <c r="H16" s="2639"/>
      <c r="I16" s="2639"/>
      <c r="J16" s="2639"/>
      <c r="K16" s="2639"/>
      <c r="L16" s="2639"/>
      <c r="M16" s="2639"/>
      <c r="N16" s="2639"/>
      <c r="O16" s="2639"/>
      <c r="P16" s="2639"/>
      <c r="Q16" s="2639"/>
      <c r="R16" s="2639"/>
      <c r="S16" s="2640"/>
      <c r="T16" s="2613"/>
      <c r="U16" s="2614"/>
      <c r="V16" s="2614"/>
      <c r="W16" s="2614"/>
      <c r="X16" s="2614"/>
      <c r="Y16" s="2613"/>
      <c r="Z16" s="2614"/>
      <c r="AA16" s="2614"/>
      <c r="AB16" s="2614"/>
      <c r="AC16" s="2614"/>
      <c r="AD16" s="2614"/>
      <c r="AE16" s="2614"/>
      <c r="AF16" s="2614"/>
      <c r="AG16" s="2614"/>
      <c r="AH16" s="2614"/>
      <c r="AI16" s="2614"/>
      <c r="AJ16" s="2614"/>
      <c r="AK16" s="2614"/>
      <c r="AL16" s="2614"/>
      <c r="AM16" s="2614"/>
    </row>
    <row r="17" spans="1:40" ht="13" customHeight="1">
      <c r="B17" s="467"/>
      <c r="C17" s="2639" t="s">
        <v>509</v>
      </c>
      <c r="D17" s="2639"/>
      <c r="E17" s="2639"/>
      <c r="F17" s="2639"/>
      <c r="G17" s="2639"/>
      <c r="H17" s="2639"/>
      <c r="I17" s="2639"/>
      <c r="J17" s="2639"/>
      <c r="K17" s="2639"/>
      <c r="L17" s="2639"/>
      <c r="M17" s="2639"/>
      <c r="N17" s="2639"/>
      <c r="O17" s="2639"/>
      <c r="P17" s="2639"/>
      <c r="Q17" s="2639"/>
      <c r="R17" s="2639"/>
      <c r="S17" s="2640"/>
      <c r="T17" s="2613"/>
      <c r="U17" s="2614"/>
      <c r="V17" s="2614"/>
      <c r="W17" s="2614"/>
      <c r="X17" s="2614"/>
      <c r="Y17" s="2613"/>
      <c r="Z17" s="2614"/>
      <c r="AA17" s="2614"/>
      <c r="AB17" s="2614"/>
      <c r="AC17" s="2614"/>
      <c r="AD17" s="2614"/>
      <c r="AE17" s="2614"/>
      <c r="AF17" s="2614"/>
      <c r="AG17" s="2614"/>
      <c r="AH17" s="2614"/>
      <c r="AI17" s="2614"/>
      <c r="AJ17" s="2614"/>
      <c r="AK17" s="2614"/>
      <c r="AL17" s="2614"/>
      <c r="AM17" s="2614"/>
    </row>
    <row r="18" spans="1:40" ht="13" customHeight="1">
      <c r="A18"/>
      <c r="B18" s="1194"/>
      <c r="C18" s="1726" t="s">
        <v>979</v>
      </c>
      <c r="D18" s="1726"/>
      <c r="E18" s="1726"/>
      <c r="F18" s="1726"/>
      <c r="G18" s="1726"/>
      <c r="H18" s="1726"/>
      <c r="I18" s="1726"/>
      <c r="J18" s="1726"/>
      <c r="K18" s="1726"/>
      <c r="L18" s="1726"/>
      <c r="M18" s="1726"/>
      <c r="N18" s="1726"/>
      <c r="O18" s="1726"/>
      <c r="P18" s="1726"/>
      <c r="Q18" s="1726"/>
      <c r="R18" s="1726"/>
      <c r="S18" s="1727"/>
      <c r="T18" s="2613"/>
      <c r="U18" s="2614"/>
      <c r="V18" s="2614"/>
      <c r="W18" s="2614"/>
      <c r="X18" s="2614"/>
      <c r="Y18" s="2613"/>
      <c r="Z18" s="2614"/>
      <c r="AA18" s="2614"/>
      <c r="AB18" s="2614"/>
      <c r="AC18" s="2614"/>
      <c r="AD18" s="2614"/>
      <c r="AE18" s="2614"/>
      <c r="AF18" s="2614"/>
      <c r="AG18" s="2614"/>
      <c r="AH18" s="2614"/>
      <c r="AI18" s="2614"/>
      <c r="AJ18" s="2614"/>
      <c r="AK18" s="2614"/>
      <c r="AL18" s="2614"/>
      <c r="AM18" s="2614"/>
    </row>
    <row r="19" spans="1:40" ht="13" customHeight="1">
      <c r="B19" s="1194"/>
      <c r="C19" s="1726" t="s">
        <v>979</v>
      </c>
      <c r="D19" s="1726"/>
      <c r="E19" s="1726"/>
      <c r="F19" s="1726"/>
      <c r="G19" s="1726"/>
      <c r="H19" s="1726"/>
      <c r="I19" s="1726"/>
      <c r="J19" s="1726"/>
      <c r="K19" s="1726"/>
      <c r="L19" s="1726"/>
      <c r="M19" s="1726"/>
      <c r="N19" s="1726"/>
      <c r="O19" s="1726"/>
      <c r="P19" s="1726"/>
      <c r="Q19" s="1726"/>
      <c r="R19" s="1726"/>
      <c r="S19" s="1727"/>
      <c r="T19" s="2613"/>
      <c r="U19" s="2614"/>
      <c r="V19" s="2614"/>
      <c r="W19" s="2614"/>
      <c r="X19" s="2614"/>
      <c r="Y19" s="2613"/>
      <c r="Z19" s="2614"/>
      <c r="AA19" s="2614"/>
      <c r="AB19" s="2614"/>
      <c r="AC19" s="2614"/>
      <c r="AD19" s="2614"/>
      <c r="AE19" s="2614"/>
      <c r="AF19" s="2614"/>
      <c r="AG19" s="2614"/>
      <c r="AH19" s="2614"/>
      <c r="AI19" s="2614"/>
      <c r="AJ19" s="2614"/>
      <c r="AK19" s="2614"/>
      <c r="AL19" s="2614"/>
      <c r="AM19" s="2614"/>
    </row>
    <row r="20" spans="1:40" ht="13" customHeight="1">
      <c r="B20" s="2622" t="s">
        <v>510</v>
      </c>
      <c r="C20" s="2623"/>
      <c r="D20" s="2623"/>
      <c r="E20" s="2623"/>
      <c r="F20" s="2623"/>
      <c r="G20" s="2623"/>
      <c r="H20" s="2623"/>
      <c r="I20" s="2623"/>
      <c r="J20" s="2623"/>
      <c r="K20" s="2623"/>
      <c r="L20" s="2623"/>
      <c r="M20" s="2623"/>
      <c r="N20" s="2623"/>
      <c r="O20" s="2623"/>
      <c r="P20" s="2623"/>
      <c r="Q20" s="2623"/>
      <c r="R20" s="2623"/>
      <c r="S20" s="2624"/>
      <c r="T20" s="2615">
        <f>SUM(T13:X19)</f>
        <v>0</v>
      </c>
      <c r="U20" s="2616"/>
      <c r="V20" s="2616"/>
      <c r="W20" s="2616"/>
      <c r="X20" s="2616"/>
      <c r="Y20" s="2615">
        <f>SUM(Y13:AC19)</f>
        <v>0</v>
      </c>
      <c r="Z20" s="2616"/>
      <c r="AA20" s="2616"/>
      <c r="AB20" s="2616"/>
      <c r="AC20" s="2616"/>
      <c r="AD20" s="2617">
        <f>SUM(AD13:AH19)</f>
        <v>0</v>
      </c>
      <c r="AE20" s="2618"/>
      <c r="AF20" s="2618"/>
      <c r="AG20" s="2618"/>
      <c r="AH20" s="2615"/>
      <c r="AI20" s="2617">
        <f>SUM(AI13:AM19)</f>
        <v>0</v>
      </c>
      <c r="AJ20" s="2618"/>
      <c r="AK20" s="2618"/>
      <c r="AL20" s="2618"/>
      <c r="AM20" s="2615"/>
    </row>
    <row r="21" spans="1:40" ht="13" customHeight="1">
      <c r="B21" s="2622" t="s">
        <v>1371</v>
      </c>
      <c r="C21" s="2623"/>
      <c r="D21" s="2623"/>
      <c r="E21" s="2623"/>
      <c r="F21" s="2623"/>
      <c r="G21" s="2623"/>
      <c r="H21" s="2623"/>
      <c r="I21" s="2623"/>
      <c r="J21" s="2623"/>
      <c r="K21" s="2623"/>
      <c r="L21" s="2623"/>
      <c r="M21" s="2623"/>
      <c r="N21" s="2623"/>
      <c r="O21" s="2623"/>
      <c r="P21" s="2623"/>
      <c r="Q21" s="2623"/>
      <c r="R21" s="2623"/>
      <c r="S21" s="2624"/>
      <c r="T21" s="2613"/>
      <c r="U21" s="2614"/>
      <c r="V21" s="2614"/>
      <c r="W21" s="2614"/>
      <c r="X21" s="2614"/>
      <c r="Y21" s="2613"/>
      <c r="Z21" s="2614"/>
      <c r="AA21" s="2614"/>
      <c r="AB21" s="2614"/>
      <c r="AC21" s="2614"/>
      <c r="AD21" s="2610"/>
      <c r="AE21" s="2611"/>
      <c r="AF21" s="2611"/>
      <c r="AG21" s="2611"/>
      <c r="AH21" s="2612"/>
      <c r="AI21" s="2610"/>
      <c r="AJ21" s="2611"/>
      <c r="AK21" s="2611"/>
      <c r="AL21" s="2611"/>
      <c r="AM21" s="2612"/>
    </row>
    <row r="22" spans="1:40" ht="13" customHeight="1">
      <c r="B22" s="2622" t="s">
        <v>511</v>
      </c>
      <c r="C22" s="2623"/>
      <c r="D22" s="2623"/>
      <c r="E22" s="2623"/>
      <c r="F22" s="2623"/>
      <c r="G22" s="2623"/>
      <c r="H22" s="2623"/>
      <c r="I22" s="2623"/>
      <c r="J22" s="2623"/>
      <c r="K22" s="2623"/>
      <c r="L22" s="2623"/>
      <c r="M22" s="2623"/>
      <c r="N22" s="2623"/>
      <c r="O22" s="2623"/>
      <c r="P22" s="2623"/>
      <c r="Q22" s="2623"/>
      <c r="R22" s="2623"/>
      <c r="S22" s="2624"/>
      <c r="T22" s="2648">
        <f>(ABS(T20)+ABS(T21))*-1</f>
        <v>0</v>
      </c>
      <c r="U22" s="2649"/>
      <c r="V22" s="2649"/>
      <c r="W22" s="2649"/>
      <c r="X22" s="2649"/>
      <c r="Y22" s="2648">
        <f>(Y20+Y21)*-1</f>
        <v>0</v>
      </c>
      <c r="Z22" s="2649"/>
      <c r="AA22" s="2649"/>
      <c r="AB22" s="2649"/>
      <c r="AC22" s="2649"/>
      <c r="AD22" s="2650">
        <f>(AD20)*-1</f>
        <v>0</v>
      </c>
      <c r="AE22" s="2651"/>
      <c r="AF22" s="2651"/>
      <c r="AG22" s="2651"/>
      <c r="AH22" s="2648"/>
      <c r="AI22" s="2650">
        <f>(AI20)*-1</f>
        <v>0</v>
      </c>
      <c r="AJ22" s="2651"/>
      <c r="AK22" s="2651"/>
      <c r="AL22" s="2651"/>
      <c r="AM22" s="2648"/>
    </row>
    <row r="23" spans="1:40" ht="13" customHeight="1">
      <c r="B23" s="2622" t="s">
        <v>512</v>
      </c>
      <c r="C23" s="2623"/>
      <c r="D23" s="2623"/>
      <c r="E23" s="2623"/>
      <c r="F23" s="2623"/>
      <c r="G23" s="2623"/>
      <c r="H23" s="2623"/>
      <c r="I23" s="2623"/>
      <c r="J23" s="2623"/>
      <c r="K23" s="2623"/>
      <c r="L23" s="2623"/>
      <c r="M23" s="2623"/>
      <c r="N23" s="2623"/>
      <c r="O23" s="2623"/>
      <c r="P23" s="2623"/>
      <c r="Q23" s="2623"/>
      <c r="R23" s="2623"/>
      <c r="S23" s="2624"/>
      <c r="T23" s="2615">
        <f ca="1">T11+T22</f>
        <v>34569658.941176198</v>
      </c>
      <c r="U23" s="2616"/>
      <c r="V23" s="2616"/>
      <c r="W23" s="2616"/>
      <c r="X23" s="2616"/>
      <c r="Y23" s="2615">
        <f>Y11+Y22</f>
        <v>0</v>
      </c>
      <c r="Z23" s="2616"/>
      <c r="AA23" s="2616"/>
      <c r="AB23" s="2616"/>
      <c r="AC23" s="2616"/>
      <c r="AD23" s="2615">
        <f>AD11+AD22</f>
        <v>0</v>
      </c>
      <c r="AE23" s="2616"/>
      <c r="AF23" s="2616"/>
      <c r="AG23" s="2616"/>
      <c r="AH23" s="2616"/>
      <c r="AI23" s="2615">
        <f>AI11+AI22</f>
        <v>0</v>
      </c>
      <c r="AJ23" s="2616"/>
      <c r="AK23" s="2616"/>
      <c r="AL23" s="2616"/>
      <c r="AM23" s="2616"/>
    </row>
    <row r="24" spans="1:40" ht="13" customHeight="1">
      <c r="B24" s="2622" t="s">
        <v>980</v>
      </c>
      <c r="C24" s="2623"/>
      <c r="D24" s="2623"/>
      <c r="E24" s="2623"/>
      <c r="F24" s="2623"/>
      <c r="G24" s="2623"/>
      <c r="H24" s="2623"/>
      <c r="I24" s="2623"/>
      <c r="J24" s="2623"/>
      <c r="K24" s="2623"/>
      <c r="L24" s="2623"/>
      <c r="M24" s="2623"/>
      <c r="N24" s="2623"/>
      <c r="O24" s="2623"/>
      <c r="P24" s="2623"/>
      <c r="Q24" s="2623"/>
      <c r="R24" s="2623"/>
      <c r="S24" s="2624"/>
      <c r="T24" s="2617">
        <f>Application!AJ1052</f>
        <v>78486514</v>
      </c>
      <c r="U24" s="2618"/>
      <c r="V24" s="2618"/>
      <c r="W24" s="2618"/>
      <c r="X24" s="2618"/>
      <c r="Y24" s="2618"/>
      <c r="Z24" s="2618"/>
      <c r="AA24" s="2618"/>
      <c r="AB24" s="2618"/>
      <c r="AC24" s="2618"/>
      <c r="AD24" s="2618"/>
      <c r="AE24" s="2618"/>
      <c r="AF24" s="2618"/>
      <c r="AG24" s="2618"/>
      <c r="AH24" s="2618"/>
      <c r="AI24" s="2618"/>
      <c r="AJ24" s="2618"/>
      <c r="AK24" s="2618"/>
      <c r="AL24" s="2618"/>
      <c r="AM24" s="2615"/>
    </row>
    <row r="25" spans="1:40" ht="13" customHeight="1">
      <c r="B25" s="2626" t="s">
        <v>1372</v>
      </c>
      <c r="C25" s="2627"/>
      <c r="D25" s="2627"/>
      <c r="E25" s="2627"/>
      <c r="F25" s="2627"/>
      <c r="G25" s="2627"/>
      <c r="H25" s="2627"/>
      <c r="I25" s="2627"/>
      <c r="J25" s="2627"/>
      <c r="K25" s="2627"/>
      <c r="L25" s="2627"/>
      <c r="M25" s="2627"/>
      <c r="N25" s="2627"/>
      <c r="O25" s="2627"/>
      <c r="P25" s="2627"/>
      <c r="Q25" s="2627"/>
      <c r="R25" s="2627"/>
      <c r="S25" s="2628"/>
      <c r="T25" s="2652">
        <f>IF(OR(Application!T196="yes",Application!T195="yes"),1.3,1)</f>
        <v>1</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3" customHeight="1">
      <c r="B26" s="2622" t="s">
        <v>513</v>
      </c>
      <c r="C26" s="2623"/>
      <c r="D26" s="2623"/>
      <c r="E26" s="2623"/>
      <c r="F26" s="2623"/>
      <c r="G26" s="2623"/>
      <c r="H26" s="2623"/>
      <c r="I26" s="2623"/>
      <c r="J26" s="2623"/>
      <c r="K26" s="2623"/>
      <c r="L26" s="2623"/>
      <c r="M26" s="2623"/>
      <c r="N26" s="2623"/>
      <c r="O26" s="2623"/>
      <c r="P26" s="2623"/>
      <c r="Q26" s="2623"/>
      <c r="R26" s="2623"/>
      <c r="S26" s="2624"/>
      <c r="T26" s="2615">
        <f ca="1">T23*T25</f>
        <v>34569658.941176198</v>
      </c>
      <c r="U26" s="2616"/>
      <c r="V26" s="2616"/>
      <c r="W26" s="2616"/>
      <c r="X26" s="2616"/>
      <c r="Y26" s="2615">
        <f>Y23*Y25</f>
        <v>0</v>
      </c>
      <c r="Z26" s="2616"/>
      <c r="AA26" s="2616"/>
      <c r="AB26" s="2616"/>
      <c r="AC26" s="2616"/>
      <c r="AD26" s="2615">
        <f>AD23*AD25</f>
        <v>0</v>
      </c>
      <c r="AE26" s="2616"/>
      <c r="AF26" s="2616"/>
      <c r="AG26" s="2616"/>
      <c r="AH26" s="2616"/>
      <c r="AI26" s="2615">
        <f>AI23*AI25</f>
        <v>0</v>
      </c>
      <c r="AJ26" s="2616"/>
      <c r="AK26" s="2616"/>
      <c r="AL26" s="2616"/>
      <c r="AM26" s="2616"/>
    </row>
    <row r="27" spans="1:40" ht="13" customHeight="1">
      <c r="A27" s="441"/>
      <c r="B27" s="2629" t="s">
        <v>426</v>
      </c>
      <c r="C27" s="2630"/>
      <c r="D27" s="2630"/>
      <c r="E27" s="2630"/>
      <c r="F27" s="2630"/>
      <c r="G27" s="2630"/>
      <c r="H27" s="2630"/>
      <c r="I27" s="2630"/>
      <c r="J27" s="2630"/>
      <c r="K27" s="2630"/>
      <c r="L27" s="2630"/>
      <c r="M27" s="2630"/>
      <c r="N27" s="2630"/>
      <c r="O27" s="2630"/>
      <c r="P27" s="2630"/>
      <c r="Q27" s="2630"/>
      <c r="R27" s="2630"/>
      <c r="S27" s="2631"/>
      <c r="T27" s="2635">
        <f>Application!$AG$445</f>
        <v>1</v>
      </c>
      <c r="U27" s="2636"/>
      <c r="V27" s="2636"/>
      <c r="W27" s="2636"/>
      <c r="X27" s="2636"/>
      <c r="Y27" s="2635">
        <f>Application!$AG$445</f>
        <v>1</v>
      </c>
      <c r="Z27" s="2636"/>
      <c r="AA27" s="2636"/>
      <c r="AB27" s="2636"/>
      <c r="AC27" s="2636"/>
      <c r="AD27" s="2635">
        <f>Application!$AG$445</f>
        <v>1</v>
      </c>
      <c r="AE27" s="2636"/>
      <c r="AF27" s="2636"/>
      <c r="AG27" s="2636"/>
      <c r="AH27" s="2636"/>
      <c r="AI27" s="2635">
        <f>Application!$AG$445</f>
        <v>1</v>
      </c>
      <c r="AJ27" s="2636"/>
      <c r="AK27" s="2636"/>
      <c r="AL27" s="2636"/>
      <c r="AM27" s="2636"/>
    </row>
    <row r="28" spans="1:40" ht="13" customHeight="1">
      <c r="A28" s="435"/>
      <c r="B28" s="2622" t="s">
        <v>514</v>
      </c>
      <c r="C28" s="2623"/>
      <c r="D28" s="2623"/>
      <c r="E28" s="2623"/>
      <c r="F28" s="2623"/>
      <c r="G28" s="2623"/>
      <c r="H28" s="2623"/>
      <c r="I28" s="2623"/>
      <c r="J28" s="2623"/>
      <c r="K28" s="2623"/>
      <c r="L28" s="2623"/>
      <c r="M28" s="2623"/>
      <c r="N28" s="2623"/>
      <c r="O28" s="2623"/>
      <c r="P28" s="2623"/>
      <c r="Q28" s="2623"/>
      <c r="R28" s="2623"/>
      <c r="S28" s="2624"/>
      <c r="T28" s="2615">
        <f ca="1">IF(ISERROR((T26*T27)),0,(T26*T27))</f>
        <v>34569658.941176198</v>
      </c>
      <c r="U28" s="2616"/>
      <c r="V28" s="2616"/>
      <c r="W28" s="2616"/>
      <c r="X28" s="2616"/>
      <c r="Y28" s="2615">
        <f>IF(ISERROR((Y26*Y27)),0,(Y26*Y27))</f>
        <v>0</v>
      </c>
      <c r="Z28" s="2616"/>
      <c r="AA28" s="2616"/>
      <c r="AB28" s="2616"/>
      <c r="AC28" s="2616"/>
      <c r="AD28" s="2615">
        <f>IF(ISERROR((AD26*AD27)),0,(AD26*AD27))</f>
        <v>0</v>
      </c>
      <c r="AE28" s="2616"/>
      <c r="AF28" s="2616"/>
      <c r="AG28" s="2616"/>
      <c r="AH28" s="2616"/>
      <c r="AI28" s="2615">
        <f>IF(ISERROR((AI26*AI27)),0,(AI26*AI27))</f>
        <v>0</v>
      </c>
      <c r="AJ28" s="2616"/>
      <c r="AK28" s="2616"/>
      <c r="AL28" s="2616"/>
      <c r="AM28" s="2616"/>
    </row>
    <row r="29" spans="1:40" ht="13" customHeight="1">
      <c r="B29" s="2622" t="s">
        <v>531</v>
      </c>
      <c r="C29" s="2623"/>
      <c r="D29" s="2623"/>
      <c r="E29" s="2623"/>
      <c r="F29" s="2623"/>
      <c r="G29" s="2623"/>
      <c r="H29" s="2623"/>
      <c r="I29" s="2623"/>
      <c r="J29" s="2623"/>
      <c r="K29" s="2623"/>
      <c r="L29" s="2623"/>
      <c r="M29" s="2623"/>
      <c r="N29" s="2623"/>
      <c r="O29" s="2623"/>
      <c r="P29" s="2623"/>
      <c r="Q29" s="2623"/>
      <c r="R29" s="2623"/>
      <c r="S29" s="2624"/>
      <c r="T29" s="2617">
        <f ca="1">T28+Y28+AD28+AI28</f>
        <v>34569658.941176198</v>
      </c>
      <c r="U29" s="2618"/>
      <c r="V29" s="2618"/>
      <c r="W29" s="2618"/>
      <c r="X29" s="2618"/>
      <c r="Y29" s="2618"/>
      <c r="Z29" s="2618"/>
      <c r="AA29" s="2618"/>
      <c r="AB29" s="2618"/>
      <c r="AC29" s="2618"/>
      <c r="AD29" s="2618"/>
      <c r="AE29" s="2618"/>
      <c r="AF29" s="2618"/>
      <c r="AG29" s="2618"/>
      <c r="AH29" s="2618"/>
      <c r="AI29" s="2618"/>
      <c r="AJ29" s="2618"/>
      <c r="AK29" s="2618"/>
      <c r="AL29" s="2618"/>
      <c r="AM29" s="2615"/>
    </row>
    <row r="30" spans="1:40" ht="13" customHeight="1">
      <c r="B30" s="2625" t="s">
        <v>1374</v>
      </c>
      <c r="C30" s="2625"/>
      <c r="D30" s="2625"/>
      <c r="E30" s="2625"/>
      <c r="F30" s="2625"/>
      <c r="G30" s="2625"/>
      <c r="H30" s="2625"/>
      <c r="I30" s="2625"/>
      <c r="J30" s="2625"/>
      <c r="K30" s="2625"/>
      <c r="L30" s="2625"/>
      <c r="M30" s="2625"/>
      <c r="N30" s="2625"/>
      <c r="O30" s="2625"/>
      <c r="P30" s="2625"/>
      <c r="Q30" s="2625"/>
      <c r="R30" s="2625"/>
      <c r="S30" s="2625"/>
      <c r="T30" s="2625"/>
      <c r="U30" s="2625"/>
      <c r="V30" s="2625"/>
      <c r="W30" s="2625"/>
      <c r="X30" s="2625"/>
      <c r="Y30" s="2625"/>
      <c r="Z30" s="2625"/>
      <c r="AA30" s="2625"/>
      <c r="AB30" s="2625"/>
      <c r="AC30" s="2625"/>
      <c r="AD30" s="2625"/>
      <c r="AE30" s="2625"/>
      <c r="AF30" s="2625"/>
      <c r="AG30" s="2625"/>
      <c r="AH30" s="2625"/>
      <c r="AI30" s="2625"/>
      <c r="AJ30" s="2625"/>
      <c r="AK30" s="2625"/>
      <c r="AL30" s="2625"/>
      <c r="AM30" s="2625"/>
    </row>
    <row r="31" spans="1:40" ht="13" customHeight="1">
      <c r="B31" s="2625" t="s">
        <v>1373</v>
      </c>
      <c r="C31" s="2625"/>
      <c r="D31" s="2625"/>
      <c r="E31" s="2625"/>
      <c r="F31" s="2625"/>
      <c r="G31" s="2625"/>
      <c r="H31" s="2625"/>
      <c r="I31" s="2625"/>
      <c r="J31" s="2625"/>
      <c r="K31" s="2625"/>
      <c r="L31" s="2625"/>
      <c r="M31" s="2625"/>
      <c r="N31" s="2625"/>
      <c r="O31" s="2625"/>
      <c r="P31" s="2625"/>
      <c r="Q31" s="2625"/>
      <c r="R31" s="2625"/>
      <c r="S31" s="2625"/>
      <c r="T31" s="2625"/>
      <c r="U31" s="2625"/>
      <c r="V31" s="2625"/>
      <c r="W31" s="2625"/>
      <c r="X31" s="2625"/>
      <c r="Y31" s="2625"/>
      <c r="Z31" s="2625"/>
      <c r="AA31" s="2625"/>
      <c r="AB31" s="2625"/>
      <c r="AC31" s="2625"/>
      <c r="AD31" s="2625"/>
      <c r="AE31" s="2625"/>
      <c r="AF31" s="2625"/>
      <c r="AG31" s="2625"/>
      <c r="AH31" s="2625"/>
      <c r="AI31" s="2625"/>
      <c r="AJ31" s="2625"/>
      <c r="AK31" s="2625"/>
      <c r="AL31" s="2625"/>
      <c r="AM31" s="2625"/>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1256</v>
      </c>
      <c r="Z35" s="2643"/>
      <c r="AA35" s="2643"/>
      <c r="AB35" s="2643"/>
      <c r="AC35" s="2643"/>
      <c r="AD35" s="2666" t="s">
        <v>369</v>
      </c>
      <c r="AE35" s="2666"/>
      <c r="AF35" s="2666"/>
      <c r="AG35" s="2666"/>
      <c r="AH35" s="2666"/>
    </row>
    <row r="36" spans="1:76" ht="13" customHeight="1">
      <c r="B36" s="438"/>
      <c r="X36" s="443"/>
      <c r="Y36" s="2643"/>
      <c r="Z36" s="2643"/>
      <c r="AA36" s="2643"/>
      <c r="AB36" s="2643"/>
      <c r="AC36" s="2643"/>
      <c r="AD36" s="2666"/>
      <c r="AE36" s="2666"/>
      <c r="AF36" s="2666"/>
      <c r="AG36" s="2666"/>
      <c r="AH36" s="2666"/>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66"/>
      <c r="AE37" s="2666"/>
      <c r="AF37" s="2666"/>
      <c r="AG37" s="2666"/>
      <c r="AH37" s="2666"/>
    </row>
    <row r="38" spans="1:76" ht="13" customHeight="1">
      <c r="A38" s="435"/>
      <c r="B38" s="2622" t="s">
        <v>514</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 ca="1">IF(T24&gt;=(T23+Y23+AD23+AI23),T28+Y28,0)</f>
        <v>34569658.941176198</v>
      </c>
      <c r="Z38" s="2616"/>
      <c r="AA38" s="2616"/>
      <c r="AB38" s="2616"/>
      <c r="AC38" s="2616"/>
      <c r="AD38" s="2616">
        <f ca="1">IF(T24&gt;=(T23+Y23+AD23+AI23),AD28+AI28,0)</f>
        <v>0</v>
      </c>
      <c r="AE38" s="2616"/>
      <c r="AF38" s="2616"/>
      <c r="AG38" s="2616"/>
      <c r="AH38" s="2616"/>
    </row>
    <row r="39" spans="1:76" ht="13" customHeight="1">
      <c r="B39" s="2622" t="s">
        <v>1879</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67">
        <v>0.04</v>
      </c>
      <c r="Z39" s="2667"/>
      <c r="AA39" s="2667"/>
      <c r="AB39" s="2667"/>
      <c r="AC39" s="2667"/>
      <c r="AD39" s="2667">
        <v>0.04</v>
      </c>
      <c r="AE39" s="2667"/>
      <c r="AF39" s="2667"/>
      <c r="AG39" s="2667"/>
      <c r="AH39" s="2667"/>
    </row>
    <row r="40" spans="1:76" ht="13" customHeight="1">
      <c r="A40" s="435"/>
      <c r="B40" s="2622" t="s">
        <v>650</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 ca="1">ROUND(Y38*Y39,0)</f>
        <v>1382786</v>
      </c>
      <c r="Z40" s="2616"/>
      <c r="AA40" s="2616"/>
      <c r="AB40" s="2616"/>
      <c r="AC40" s="2616"/>
      <c r="AD40" s="2615">
        <f ca="1">ROUND(AD38*AD39,0)</f>
        <v>0</v>
      </c>
      <c r="AE40" s="2616"/>
      <c r="AF40" s="2616"/>
      <c r="AG40" s="2616"/>
      <c r="AH40" s="2616"/>
    </row>
    <row r="41" spans="1:76" ht="13" customHeight="1">
      <c r="B41" s="2622" t="s">
        <v>651</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17">
        <f ca="1">Y40+AD40</f>
        <v>1382786</v>
      </c>
      <c r="Z41" s="2618"/>
      <c r="AA41" s="2618"/>
      <c r="AB41" s="2618"/>
      <c r="AC41" s="2618"/>
      <c r="AD41" s="2618"/>
      <c r="AE41" s="2618"/>
      <c r="AF41" s="2618"/>
      <c r="AG41" s="2618"/>
      <c r="AH41" s="2615"/>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20" t="s">
        <v>1384</v>
      </c>
      <c r="B44" s="2620"/>
      <c r="C44" s="2620"/>
      <c r="D44" s="2620"/>
      <c r="E44" s="2620"/>
      <c r="F44" s="2620"/>
      <c r="G44" s="2620"/>
      <c r="H44" s="2620"/>
      <c r="I44" s="2620"/>
      <c r="J44" s="2620"/>
      <c r="K44" s="2620"/>
      <c r="L44" s="2620"/>
      <c r="M44" s="2620"/>
      <c r="N44" s="2620"/>
      <c r="O44" s="2620"/>
      <c r="P44" s="2620"/>
      <c r="Q44" s="2620"/>
      <c r="R44" s="2620"/>
      <c r="S44" s="2620"/>
      <c r="T44" s="2620"/>
      <c r="U44" s="2620"/>
      <c r="V44" s="2620"/>
      <c r="W44" s="2620"/>
      <c r="X44" s="2620"/>
      <c r="Y44" s="2620"/>
      <c r="Z44" s="2620"/>
      <c r="AA44" s="2620"/>
      <c r="AB44" s="2620"/>
      <c r="AC44" s="2620"/>
      <c r="AD44" s="2620"/>
      <c r="AE44" s="2620"/>
      <c r="AF44" s="2620"/>
      <c r="AG44" s="2620"/>
      <c r="AH44" s="2620"/>
      <c r="AI44" s="2620"/>
      <c r="AJ44" s="2620"/>
      <c r="AK44" s="2620"/>
      <c r="AL44" s="2620"/>
      <c r="AM44" s="2620"/>
      <c r="AN44" s="2620"/>
      <c r="AO44" s="2620"/>
      <c r="AP44" s="2620"/>
      <c r="AQ44" s="2620"/>
      <c r="AR44" s="2620"/>
      <c r="AS44" s="2620"/>
      <c r="AT44" s="2620"/>
      <c r="AU44" s="2620"/>
      <c r="AV44" s="2620"/>
      <c r="AW44" s="2620"/>
      <c r="AX44" s="2620"/>
      <c r="AY44" s="2620"/>
      <c r="AZ44" s="2620"/>
      <c r="BA44" s="2620"/>
      <c r="BB44" s="2620"/>
      <c r="BC44" s="2620"/>
      <c r="BD44" s="2620"/>
      <c r="BE44" s="2620"/>
      <c r="BF44" s="2620"/>
      <c r="BG44" s="2620"/>
      <c r="BH44" s="2620"/>
      <c r="BI44" s="2620"/>
      <c r="BJ44" s="2620"/>
      <c r="BK44" s="2620"/>
      <c r="BL44" s="2620"/>
      <c r="BM44" s="2620"/>
      <c r="BN44" s="2620"/>
      <c r="BO44" s="2620"/>
      <c r="BP44" s="2620"/>
      <c r="BQ44" s="2620"/>
      <c r="BR44" s="2620"/>
      <c r="BS44" s="2620"/>
      <c r="BT44" s="2620"/>
      <c r="BU44" s="2620"/>
      <c r="BV44" s="2620"/>
      <c r="BW44" s="2620"/>
      <c r="BX44" s="2620"/>
    </row>
    <row r="45" spans="1:76" s="218" customFormat="1" ht="13" customHeight="1" thickTop="1"/>
    <row r="46" spans="1:76" ht="13" customHeight="1">
      <c r="A46" s="435" t="s">
        <v>594</v>
      </c>
      <c r="C46" s="435" t="s">
        <v>283</v>
      </c>
    </row>
    <row r="47" spans="1:76" ht="13" customHeight="1">
      <c r="D47" s="435" t="s">
        <v>284</v>
      </c>
      <c r="AB47" s="2632">
        <f ca="1">'Sources and Uses Budget'!B105-MAX(IF('Sources and Uses Budget'!B15="",0,'Sources and Uses Budget'!B15),IF(Application!AG394="",0,Application!AG394))</f>
        <v>38125451.821293063</v>
      </c>
      <c r="AC47" s="2633"/>
      <c r="AD47" s="2633"/>
      <c r="AE47" s="2633"/>
      <c r="AF47" s="2634"/>
    </row>
    <row r="48" spans="1:76" ht="13" customHeight="1">
      <c r="D48" s="435" t="s">
        <v>21</v>
      </c>
      <c r="AB48" s="2632">
        <f>Application!AO639-MAX(IF('Sources and Uses Budget'!B15="",0,'Sources and Uses Budget'!B15),IF(Application!AG394="",0,Application!AG394))</f>
        <v>17711023</v>
      </c>
      <c r="AC48" s="2633"/>
      <c r="AD48" s="2633"/>
      <c r="AE48" s="2633"/>
      <c r="AF48" s="2634"/>
    </row>
    <row r="49" spans="1:76" ht="13" customHeight="1">
      <c r="D49" s="435" t="s">
        <v>91</v>
      </c>
      <c r="AB49" s="2632">
        <f ca="1">AB47-AB48</f>
        <v>20414428.821293063</v>
      </c>
      <c r="AC49" s="2633"/>
      <c r="AD49" s="2633"/>
      <c r="AE49" s="2633"/>
      <c r="AF49" s="2634"/>
    </row>
    <row r="50" spans="1:76" ht="13" customHeight="1">
      <c r="D50" s="435" t="s">
        <v>689</v>
      </c>
      <c r="AA50" s="446"/>
      <c r="AB50" s="2659">
        <f>[1]budgets!$J$134+0.00000031</f>
        <v>0.92135395031786571</v>
      </c>
      <c r="AC50" s="2660"/>
      <c r="AD50" s="2660"/>
      <c r="AE50" s="2660"/>
      <c r="AF50" s="2661"/>
    </row>
    <row r="51" spans="1:76" s="448" customFormat="1" ht="13" customHeight="1">
      <c r="A51" s="433"/>
      <c r="B51" s="433"/>
      <c r="C51" s="433"/>
      <c r="D51" s="433"/>
      <c r="E51" s="2662" t="s">
        <v>2039</v>
      </c>
      <c r="F51" s="2662"/>
      <c r="G51" s="2662"/>
      <c r="H51" s="2662"/>
      <c r="I51" s="2662"/>
      <c r="J51" s="2662"/>
      <c r="K51" s="2662"/>
      <c r="L51" s="2662"/>
      <c r="M51" s="2662"/>
      <c r="N51" s="2662"/>
      <c r="O51" s="2662"/>
      <c r="P51" s="2662"/>
      <c r="Q51" s="2662"/>
      <c r="R51" s="2662"/>
      <c r="S51" s="2662"/>
      <c r="T51" s="2662"/>
      <c r="U51" s="2662"/>
      <c r="V51" s="2662"/>
      <c r="W51" s="2662"/>
      <c r="X51" s="2662"/>
      <c r="Y51" s="2662"/>
      <c r="Z51" s="2662"/>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2"/>
      <c r="F52" s="2662"/>
      <c r="G52" s="2662"/>
      <c r="H52" s="2662"/>
      <c r="I52" s="2662"/>
      <c r="J52" s="2662"/>
      <c r="K52" s="2662"/>
      <c r="L52" s="2662"/>
      <c r="M52" s="2662"/>
      <c r="N52" s="2662"/>
      <c r="O52" s="2662"/>
      <c r="P52" s="2662"/>
      <c r="Q52" s="2662"/>
      <c r="R52" s="2662"/>
      <c r="S52" s="2662"/>
      <c r="T52" s="2662"/>
      <c r="U52" s="2662"/>
      <c r="V52" s="2662"/>
      <c r="W52" s="2662"/>
      <c r="X52" s="2662"/>
      <c r="Y52" s="2662"/>
      <c r="Z52" s="2662"/>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2">
        <f ca="1">ROUND(IF(ISERROR((AB49/AB50)),0,(AB49/AB50)),0)</f>
        <v>22156988</v>
      </c>
      <c r="AC54" s="2633"/>
      <c r="AD54" s="2633"/>
      <c r="AE54" s="2633"/>
      <c r="AF54" s="2634"/>
    </row>
    <row r="55" spans="1:76" ht="13" customHeight="1">
      <c r="D55" s="435" t="s">
        <v>334</v>
      </c>
      <c r="AB55" s="2632">
        <f ca="1">(AB54/10)</f>
        <v>2215698.7999999998</v>
      </c>
      <c r="AC55" s="2633"/>
      <c r="AD55" s="2633"/>
      <c r="AE55" s="2633"/>
      <c r="AF55" s="2634"/>
    </row>
    <row r="56" spans="1:76" ht="13" customHeight="1">
      <c r="D56" s="435" t="s">
        <v>765</v>
      </c>
      <c r="AB56" s="2663">
        <f ca="1">(IF((Y41&lt;AB55),Y41,AB55))</f>
        <v>1382786</v>
      </c>
      <c r="AC56" s="2664"/>
      <c r="AD56" s="2664"/>
      <c r="AE56" s="2664"/>
      <c r="AF56" s="2665"/>
    </row>
    <row r="57" spans="1:76" ht="13" customHeight="1">
      <c r="D57" s="435" t="s">
        <v>764</v>
      </c>
      <c r="AB57" s="2632">
        <f ca="1">ROUND((10*AB56*AB50),0)</f>
        <v>12740353</v>
      </c>
      <c r="AC57" s="2633"/>
      <c r="AD57" s="2633"/>
      <c r="AE57" s="2633"/>
      <c r="AF57" s="2634"/>
    </row>
    <row r="58" spans="1:76" ht="13" customHeight="1">
      <c r="D58" s="435"/>
      <c r="AB58" s="454"/>
      <c r="AC58" s="454"/>
      <c r="AD58" s="454"/>
      <c r="AE58" s="454"/>
      <c r="AF58" s="454"/>
    </row>
    <row r="59" spans="1:76" ht="13" customHeight="1">
      <c r="D59" s="435" t="s">
        <v>763</v>
      </c>
      <c r="AB59" s="2655">
        <f ca="1">AB49-AB57</f>
        <v>7674075.8212930635</v>
      </c>
      <c r="AC59" s="2655"/>
      <c r="AD59" s="2655"/>
      <c r="AE59" s="2655"/>
      <c r="AF59" s="2655"/>
    </row>
    <row r="60" spans="1:76" ht="13" customHeight="1">
      <c r="D60" s="435"/>
      <c r="AB60" s="454"/>
      <c r="AC60" s="454"/>
      <c r="AD60" s="454"/>
      <c r="AE60" s="454"/>
      <c r="AF60" s="454"/>
    </row>
    <row r="61" spans="1:76" s="218" customFormat="1" ht="13" customHeight="1" thickBot="1">
      <c r="A61" s="2620" t="str">
        <f>IF(Application!AP205="yes","Farmworker State Credit", "State Credit" )</f>
        <v>State Credit</v>
      </c>
      <c r="B61" s="2620"/>
      <c r="C61" s="2620"/>
      <c r="D61" s="2620"/>
      <c r="E61" s="2620"/>
      <c r="F61" s="2620"/>
      <c r="G61" s="2620"/>
      <c r="H61" s="2620"/>
      <c r="I61" s="2620"/>
      <c r="J61" s="2620"/>
      <c r="K61" s="2620"/>
      <c r="L61" s="2620"/>
      <c r="M61" s="2620"/>
      <c r="N61" s="2620"/>
      <c r="O61" s="2620"/>
      <c r="P61" s="2620"/>
      <c r="Q61" s="2620"/>
      <c r="R61" s="2620"/>
      <c r="S61" s="2620"/>
      <c r="T61" s="2620"/>
      <c r="U61" s="2620"/>
      <c r="V61" s="2620"/>
      <c r="W61" s="2620"/>
      <c r="X61" s="2620"/>
      <c r="Y61" s="2620"/>
      <c r="Z61" s="2620"/>
      <c r="AA61" s="2620"/>
      <c r="AB61" s="2620"/>
      <c r="AC61" s="2620"/>
      <c r="AD61" s="2620"/>
      <c r="AE61" s="2620"/>
      <c r="AF61" s="2620"/>
      <c r="AG61" s="2620"/>
      <c r="AH61" s="2620"/>
      <c r="AI61" s="2620"/>
      <c r="AJ61" s="2620"/>
      <c r="AK61" s="2620"/>
      <c r="AL61" s="2620"/>
      <c r="AM61" s="2620"/>
      <c r="AN61" s="2620"/>
      <c r="AO61" s="2620"/>
      <c r="AP61" s="2620"/>
      <c r="AQ61" s="2620"/>
      <c r="AR61" s="2620"/>
      <c r="AS61" s="2620"/>
      <c r="AT61" s="2620"/>
      <c r="AU61" s="2620"/>
      <c r="AV61" s="2620"/>
      <c r="AW61" s="2620"/>
      <c r="AX61" s="2620"/>
      <c r="AY61" s="2620"/>
      <c r="AZ61" s="2620"/>
      <c r="BA61" s="2620"/>
      <c r="BB61" s="2620"/>
      <c r="BC61" s="2620"/>
      <c r="BD61" s="2620"/>
      <c r="BE61" s="2620"/>
      <c r="BF61" s="2620"/>
      <c r="BG61" s="2620"/>
      <c r="BH61" s="2620"/>
      <c r="BI61" s="2620"/>
      <c r="BJ61" s="2620"/>
      <c r="BK61" s="2620"/>
      <c r="BL61" s="2620"/>
      <c r="BM61" s="2620"/>
      <c r="BN61" s="2620"/>
      <c r="BO61" s="2620"/>
      <c r="BP61" s="2620"/>
      <c r="BQ61" s="2620"/>
      <c r="BR61" s="2620"/>
      <c r="BS61" s="2620"/>
      <c r="BT61" s="2620"/>
      <c r="BU61" s="2620"/>
      <c r="BV61" s="2620"/>
      <c r="BW61" s="2620"/>
      <c r="BX61" s="2620"/>
    </row>
    <row r="62" spans="1:76" s="218" customFormat="1" ht="13" customHeight="1" thickTop="1"/>
    <row r="63" spans="1:76" ht="13" customHeight="1">
      <c r="A63" s="435" t="s">
        <v>597</v>
      </c>
      <c r="C63" s="219" t="s">
        <v>1356</v>
      </c>
      <c r="Y63" s="2656" t="s">
        <v>1003</v>
      </c>
      <c r="Z63" s="2656"/>
      <c r="AA63" s="2656"/>
      <c r="AB63" s="2656"/>
      <c r="AC63" s="2656"/>
      <c r="AD63" s="2656" t="s">
        <v>369</v>
      </c>
      <c r="AE63" s="2656"/>
      <c r="AF63" s="2656"/>
      <c r="AG63" s="2656"/>
      <c r="AH63" s="2656"/>
    </row>
    <row r="64" spans="1:76" ht="13"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7">
        <f ca="1">IF(Application!$Z$205="(select)",0,((T23*T27)+Y28))</f>
        <v>34569658.941176198</v>
      </c>
      <c r="Z64" s="2657"/>
      <c r="AA64" s="2657"/>
      <c r="AB64" s="2657"/>
      <c r="AC64" s="2658"/>
      <c r="AD64" s="2617">
        <f>IF(AND(OR(Application!D211="At-Risk",Application!D211="At-Risk and Special Needs"),Application!M358="yes"),AD28+AI28,0)</f>
        <v>0</v>
      </c>
      <c r="AE64" s="2657"/>
      <c r="AF64" s="2657"/>
      <c r="AG64" s="2657"/>
      <c r="AH64" s="2658"/>
    </row>
    <row r="65" spans="1:36" ht="13"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3">
        <f>IF(OR(Application!Z205="State Farmworker Credit",Application!Z205="$500M (Farmworker Housing)"),0.75,IF(Application!Z205="15% set-aside",0.13,IF(Application!Z205="15% set-aside with qualifying low value rehab",0.95,0.3)))</f>
        <v>0.3</v>
      </c>
      <c r="Z67" s="2673"/>
      <c r="AA67" s="2673"/>
      <c r="AB67" s="2673"/>
      <c r="AC67" s="2673"/>
      <c r="AD67" s="2673">
        <f>IF(Application!Z205="15% set-aside with qualifying low value rehab", 0.95,0.13)</f>
        <v>0.13</v>
      </c>
      <c r="AE67" s="2673"/>
      <c r="AF67" s="2673"/>
      <c r="AG67" s="2673"/>
      <c r="AH67" s="2673"/>
    </row>
    <row r="68" spans="1:36" ht="13" customHeight="1">
      <c r="C68" s="435"/>
      <c r="D68" s="219" t="s">
        <v>2635</v>
      </c>
      <c r="Y68" s="2616">
        <f ca="1">ROUND(Y64*Y67,0)</f>
        <v>10370898</v>
      </c>
      <c r="Z68" s="2674"/>
      <c r="AA68" s="2674"/>
      <c r="AB68" s="2674"/>
      <c r="AC68" s="2674"/>
      <c r="AD68" s="2616">
        <f>ROUND(AD64*AD67,0)</f>
        <v>0</v>
      </c>
      <c r="AE68" s="2674"/>
      <c r="AF68" s="2674"/>
      <c r="AG68" s="2674"/>
      <c r="AH68" s="2674"/>
    </row>
    <row r="69" spans="1:36" ht="13" customHeight="1">
      <c r="C69" s="435"/>
      <c r="D69" s="219" t="s">
        <v>2636</v>
      </c>
      <c r="Y69" s="2616">
        <f ca="1">IF(OR(Application!Z205="State Farmworker Credit",Application!Z205="$500M (Farmworker Housing)"),Y68+AD68,MIN(Y68+AD68,200000*(Application!G753+Application!O777)))</f>
        <v>9200000</v>
      </c>
      <c r="Z69" s="2616"/>
      <c r="AA69" s="2616"/>
      <c r="AB69" s="2616"/>
      <c r="AC69" s="2616"/>
      <c r="AD69" s="2616"/>
      <c r="AE69" s="2616"/>
      <c r="AF69" s="2616"/>
      <c r="AG69" s="2616"/>
      <c r="AH69" s="2616"/>
    </row>
    <row r="70" spans="1:36" ht="13" customHeight="1">
      <c r="C70" s="435"/>
      <c r="E70" s="435"/>
      <c r="AB70" s="453"/>
      <c r="AC70" s="453"/>
      <c r="AD70" s="453"/>
      <c r="AE70" s="453"/>
      <c r="AF70" s="453"/>
    </row>
    <row r="71" spans="1:36" ht="13" customHeight="1">
      <c r="A71" s="435" t="s">
        <v>598</v>
      </c>
      <c r="C71" s="219" t="s">
        <v>285</v>
      </c>
    </row>
    <row r="72" spans="1:36" ht="13" customHeight="1">
      <c r="A72" s="435"/>
      <c r="C72" s="435"/>
      <c r="D72" s="219" t="s">
        <v>1358</v>
      </c>
      <c r="AB72" s="2659">
        <f>[1]budgets!$F$135-0.0000001</f>
        <v>0.83413863666229948</v>
      </c>
      <c r="AC72" s="2660"/>
      <c r="AD72" s="2660"/>
      <c r="AE72" s="2660"/>
      <c r="AF72" s="2661"/>
    </row>
    <row r="73" spans="1:36" ht="13" customHeight="1">
      <c r="A73" s="435"/>
      <c r="C73" s="435"/>
      <c r="D73" s="435"/>
      <c r="E73" s="2675" t="s">
        <v>1359</v>
      </c>
      <c r="F73" s="2675"/>
      <c r="G73" s="2675"/>
      <c r="H73" s="2675"/>
      <c r="I73" s="2675"/>
      <c r="J73" s="2675"/>
      <c r="K73" s="2675"/>
      <c r="L73" s="2675"/>
      <c r="M73" s="2675"/>
      <c r="N73" s="2675"/>
      <c r="O73" s="2675"/>
      <c r="P73" s="2675"/>
      <c r="Q73" s="2675"/>
      <c r="R73" s="2675"/>
      <c r="S73" s="2675"/>
      <c r="T73" s="2675"/>
      <c r="U73" s="2675"/>
      <c r="V73" s="2675"/>
      <c r="W73" s="2675"/>
      <c r="X73" s="2675"/>
      <c r="Y73" s="2675"/>
      <c r="Z73" s="2675"/>
      <c r="AA73" s="2675"/>
      <c r="AB73" s="471"/>
      <c r="AC73" s="471"/>
    </row>
    <row r="74" spans="1:36" ht="13" customHeight="1">
      <c r="A74" s="435"/>
      <c r="C74" s="435"/>
      <c r="D74" s="435"/>
      <c r="E74" s="2675"/>
      <c r="F74" s="2675"/>
      <c r="G74" s="2675"/>
      <c r="H74" s="2675"/>
      <c r="I74" s="2675"/>
      <c r="J74" s="2675"/>
      <c r="K74" s="2675"/>
      <c r="L74" s="2675"/>
      <c r="M74" s="2675"/>
      <c r="N74" s="2675"/>
      <c r="O74" s="2675"/>
      <c r="P74" s="2675"/>
      <c r="Q74" s="2675"/>
      <c r="R74" s="2675"/>
      <c r="S74" s="2675"/>
      <c r="T74" s="2675"/>
      <c r="U74" s="2675"/>
      <c r="V74" s="2675"/>
      <c r="W74" s="2675"/>
      <c r="X74" s="2675"/>
      <c r="Y74" s="2675"/>
      <c r="Z74" s="2675"/>
      <c r="AA74" s="2675"/>
      <c r="AB74" s="471"/>
      <c r="AC74" s="471"/>
    </row>
    <row r="75" spans="1:36" ht="13" customHeight="1">
      <c r="A75" s="435"/>
      <c r="C75" s="435"/>
      <c r="D75" s="435"/>
      <c r="E75" s="2675"/>
      <c r="F75" s="2675"/>
      <c r="G75" s="2675"/>
      <c r="H75" s="2675"/>
      <c r="I75" s="2675"/>
      <c r="J75" s="2675"/>
      <c r="K75" s="2675"/>
      <c r="L75" s="2675"/>
      <c r="M75" s="2675"/>
      <c r="N75" s="2675"/>
      <c r="O75" s="2675"/>
      <c r="P75" s="2675"/>
      <c r="Q75" s="2675"/>
      <c r="R75" s="2675"/>
      <c r="S75" s="2675"/>
      <c r="T75" s="2675"/>
      <c r="U75" s="2675"/>
      <c r="V75" s="2675"/>
      <c r="W75" s="2675"/>
      <c r="X75" s="2675"/>
      <c r="Y75" s="2675"/>
      <c r="Z75" s="2675"/>
      <c r="AA75" s="2675"/>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1360</v>
      </c>
      <c r="AB77" s="2668">
        <f ca="1">ROUND(IF(ISERROR((AB59/AB72)),0,(AB59/AB72)),0)</f>
        <v>9200000</v>
      </c>
      <c r="AC77" s="2668"/>
      <c r="AD77" s="2668"/>
      <c r="AE77" s="2668"/>
      <c r="AF77" s="2668"/>
    </row>
    <row r="78" spans="1:36" ht="13" customHeight="1">
      <c r="C78" s="435"/>
      <c r="D78" s="219" t="s">
        <v>1361</v>
      </c>
      <c r="AB78" s="2669">
        <f ca="1">MIN(Y69,AB77)</f>
        <v>9200000</v>
      </c>
      <c r="AC78" s="2670"/>
      <c r="AD78" s="2670"/>
      <c r="AE78" s="2670"/>
      <c r="AF78" s="2671"/>
    </row>
    <row r="79" spans="1:36" ht="13" customHeight="1">
      <c r="C79" s="435"/>
      <c r="D79" s="219" t="s">
        <v>1362</v>
      </c>
      <c r="AB79" s="2672">
        <f ca="1">AB78*AB72</f>
        <v>7674075.4572931556</v>
      </c>
      <c r="AC79" s="2672"/>
      <c r="AD79" s="2672"/>
      <c r="AE79" s="2672"/>
      <c r="AF79" s="2672"/>
    </row>
    <row r="80" spans="1:36" ht="13" customHeight="1">
      <c r="C80" s="435"/>
      <c r="D80" s="435"/>
      <c r="AB80" s="456"/>
      <c r="AC80" s="456"/>
      <c r="AD80" s="456"/>
      <c r="AE80" s="456"/>
      <c r="AF80" s="456"/>
    </row>
    <row r="81" spans="1:78" ht="13" customHeight="1">
      <c r="D81" s="435" t="s">
        <v>763</v>
      </c>
      <c r="AB81" s="2655">
        <f ca="1">AB49-(AB57+AB79)</f>
        <v>0.36399990692734718</v>
      </c>
      <c r="AC81" s="2655"/>
      <c r="AD81" s="2655"/>
      <c r="AE81" s="2655"/>
      <c r="AF81" s="2655"/>
    </row>
    <row r="82" spans="1:78" ht="13" customHeight="1">
      <c r="F82" s="556"/>
      <c r="J82" s="556" t="str">
        <f ca="1">IF(AB81&gt;0,"FUNDING GAP MUST NOT EXCEED ZERO","")</f>
        <v>FUNDING GAP MUST NOT EXCEED ZERO</v>
      </c>
    </row>
    <row r="83" spans="1:78" ht="13" customHeight="1">
      <c r="D83" s="557"/>
    </row>
    <row r="84" spans="1:78" ht="13" customHeight="1" thickBot="1">
      <c r="A84" s="2620"/>
      <c r="B84" s="2620"/>
      <c r="C84" s="2620"/>
      <c r="D84" s="2620"/>
      <c r="E84" s="2620"/>
      <c r="F84" s="2620"/>
      <c r="G84" s="2620"/>
      <c r="H84" s="2620"/>
      <c r="I84" s="2620"/>
      <c r="J84" s="2620"/>
      <c r="K84" s="2620"/>
      <c r="L84" s="2620"/>
      <c r="M84" s="2620"/>
      <c r="N84" s="2620"/>
      <c r="O84" s="2620"/>
      <c r="P84" s="2620"/>
      <c r="Q84" s="2620"/>
      <c r="R84" s="2620"/>
      <c r="S84" s="2620"/>
      <c r="T84" s="2620"/>
      <c r="U84" s="2620"/>
      <c r="V84" s="2620"/>
      <c r="W84" s="2620"/>
      <c r="X84" s="2620"/>
      <c r="Y84" s="2620"/>
      <c r="Z84" s="2620"/>
      <c r="AA84" s="2620"/>
      <c r="AB84" s="2620"/>
      <c r="AC84" s="2620"/>
      <c r="AD84" s="2620"/>
      <c r="AE84" s="2620"/>
      <c r="AF84" s="2620"/>
      <c r="AG84" s="2620"/>
      <c r="AH84" s="2620"/>
      <c r="AI84" s="2620"/>
      <c r="AJ84" s="2620"/>
      <c r="AK84" s="2620"/>
      <c r="AL84" s="2620"/>
      <c r="AM84" s="2620"/>
      <c r="AN84" s="2620"/>
      <c r="AO84" s="2620"/>
      <c r="AP84" s="2620"/>
      <c r="AQ84" s="2620"/>
      <c r="AR84" s="2620"/>
      <c r="AS84" s="2620"/>
      <c r="AT84" s="2620"/>
      <c r="AU84" s="2620"/>
      <c r="AV84" s="2620"/>
      <c r="AW84" s="2620"/>
      <c r="AX84" s="2620"/>
      <c r="AY84" s="2620"/>
      <c r="AZ84" s="2620"/>
      <c r="BA84" s="2620"/>
      <c r="BB84" s="2620"/>
      <c r="BC84" s="2620"/>
      <c r="BD84" s="2620"/>
      <c r="BE84" s="2620"/>
      <c r="BF84" s="2620"/>
      <c r="BG84" s="2620"/>
      <c r="BH84" s="2620"/>
      <c r="BI84" s="2620"/>
      <c r="BJ84" s="2620"/>
      <c r="BK84" s="2620"/>
      <c r="BL84" s="2620"/>
      <c r="BM84" s="2620"/>
      <c r="BN84" s="2620"/>
      <c r="BO84" s="2620"/>
      <c r="BP84" s="2620"/>
      <c r="BQ84" s="2620"/>
      <c r="BR84" s="2620"/>
      <c r="BS84" s="2620"/>
      <c r="BT84" s="2620"/>
      <c r="BU84" s="2620"/>
      <c r="BV84" s="2620"/>
      <c r="BW84" s="2620"/>
      <c r="BX84" s="2620"/>
    </row>
    <row r="85" spans="1:78" ht="13" customHeight="1" thickTop="1"/>
    <row r="86" spans="1:78" ht="13" customHeight="1">
      <c r="A86" s="435"/>
      <c r="C86" s="219"/>
    </row>
    <row r="87" spans="1:78" ht="13" customHeight="1">
      <c r="D87" s="219"/>
      <c r="AB87" s="2621"/>
      <c r="AC87" s="2621"/>
      <c r="AD87" s="2621"/>
      <c r="AE87" s="2621"/>
      <c r="AF87" s="2621"/>
    </row>
    <row r="88" spans="1:78" ht="13" customHeight="1" thickBot="1">
      <c r="D88" s="219"/>
      <c r="AB88" s="2619"/>
      <c r="AC88" s="2619"/>
      <c r="AD88" s="2619"/>
      <c r="AE88" s="2619"/>
      <c r="AF88" s="2619"/>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8" sqref="F8"/>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6" t="s">
        <v>924</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84">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20</v>
      </c>
      <c r="C4" s="1122" t="s">
        <v>385</v>
      </c>
      <c r="D4" s="459">
        <f>Application!O718</f>
        <v>757</v>
      </c>
      <c r="E4" s="460"/>
      <c r="F4" s="1123">
        <f>[1]budgets!$AB$28-[1]budgets!$AE$7</f>
        <v>2130</v>
      </c>
      <c r="G4" s="459">
        <f>F4*B4</f>
        <v>42600</v>
      </c>
      <c r="H4" s="460"/>
      <c r="I4" s="459">
        <f t="shared" ref="I4:I27" si="0">IF(F4=0,"",(F4-D4))</f>
        <v>1373</v>
      </c>
      <c r="J4" s="459">
        <f t="shared" ref="J4:J27" si="1">IF(F4=0,"",(I4*B4))</f>
        <v>27460</v>
      </c>
      <c r="K4" s="218"/>
      <c r="L4" s="328"/>
    </row>
    <row r="5" spans="1:12">
      <c r="A5" s="459" t="str">
        <f>Application!B719</f>
        <v>SRO/Studio</v>
      </c>
      <c r="B5" s="1121">
        <f>Application!G719</f>
        <v>5</v>
      </c>
      <c r="C5" s="1122"/>
      <c r="D5" s="459">
        <f>Application!O719</f>
        <v>300</v>
      </c>
      <c r="E5" s="460"/>
      <c r="F5" s="1123"/>
      <c r="G5" s="459">
        <f t="shared" ref="G5:G38" si="2">F5*B5</f>
        <v>0</v>
      </c>
      <c r="H5" s="460"/>
      <c r="I5" s="459" t="str">
        <f t="shared" si="0"/>
        <v/>
      </c>
      <c r="J5" s="459" t="str">
        <f t="shared" si="1"/>
        <v/>
      </c>
      <c r="K5" s="218"/>
      <c r="L5" s="328"/>
    </row>
    <row r="6" spans="1:12">
      <c r="A6" s="459" t="str">
        <f>Application!B720</f>
        <v>1 Bedroom</v>
      </c>
      <c r="B6" s="1121">
        <f>Application!G720</f>
        <v>20</v>
      </c>
      <c r="C6" s="1122" t="s">
        <v>385</v>
      </c>
      <c r="D6" s="459">
        <f>Application!O720</f>
        <v>809</v>
      </c>
      <c r="E6" s="460"/>
      <c r="F6" s="1123">
        <f>[1]budgets!$AB$30-[1]budgets!$AE$11</f>
        <v>2490</v>
      </c>
      <c r="G6" s="459">
        <f t="shared" si="2"/>
        <v>49800</v>
      </c>
      <c r="H6" s="460"/>
      <c r="I6" s="459">
        <f t="shared" si="0"/>
        <v>1681</v>
      </c>
      <c r="J6" s="459">
        <f t="shared" si="1"/>
        <v>33620</v>
      </c>
      <c r="K6" s="218"/>
      <c r="L6" s="328"/>
    </row>
    <row r="7" spans="1:12">
      <c r="A7" s="459" t="str">
        <f>Application!B721</f>
        <v>1 Bedroom</v>
      </c>
      <c r="B7" s="1121">
        <f>Application!G721</f>
        <v>1</v>
      </c>
      <c r="C7" s="1122"/>
      <c r="D7" s="459">
        <f>Application!O721</f>
        <v>300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33120</v>
      </c>
      <c r="E40" s="460"/>
      <c r="F40" s="460"/>
      <c r="G40" s="463">
        <f>SUM(G4:G38)*12</f>
        <v>1108800</v>
      </c>
      <c r="H40" s="464"/>
      <c r="I40" s="462"/>
      <c r="J40" s="463">
        <f>SUM(J4:J38)*12</f>
        <v>732960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U39" zoomScale="90" zoomScaleNormal="90" workbookViewId="0">
      <selection activeCell="E47" sqref="E47"/>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2408</v>
      </c>
      <c r="B1" s="226"/>
    </row>
    <row r="2" spans="1:34"/>
    <row r="3" spans="1:34" ht="15.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397440</v>
      </c>
      <c r="G4" s="235">
        <f>E4*$C$4</f>
        <v>407375.99999999994</v>
      </c>
      <c r="I4" s="235">
        <f>G4*$C$4</f>
        <v>417560.39999999991</v>
      </c>
      <c r="K4" s="235">
        <f>I4*$C$4</f>
        <v>427999.40999999986</v>
      </c>
      <c r="M4" s="235">
        <f>K4*$C$4</f>
        <v>438699.39524999983</v>
      </c>
      <c r="O4" s="235">
        <f>M4*$C$4</f>
        <v>449666.88013124978</v>
      </c>
      <c r="Q4" s="235">
        <f>O4*$C$4</f>
        <v>460908.55213453097</v>
      </c>
      <c r="S4" s="235">
        <f>Q4*$C$4</f>
        <v>472431.26593789418</v>
      </c>
      <c r="U4" s="235">
        <f>S4*$C$4</f>
        <v>484242.0475863415</v>
      </c>
      <c r="W4" s="235">
        <f>U4*$C$4</f>
        <v>496348.09877600003</v>
      </c>
      <c r="Y4" s="235">
        <f>W4*$C$4</f>
        <v>508756.80124539998</v>
      </c>
      <c r="AA4" s="235">
        <f>Y4*$C$4</f>
        <v>521475.72127653495</v>
      </c>
      <c r="AC4" s="235">
        <f>AA4*$C$4</f>
        <v>534512.61430844828</v>
      </c>
      <c r="AE4" s="235">
        <f>AC4*$C$4</f>
        <v>547875.42966615944</v>
      </c>
      <c r="AG4" s="235">
        <f>AE4*$C$4</f>
        <v>561572.31540781341</v>
      </c>
    </row>
    <row r="5" spans="1:34" s="225" customFormat="1" ht="14">
      <c r="B5" s="225" t="s">
        <v>849</v>
      </c>
      <c r="C5" s="254">
        <f>[1]budgets!$AA$19</f>
        <v>5.2717391304347827E-2</v>
      </c>
      <c r="E5" s="237">
        <f>-E4*$C$5</f>
        <v>-20952</v>
      </c>
      <c r="F5" s="237"/>
      <c r="G5" s="237">
        <f>-G4*$C$5</f>
        <v>-21475.799999999996</v>
      </c>
      <c r="H5" s="237"/>
      <c r="I5" s="237">
        <f>-I4*$C$5</f>
        <v>-22012.694999999996</v>
      </c>
      <c r="J5" s="237"/>
      <c r="K5" s="237">
        <f>-K4*$C$5</f>
        <v>-22563.012374999991</v>
      </c>
      <c r="L5" s="237"/>
      <c r="M5" s="237">
        <f>-M4*$C$5</f>
        <v>-23127.08768437499</v>
      </c>
      <c r="N5" s="237"/>
      <c r="O5" s="237">
        <f>-O4*$C$5</f>
        <v>-23705.264876484365</v>
      </c>
      <c r="P5" s="237"/>
      <c r="Q5" s="237">
        <f>-Q4*$C$5</f>
        <v>-24297.896498396469</v>
      </c>
      <c r="R5" s="237"/>
      <c r="S5" s="237">
        <f>-S4*$C$5</f>
        <v>-24905.34391085638</v>
      </c>
      <c r="T5" s="237"/>
      <c r="U5" s="237">
        <f>-U4*$C$5</f>
        <v>-25527.977508627788</v>
      </c>
      <c r="V5" s="237"/>
      <c r="W5" s="237">
        <f>-W4*$C$5</f>
        <v>-26166.176946343479</v>
      </c>
      <c r="X5" s="237"/>
      <c r="Y5" s="237">
        <f>-Y4*$C$5</f>
        <v>-26820.331370002066</v>
      </c>
      <c r="Z5" s="237"/>
      <c r="AA5" s="237">
        <f>-AA4*$C$5</f>
        <v>-27490.839654252115</v>
      </c>
      <c r="AB5" s="237"/>
      <c r="AC5" s="237">
        <f>-AC4*$C$5</f>
        <v>-28178.110645608416</v>
      </c>
      <c r="AD5" s="237"/>
      <c r="AE5" s="237">
        <f>-AE4*$C$5</f>
        <v>-28882.563411748622</v>
      </c>
      <c r="AF5" s="237"/>
      <c r="AG5" s="237">
        <f>-AG4*$C$5</f>
        <v>-29604.627497042336</v>
      </c>
    </row>
    <row r="6" spans="1:34" s="225" customFormat="1" ht="14">
      <c r="A6" s="225" t="s">
        <v>847</v>
      </c>
      <c r="C6" s="253">
        <v>1.0249999999999999</v>
      </c>
      <c r="E6" s="238">
        <f>Application!Z809</f>
        <v>732960</v>
      </c>
      <c r="F6" s="238"/>
      <c r="G6" s="238">
        <f>E6*$C$6</f>
        <v>751283.99999999988</v>
      </c>
      <c r="H6" s="238"/>
      <c r="I6" s="238">
        <f>G6*$C$6</f>
        <v>770066.09999999986</v>
      </c>
      <c r="J6" s="238"/>
      <c r="K6" s="238">
        <f>I6*$C$6</f>
        <v>789317.75249999983</v>
      </c>
      <c r="L6" s="238"/>
      <c r="M6" s="238">
        <f>K6*$C$6</f>
        <v>809050.6963124997</v>
      </c>
      <c r="N6" s="238"/>
      <c r="O6" s="238">
        <f>M6*$C$6</f>
        <v>829276.96372031211</v>
      </c>
      <c r="P6" s="238"/>
      <c r="Q6" s="238">
        <f>O6*$C$6</f>
        <v>850008.8878133198</v>
      </c>
      <c r="R6" s="238"/>
      <c r="S6" s="238">
        <f>Q6*$C$6</f>
        <v>871259.11000865267</v>
      </c>
      <c r="T6" s="238"/>
      <c r="U6" s="238">
        <f>S6*$C$6</f>
        <v>893040.58775886893</v>
      </c>
      <c r="V6" s="238"/>
      <c r="W6" s="238">
        <f>U6*$C$6</f>
        <v>915366.60245284054</v>
      </c>
      <c r="X6" s="238"/>
      <c r="Y6" s="238">
        <f>W6*$C$6</f>
        <v>938250.76751416142</v>
      </c>
      <c r="Z6" s="238"/>
      <c r="AA6" s="238">
        <f>Y6*$C$6</f>
        <v>961707.03670201532</v>
      </c>
      <c r="AB6" s="238"/>
      <c r="AC6" s="238">
        <f>AA6*$C$6</f>
        <v>985749.71261956566</v>
      </c>
      <c r="AD6" s="238"/>
      <c r="AE6" s="238">
        <f>AC6*$C$6</f>
        <v>1010393.4554350547</v>
      </c>
      <c r="AF6" s="238"/>
      <c r="AG6" s="238">
        <f>AE6*$C$6</f>
        <v>1035653.291820931</v>
      </c>
    </row>
    <row r="7" spans="1:34" s="225" customFormat="1" ht="14">
      <c r="B7" s="225" t="s">
        <v>849</v>
      </c>
      <c r="C7" s="254">
        <f>[1]budgets!$AA$33</f>
        <v>0.05</v>
      </c>
      <c r="E7" s="237">
        <f>-E6*$C$7</f>
        <v>-36648</v>
      </c>
      <c r="F7" s="237"/>
      <c r="G7" s="237">
        <f>-G6*$C$7</f>
        <v>-37564.199999999997</v>
      </c>
      <c r="H7" s="237"/>
      <c r="I7" s="237">
        <f>-I6*$C$7</f>
        <v>-38503.304999999993</v>
      </c>
      <c r="J7" s="237"/>
      <c r="K7" s="237">
        <f>-K6*$C$7</f>
        <v>-39465.887624999996</v>
      </c>
      <c r="L7" s="237"/>
      <c r="M7" s="237">
        <f>-M6*$C$7</f>
        <v>-40452.534815624989</v>
      </c>
      <c r="N7" s="237"/>
      <c r="O7" s="237">
        <f>-O6*$C$7</f>
        <v>-41463.84818601561</v>
      </c>
      <c r="P7" s="237"/>
      <c r="Q7" s="237">
        <f>-Q6*$C$7</f>
        <v>-42500.444390665994</v>
      </c>
      <c r="R7" s="237"/>
      <c r="S7" s="237">
        <f>-S6*$C$7</f>
        <v>-43562.955500432639</v>
      </c>
      <c r="T7" s="237"/>
      <c r="U7" s="237">
        <f>-U6*$C$7</f>
        <v>-44652.029387943447</v>
      </c>
      <c r="V7" s="237"/>
      <c r="W7" s="237">
        <f>-W6*$C$7</f>
        <v>-45768.33012264203</v>
      </c>
      <c r="X7" s="237"/>
      <c r="Y7" s="237">
        <f>-Y6*$C$7</f>
        <v>-46912.538375708071</v>
      </c>
      <c r="Z7" s="237"/>
      <c r="AA7" s="237">
        <f>-AA6*$C$7</f>
        <v>-48085.351835100766</v>
      </c>
      <c r="AB7" s="237"/>
      <c r="AC7" s="237">
        <f>-AC6*$C$7</f>
        <v>-49287.485630978284</v>
      </c>
      <c r="AD7" s="237"/>
      <c r="AE7" s="237">
        <f>-AE6*$C$7</f>
        <v>-50519.672771752739</v>
      </c>
      <c r="AF7" s="237"/>
      <c r="AG7" s="237">
        <f>-AG6*$C$7</f>
        <v>-51782.664591046552</v>
      </c>
    </row>
    <row r="8" spans="1:34" s="225" customFormat="1" ht="14">
      <c r="A8" s="225" t="s">
        <v>289</v>
      </c>
      <c r="C8" s="253">
        <v>1.0249999999999999</v>
      </c>
      <c r="E8" s="238">
        <f>Application!Z817</f>
        <v>0</v>
      </c>
      <c r="F8" s="238"/>
      <c r="G8" s="238">
        <f>E8*$C$8</f>
        <v>0</v>
      </c>
      <c r="H8" s="238"/>
      <c r="I8" s="238">
        <f>G8*$C$8</f>
        <v>0</v>
      </c>
      <c r="J8" s="238"/>
      <c r="K8" s="238">
        <f>I8*$C$8</f>
        <v>0</v>
      </c>
      <c r="L8" s="238"/>
      <c r="M8" s="238">
        <f>K8*$C$8</f>
        <v>0</v>
      </c>
      <c r="N8" s="238"/>
      <c r="O8" s="238">
        <f>M8*$C$8</f>
        <v>0</v>
      </c>
      <c r="P8" s="238"/>
      <c r="Q8" s="238">
        <f>O8*$C$8</f>
        <v>0</v>
      </c>
      <c r="R8" s="238"/>
      <c r="S8" s="238">
        <f>Q8*$C$8</f>
        <v>0</v>
      </c>
      <c r="T8" s="238"/>
      <c r="U8" s="238">
        <f>S8*$C$8</f>
        <v>0</v>
      </c>
      <c r="V8" s="238"/>
      <c r="W8" s="238">
        <f>U8*$C$8</f>
        <v>0</v>
      </c>
      <c r="X8" s="238"/>
      <c r="Y8" s="238">
        <f>W8*$C$8</f>
        <v>0</v>
      </c>
      <c r="Z8" s="238"/>
      <c r="AA8" s="238">
        <f>Y8*$C$8</f>
        <v>0</v>
      </c>
      <c r="AB8" s="238"/>
      <c r="AC8" s="238">
        <f>AA8*$C$8</f>
        <v>0</v>
      </c>
      <c r="AD8" s="238"/>
      <c r="AE8" s="238">
        <f>AC8*$C$8</f>
        <v>0</v>
      </c>
      <c r="AF8" s="238"/>
      <c r="AG8" s="238">
        <f>AE8*$C$8</f>
        <v>0</v>
      </c>
    </row>
    <row r="9" spans="1:34" s="225" customFormat="1" ht="14">
      <c r="B9" s="225" t="s">
        <v>849</v>
      </c>
      <c r="C9" s="254">
        <f>IF(Application!$D$211="Special Needs",0.1,0.05)</f>
        <v>0.1</v>
      </c>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1072800</v>
      </c>
      <c r="G11" s="239">
        <f>SUM(G4:G10)</f>
        <v>1099619.9999999998</v>
      </c>
      <c r="I11" s="239">
        <f>SUM(I4:I10)</f>
        <v>1127110.4999999998</v>
      </c>
      <c r="K11" s="239">
        <f>SUM(K4:K10)</f>
        <v>1155288.2624999997</v>
      </c>
      <c r="M11" s="239">
        <f>SUM(M4:M10)</f>
        <v>1184170.4690624995</v>
      </c>
      <c r="O11" s="239">
        <f>SUM(O4:O10)</f>
        <v>1213774.7307890619</v>
      </c>
      <c r="Q11" s="239">
        <f>SUM(Q4:Q10)</f>
        <v>1244119.0990587883</v>
      </c>
      <c r="S11" s="239">
        <f>SUM(S4:S10)</f>
        <v>1275222.076535258</v>
      </c>
      <c r="U11" s="239">
        <f>SUM(U4:U10)</f>
        <v>1307102.6284486391</v>
      </c>
      <c r="W11" s="239">
        <f>SUM(W4:W10)</f>
        <v>1339780.1941598551</v>
      </c>
      <c r="Y11" s="239">
        <f>SUM(Y4:Y10)</f>
        <v>1373274.6990138514</v>
      </c>
      <c r="AA11" s="239">
        <f>SUM(AA4:AA10)</f>
        <v>1407606.5664891975</v>
      </c>
      <c r="AC11" s="239">
        <f>SUM(AC4:AC10)</f>
        <v>1442796.7306514271</v>
      </c>
      <c r="AE11" s="239">
        <f>SUM(AE4:AE10)</f>
        <v>1478866.6489177127</v>
      </c>
      <c r="AG11" s="239">
        <f>SUM(AG4:AG10)</f>
        <v>1515838.3151406557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99031</v>
      </c>
      <c r="G15" s="235">
        <f>E15*$C$14</f>
        <v>102497.08499999999</v>
      </c>
      <c r="I15" s="235">
        <f>G15*$C$14</f>
        <v>106084.48297499998</v>
      </c>
      <c r="K15" s="235">
        <f>I15*$C$14</f>
        <v>109797.43987912497</v>
      </c>
      <c r="M15" s="235">
        <f>K15*$C$14</f>
        <v>113640.35027489433</v>
      </c>
      <c r="O15" s="235">
        <f>M15*$C$14</f>
        <v>117617.76253451563</v>
      </c>
      <c r="Q15" s="235">
        <f>O15*$C$14</f>
        <v>121734.38422322366</v>
      </c>
      <c r="S15" s="235">
        <f>Q15*$C$14</f>
        <v>125995.08767103648</v>
      </c>
      <c r="U15" s="235">
        <f>S15*$C$14</f>
        <v>130404.91573952275</v>
      </c>
      <c r="W15" s="235">
        <f>U15*$C$14</f>
        <v>134969.08779040605</v>
      </c>
      <c r="Y15" s="235">
        <f>W15*$C$14</f>
        <v>139693.00586307026</v>
      </c>
      <c r="AA15" s="235">
        <f>Y15*$C$14</f>
        <v>144582.2610682777</v>
      </c>
      <c r="AC15" s="235">
        <f>AA15*$C$14</f>
        <v>149642.64020566741</v>
      </c>
      <c r="AE15" s="235">
        <f>AC15*$C$14</f>
        <v>154880.13261286577</v>
      </c>
      <c r="AG15" s="235">
        <f>AE15*$C$14</f>
        <v>160300.93725431606</v>
      </c>
    </row>
    <row r="16" spans="1:34" s="225" customFormat="1" ht="14">
      <c r="A16" s="225" t="s">
        <v>344</v>
      </c>
      <c r="C16" s="249"/>
      <c r="E16" s="238">
        <f>Application!W849</f>
        <v>40500</v>
      </c>
      <c r="F16" s="238"/>
      <c r="G16" s="238">
        <f t="shared" ref="G16:AG21" si="0">E16*$C$14</f>
        <v>41917.5</v>
      </c>
      <c r="H16" s="238"/>
      <c r="I16" s="238">
        <f t="shared" si="0"/>
        <v>43384.612499999996</v>
      </c>
      <c r="J16" s="238"/>
      <c r="K16" s="238">
        <f t="shared" si="0"/>
        <v>44903.07393749999</v>
      </c>
      <c r="L16" s="238"/>
      <c r="M16" s="238">
        <f t="shared" si="0"/>
        <v>46474.681525312488</v>
      </c>
      <c r="N16" s="238"/>
      <c r="O16" s="238">
        <f t="shared" si="0"/>
        <v>48101.295378698422</v>
      </c>
      <c r="P16" s="238"/>
      <c r="Q16" s="238">
        <f t="shared" si="0"/>
        <v>49784.840716952865</v>
      </c>
      <c r="R16" s="238"/>
      <c r="S16" s="238">
        <f t="shared" si="0"/>
        <v>51527.310142046212</v>
      </c>
      <c r="T16" s="238"/>
      <c r="U16" s="238">
        <f t="shared" si="0"/>
        <v>53330.765997017828</v>
      </c>
      <c r="V16" s="238"/>
      <c r="W16" s="238">
        <f t="shared" si="0"/>
        <v>55197.342806913446</v>
      </c>
      <c r="X16" s="238"/>
      <c r="Y16" s="238">
        <f t="shared" si="0"/>
        <v>57129.249805155414</v>
      </c>
      <c r="Z16" s="238"/>
      <c r="AA16" s="238">
        <f t="shared" si="0"/>
        <v>59128.773548335848</v>
      </c>
      <c r="AB16" s="238"/>
      <c r="AC16" s="238">
        <f t="shared" si="0"/>
        <v>61198.2806225276</v>
      </c>
      <c r="AD16" s="238"/>
      <c r="AE16" s="238">
        <f t="shared" si="0"/>
        <v>63340.220444316059</v>
      </c>
      <c r="AF16" s="238"/>
      <c r="AG16" s="238">
        <f t="shared" si="0"/>
        <v>65557.128159867119</v>
      </c>
    </row>
    <row r="17" spans="1:33" s="225" customFormat="1" ht="14">
      <c r="A17" s="225" t="s">
        <v>569</v>
      </c>
      <c r="C17" s="249"/>
      <c r="E17" s="238">
        <f>Application!W855</f>
        <v>83700</v>
      </c>
      <c r="F17" s="238"/>
      <c r="G17" s="238">
        <f t="shared" si="0"/>
        <v>86629.5</v>
      </c>
      <c r="H17" s="238"/>
      <c r="I17" s="238">
        <f t="shared" si="0"/>
        <v>89661.532499999987</v>
      </c>
      <c r="J17" s="238"/>
      <c r="K17" s="238">
        <f t="shared" si="0"/>
        <v>92799.686137499986</v>
      </c>
      <c r="L17" s="238"/>
      <c r="M17" s="238">
        <f t="shared" si="0"/>
        <v>96047.675152312484</v>
      </c>
      <c r="N17" s="238"/>
      <c r="O17" s="238">
        <f t="shared" si="0"/>
        <v>99409.343782643409</v>
      </c>
      <c r="P17" s="238"/>
      <c r="Q17" s="238">
        <f t="shared" si="0"/>
        <v>102888.67081503592</v>
      </c>
      <c r="R17" s="238"/>
      <c r="S17" s="238">
        <f t="shared" si="0"/>
        <v>106489.77429356216</v>
      </c>
      <c r="T17" s="238"/>
      <c r="U17" s="238">
        <f t="shared" si="0"/>
        <v>110216.91639383683</v>
      </c>
      <c r="V17" s="238"/>
      <c r="W17" s="238">
        <f t="shared" si="0"/>
        <v>114074.50846762111</v>
      </c>
      <c r="X17" s="238"/>
      <c r="Y17" s="238">
        <f t="shared" si="0"/>
        <v>118067.11626398785</v>
      </c>
      <c r="Z17" s="238"/>
      <c r="AA17" s="238">
        <f t="shared" si="0"/>
        <v>122199.46533322742</v>
      </c>
      <c r="AB17" s="238"/>
      <c r="AC17" s="238">
        <f t="shared" si="0"/>
        <v>126476.44661989037</v>
      </c>
      <c r="AD17" s="238"/>
      <c r="AE17" s="238">
        <f t="shared" si="0"/>
        <v>130903.12225158652</v>
      </c>
      <c r="AF17" s="238"/>
      <c r="AG17" s="238">
        <f t="shared" si="0"/>
        <v>135484.73153039205</v>
      </c>
    </row>
    <row r="18" spans="1:33" s="225" customFormat="1" ht="14">
      <c r="A18" s="225" t="s">
        <v>853</v>
      </c>
      <c r="C18" s="249"/>
      <c r="E18" s="238">
        <f>Application!W862</f>
        <v>239808</v>
      </c>
      <c r="F18" s="238"/>
      <c r="G18" s="238">
        <f t="shared" si="0"/>
        <v>248201.27999999997</v>
      </c>
      <c r="H18" s="238"/>
      <c r="I18" s="238">
        <f t="shared" si="0"/>
        <v>256888.32479999994</v>
      </c>
      <c r="J18" s="238"/>
      <c r="K18" s="238">
        <f t="shared" si="0"/>
        <v>265879.41616799991</v>
      </c>
      <c r="L18" s="238"/>
      <c r="M18" s="238">
        <f t="shared" si="0"/>
        <v>275185.19573387987</v>
      </c>
      <c r="N18" s="238"/>
      <c r="O18" s="238">
        <f t="shared" si="0"/>
        <v>284816.67758456565</v>
      </c>
      <c r="P18" s="238"/>
      <c r="Q18" s="238">
        <f t="shared" si="0"/>
        <v>294785.26130002545</v>
      </c>
      <c r="R18" s="238"/>
      <c r="S18" s="238">
        <f t="shared" si="0"/>
        <v>305102.74544552632</v>
      </c>
      <c r="T18" s="238"/>
      <c r="U18" s="238">
        <f t="shared" si="0"/>
        <v>315781.3415361197</v>
      </c>
      <c r="V18" s="238"/>
      <c r="W18" s="238">
        <f t="shared" si="0"/>
        <v>326833.68848988385</v>
      </c>
      <c r="X18" s="238"/>
      <c r="Y18" s="238">
        <f t="shared" si="0"/>
        <v>338272.86758702976</v>
      </c>
      <c r="Z18" s="238"/>
      <c r="AA18" s="238">
        <f t="shared" si="0"/>
        <v>350112.41795257578</v>
      </c>
      <c r="AB18" s="238"/>
      <c r="AC18" s="238">
        <f t="shared" si="0"/>
        <v>362366.3525809159</v>
      </c>
      <c r="AD18" s="238"/>
      <c r="AE18" s="238">
        <f t="shared" si="0"/>
        <v>375049.17492124793</v>
      </c>
      <c r="AF18" s="238"/>
      <c r="AG18" s="238">
        <f t="shared" si="0"/>
        <v>388175.89604349161</v>
      </c>
    </row>
    <row r="19" spans="1:33" s="225" customFormat="1" ht="14">
      <c r="A19" s="225" t="s">
        <v>155</v>
      </c>
      <c r="C19" s="249"/>
      <c r="E19" s="238">
        <f>Application!W863</f>
        <v>30761</v>
      </c>
      <c r="F19" s="238"/>
      <c r="G19" s="238">
        <f t="shared" si="0"/>
        <v>31837.634999999998</v>
      </c>
      <c r="H19" s="238"/>
      <c r="I19" s="238">
        <f t="shared" si="0"/>
        <v>32951.952224999994</v>
      </c>
      <c r="J19" s="238"/>
      <c r="K19" s="238">
        <f t="shared" si="0"/>
        <v>34105.270552874994</v>
      </c>
      <c r="L19" s="238"/>
      <c r="M19" s="238">
        <f t="shared" si="0"/>
        <v>35298.955022225615</v>
      </c>
      <c r="N19" s="238"/>
      <c r="O19" s="238">
        <f t="shared" si="0"/>
        <v>36534.418448003511</v>
      </c>
      <c r="P19" s="238"/>
      <c r="Q19" s="238">
        <f t="shared" si="0"/>
        <v>37813.123093683629</v>
      </c>
      <c r="R19" s="238"/>
      <c r="S19" s="238">
        <f t="shared" si="0"/>
        <v>39136.582401962551</v>
      </c>
      <c r="T19" s="238"/>
      <c r="U19" s="238">
        <f t="shared" si="0"/>
        <v>40506.362786031234</v>
      </c>
      <c r="V19" s="238"/>
      <c r="W19" s="238">
        <f t="shared" si="0"/>
        <v>41924.085483542323</v>
      </c>
      <c r="X19" s="238"/>
      <c r="Y19" s="238">
        <f t="shared" si="0"/>
        <v>43391.428475466302</v>
      </c>
      <c r="Z19" s="238"/>
      <c r="AA19" s="238">
        <f t="shared" si="0"/>
        <v>44910.128472107623</v>
      </c>
      <c r="AB19" s="238"/>
      <c r="AC19" s="238">
        <f t="shared" si="0"/>
        <v>46481.982968631382</v>
      </c>
      <c r="AD19" s="238"/>
      <c r="AE19" s="238">
        <f t="shared" si="0"/>
        <v>48108.852372533474</v>
      </c>
      <c r="AF19" s="238"/>
      <c r="AG19" s="238">
        <f t="shared" si="0"/>
        <v>49792.662205572145</v>
      </c>
    </row>
    <row r="20" spans="1:33" s="225" customFormat="1" ht="14">
      <c r="A20" s="225" t="s">
        <v>390</v>
      </c>
      <c r="C20" s="249"/>
      <c r="E20" s="238">
        <f>Application!W872</f>
        <v>60400</v>
      </c>
      <c r="F20" s="238"/>
      <c r="G20" s="238">
        <f t="shared" si="0"/>
        <v>62513.999999999993</v>
      </c>
      <c r="H20" s="238"/>
      <c r="I20" s="238">
        <f t="shared" si="0"/>
        <v>64701.989999999991</v>
      </c>
      <c r="J20" s="238"/>
      <c r="K20" s="238">
        <f t="shared" si="0"/>
        <v>66966.559649999981</v>
      </c>
      <c r="L20" s="238"/>
      <c r="M20" s="238">
        <f t="shared" si="0"/>
        <v>69310.389237749972</v>
      </c>
      <c r="N20" s="238"/>
      <c r="O20" s="238">
        <f t="shared" si="0"/>
        <v>71736.252861071218</v>
      </c>
      <c r="P20" s="238"/>
      <c r="Q20" s="238">
        <f t="shared" si="0"/>
        <v>74247.021711208712</v>
      </c>
      <c r="R20" s="238"/>
      <c r="S20" s="238">
        <f t="shared" si="0"/>
        <v>76845.667471101013</v>
      </c>
      <c r="T20" s="238"/>
      <c r="U20" s="238">
        <f t="shared" si="0"/>
        <v>79535.265832589546</v>
      </c>
      <c r="V20" s="238"/>
      <c r="W20" s="238">
        <f t="shared" si="0"/>
        <v>82319.000136730174</v>
      </c>
      <c r="X20" s="238"/>
      <c r="Y20" s="238">
        <f t="shared" si="0"/>
        <v>85200.165141515725</v>
      </c>
      <c r="Z20" s="238"/>
      <c r="AA20" s="238">
        <f t="shared" si="0"/>
        <v>88182.170921468773</v>
      </c>
      <c r="AB20" s="238"/>
      <c r="AC20" s="238">
        <f t="shared" si="0"/>
        <v>91268.546903720169</v>
      </c>
      <c r="AD20" s="238"/>
      <c r="AE20" s="238">
        <f t="shared" si="0"/>
        <v>94462.946045350371</v>
      </c>
      <c r="AF20" s="238"/>
      <c r="AG20" s="238">
        <f t="shared" si="0"/>
        <v>97769.149156937623</v>
      </c>
    </row>
    <row r="21" spans="1:33" s="225" customFormat="1" ht="14">
      <c r="A21" s="242" t="s">
        <v>981</v>
      </c>
      <c r="B21" s="242"/>
      <c r="C21" s="249"/>
      <c r="E21" s="248">
        <f>Application!W879</f>
        <v>800</v>
      </c>
      <c r="F21" s="238"/>
      <c r="G21" s="248">
        <f t="shared" si="0"/>
        <v>827.99999999999989</v>
      </c>
      <c r="H21" s="238"/>
      <c r="I21" s="248">
        <f t="shared" si="0"/>
        <v>856.97999999999979</v>
      </c>
      <c r="J21" s="238"/>
      <c r="K21" s="248">
        <f t="shared" si="0"/>
        <v>886.97429999999974</v>
      </c>
      <c r="L21" s="238"/>
      <c r="M21" s="248">
        <f t="shared" si="0"/>
        <v>918.01840049999964</v>
      </c>
      <c r="N21" s="238"/>
      <c r="O21" s="248">
        <f t="shared" si="0"/>
        <v>950.14904451749953</v>
      </c>
      <c r="P21" s="238"/>
      <c r="Q21" s="248">
        <f t="shared" si="0"/>
        <v>983.40426107561188</v>
      </c>
      <c r="R21" s="238"/>
      <c r="S21" s="248">
        <f t="shared" si="0"/>
        <v>1017.8234102132582</v>
      </c>
      <c r="T21" s="238"/>
      <c r="U21" s="248">
        <f t="shared" si="0"/>
        <v>1053.4472295707221</v>
      </c>
      <c r="V21" s="238"/>
      <c r="W21" s="248">
        <f t="shared" si="0"/>
        <v>1090.3178826056974</v>
      </c>
      <c r="X21" s="238"/>
      <c r="Y21" s="248">
        <f t="shared" si="0"/>
        <v>1128.4790084968968</v>
      </c>
      <c r="Z21" s="238"/>
      <c r="AA21" s="248">
        <f t="shared" si="0"/>
        <v>1167.975773794288</v>
      </c>
      <c r="AB21" s="238"/>
      <c r="AC21" s="248">
        <f t="shared" si="0"/>
        <v>1208.8549258770879</v>
      </c>
      <c r="AD21" s="238"/>
      <c r="AE21" s="248">
        <f t="shared" si="0"/>
        <v>1251.1648482827859</v>
      </c>
      <c r="AF21" s="238"/>
      <c r="AG21" s="248">
        <f t="shared" si="0"/>
        <v>1294.9556179726833</v>
      </c>
    </row>
    <row r="22" spans="1:33" s="239" customFormat="1" ht="14">
      <c r="A22" s="239" t="s">
        <v>854</v>
      </c>
      <c r="C22" s="249"/>
      <c r="E22" s="239">
        <f>SUM(E15:E21)</f>
        <v>555000</v>
      </c>
      <c r="G22" s="239">
        <f>SUM(G15:G21)</f>
        <v>574425</v>
      </c>
      <c r="I22" s="239">
        <f>SUM(I15:I21)</f>
        <v>594529.87499999988</v>
      </c>
      <c r="K22" s="239">
        <f>SUM(K15:K21)</f>
        <v>615338.4206249998</v>
      </c>
      <c r="M22" s="239">
        <f>SUM(M15:M21)</f>
        <v>636875.26534687472</v>
      </c>
      <c r="O22" s="239">
        <f>SUM(O15:O21)</f>
        <v>659165.8996340154</v>
      </c>
      <c r="Q22" s="239">
        <f>SUM(Q15:Q21)</f>
        <v>682236.70612120593</v>
      </c>
      <c r="S22" s="239">
        <f>SUM(S15:S21)</f>
        <v>706114.99083544803</v>
      </c>
      <c r="U22" s="239">
        <f>SUM(U15:U21)</f>
        <v>730829.01551468857</v>
      </c>
      <c r="W22" s="239">
        <f>SUM(W15:W21)</f>
        <v>756408.03105770261</v>
      </c>
      <c r="Y22" s="239">
        <f>SUM(Y15:Y21)</f>
        <v>782882.31214472221</v>
      </c>
      <c r="AA22" s="239">
        <f>SUM(AA15:AA21)</f>
        <v>810283.19306978746</v>
      </c>
      <c r="AC22" s="239">
        <f>SUM(AC15:AC21)</f>
        <v>838643.10482722986</v>
      </c>
      <c r="AE22" s="239">
        <f>SUM(AE15:AE21)</f>
        <v>867995.61349618307</v>
      </c>
      <c r="AG22" s="239">
        <f>SUM(AG15:AG21)</f>
        <v>898375.45996854932</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220000</v>
      </c>
      <c r="F27" s="238"/>
      <c r="G27" s="238">
        <f>E27*$C$27</f>
        <v>227699.99999999997</v>
      </c>
      <c r="H27" s="238"/>
      <c r="I27" s="238">
        <f>G27*$C$27</f>
        <v>235669.49999999994</v>
      </c>
      <c r="J27" s="238"/>
      <c r="K27" s="238">
        <f>I27*$C$27</f>
        <v>243917.93249999991</v>
      </c>
      <c r="L27" s="238"/>
      <c r="M27" s="238">
        <f>K27*$C$27</f>
        <v>252455.06013749988</v>
      </c>
      <c r="N27" s="238"/>
      <c r="O27" s="238">
        <f>M27*$C$27</f>
        <v>261290.98724231235</v>
      </c>
      <c r="P27" s="238"/>
      <c r="Q27" s="238">
        <f>O27*$C$27</f>
        <v>270436.17179579329</v>
      </c>
      <c r="R27" s="238"/>
      <c r="S27" s="238">
        <f>Q27*$C$27</f>
        <v>279901.43780864601</v>
      </c>
      <c r="T27" s="238"/>
      <c r="U27" s="238">
        <f>S27*$C$27</f>
        <v>289697.98813194857</v>
      </c>
      <c r="V27" s="238"/>
      <c r="W27" s="238">
        <f>U27*$C$27</f>
        <v>299837.41771656676</v>
      </c>
      <c r="X27" s="238"/>
      <c r="Y27" s="238">
        <f>W27*$C$27</f>
        <v>310331.72733664658</v>
      </c>
      <c r="Z27" s="238"/>
      <c r="AA27" s="238">
        <f>Y27*$C$27</f>
        <v>321193.33779342921</v>
      </c>
      <c r="AB27" s="238"/>
      <c r="AC27" s="238">
        <f>AA27*$C$27</f>
        <v>332435.10461619921</v>
      </c>
      <c r="AD27" s="238"/>
      <c r="AE27" s="238">
        <f>AC27*$C$27</f>
        <v>344070.33327776619</v>
      </c>
      <c r="AF27" s="238"/>
      <c r="AG27" s="238">
        <f>AE27*$C$27</f>
        <v>356112.79494248796</v>
      </c>
    </row>
    <row r="28" spans="1:33" s="225" customFormat="1" ht="14">
      <c r="A28" s="225" t="s">
        <v>857</v>
      </c>
      <c r="C28" s="253"/>
      <c r="E28" s="238">
        <f>Application!AC889</f>
        <v>23000</v>
      </c>
      <c r="F28" s="238"/>
      <c r="G28" s="238">
        <f>$E$28</f>
        <v>23000</v>
      </c>
      <c r="H28" s="238"/>
      <c r="I28" s="238">
        <f>$E$28</f>
        <v>23000</v>
      </c>
      <c r="J28" s="238"/>
      <c r="K28" s="238">
        <f>$E$28</f>
        <v>23000</v>
      </c>
      <c r="L28" s="238"/>
      <c r="M28" s="238">
        <f>$E$28</f>
        <v>23000</v>
      </c>
      <c r="N28" s="238"/>
      <c r="O28" s="238">
        <f>$E$28</f>
        <v>23000</v>
      </c>
      <c r="P28" s="238"/>
      <c r="Q28" s="238">
        <f>$E$28</f>
        <v>23000</v>
      </c>
      <c r="R28" s="238"/>
      <c r="S28" s="238">
        <f>$E$28</f>
        <v>23000</v>
      </c>
      <c r="T28" s="238"/>
      <c r="U28" s="238">
        <f>$E$28</f>
        <v>23000</v>
      </c>
      <c r="V28" s="238"/>
      <c r="W28" s="238">
        <f>$E$28</f>
        <v>23000</v>
      </c>
      <c r="X28" s="238"/>
      <c r="Y28" s="238">
        <f>$E$28</f>
        <v>23000</v>
      </c>
      <c r="Z28" s="238"/>
      <c r="AA28" s="238">
        <f>$E$28</f>
        <v>23000</v>
      </c>
      <c r="AB28" s="238"/>
      <c r="AC28" s="238">
        <f>$E$28</f>
        <v>23000</v>
      </c>
      <c r="AD28" s="238"/>
      <c r="AE28" s="238">
        <f>$E$28</f>
        <v>23000</v>
      </c>
      <c r="AF28" s="238"/>
      <c r="AG28" s="238">
        <f>$E$28</f>
        <v>23000</v>
      </c>
    </row>
    <row r="29" spans="1:33" s="225" customFormat="1" ht="14">
      <c r="A29" s="225" t="s">
        <v>1867</v>
      </c>
      <c r="C29" s="253">
        <v>1.03</v>
      </c>
      <c r="E29" s="238">
        <f>Application!AC890</f>
        <v>16360</v>
      </c>
      <c r="F29" s="238"/>
      <c r="G29" s="238">
        <f>E29*$C$29</f>
        <v>16850.8</v>
      </c>
      <c r="H29" s="238"/>
      <c r="I29" s="238">
        <f>G29*$C$29</f>
        <v>17356.324000000001</v>
      </c>
      <c r="J29" s="238"/>
      <c r="K29" s="238">
        <f>I29*$C$29</f>
        <v>17877.013720000003</v>
      </c>
      <c r="L29" s="238"/>
      <c r="M29" s="238">
        <f>K29*$C$29</f>
        <v>18413.324131600002</v>
      </c>
      <c r="N29" s="238"/>
      <c r="O29" s="238">
        <f>M29*$C$29</f>
        <v>18965.723855548003</v>
      </c>
      <c r="P29" s="238"/>
      <c r="Q29" s="238">
        <f>O29*$C$29</f>
        <v>19534.695571214444</v>
      </c>
      <c r="R29" s="238"/>
      <c r="S29" s="238">
        <f>Q29*$C$29</f>
        <v>20120.736438350879</v>
      </c>
      <c r="T29" s="238"/>
      <c r="U29" s="238">
        <f>S29*$C$29</f>
        <v>20724.358531501406</v>
      </c>
      <c r="V29" s="238"/>
      <c r="W29" s="238">
        <f>U29*$C$29</f>
        <v>21346.089287446448</v>
      </c>
      <c r="X29" s="238"/>
      <c r="Y29" s="238">
        <f>W29*$C$29</f>
        <v>21986.471966069843</v>
      </c>
      <c r="Z29" s="238"/>
      <c r="AA29" s="238">
        <f>Y29*$C$29</f>
        <v>22646.066125051937</v>
      </c>
      <c r="AB29" s="238"/>
      <c r="AC29" s="238">
        <f>AA29*$C$29</f>
        <v>23325.448108803495</v>
      </c>
      <c r="AD29" s="238"/>
      <c r="AE29" s="238">
        <f>AC29*$C$29</f>
        <v>24025.211552067602</v>
      </c>
      <c r="AF29" s="238"/>
      <c r="AG29" s="238">
        <f>AE29*$C$29</f>
        <v>24745.967898629631</v>
      </c>
    </row>
    <row r="30" spans="1:33" s="225" customFormat="1" ht="14">
      <c r="A30" s="225" t="s">
        <v>855</v>
      </c>
      <c r="C30" s="253">
        <v>1.02</v>
      </c>
      <c r="E30" s="238">
        <f>Application!AC891</f>
        <v>50000</v>
      </c>
      <c r="F30" s="238"/>
      <c r="G30" s="238">
        <f>E30*$C$30</f>
        <v>51000</v>
      </c>
      <c r="H30" s="238"/>
      <c r="I30" s="238">
        <f>G30*$C$30</f>
        <v>52020</v>
      </c>
      <c r="J30" s="238"/>
      <c r="K30" s="238">
        <f>I30*$C$30</f>
        <v>53060.4</v>
      </c>
      <c r="L30" s="238"/>
      <c r="M30" s="238">
        <f>K30*$C$30</f>
        <v>54121.608</v>
      </c>
      <c r="N30" s="238"/>
      <c r="O30" s="238">
        <f>M30*$C$30</f>
        <v>55204.040160000004</v>
      </c>
      <c r="P30" s="238"/>
      <c r="Q30" s="238">
        <f>O30*$C$30</f>
        <v>56308.120963200003</v>
      </c>
      <c r="R30" s="238"/>
      <c r="S30" s="238">
        <f>Q30*$C$30</f>
        <v>57434.283382464004</v>
      </c>
      <c r="T30" s="238"/>
      <c r="U30" s="238">
        <f>S30*$C$30</f>
        <v>58582.969050113286</v>
      </c>
      <c r="V30" s="238"/>
      <c r="W30" s="238">
        <f>U30*$C$30</f>
        <v>59754.628431115554</v>
      </c>
      <c r="X30" s="238"/>
      <c r="Y30" s="238">
        <f>W30*$C$30</f>
        <v>60949.720999737867</v>
      </c>
      <c r="Z30" s="238"/>
      <c r="AA30" s="238">
        <f>Y30*$C$30</f>
        <v>62168.715419732624</v>
      </c>
      <c r="AB30" s="238"/>
      <c r="AC30" s="238">
        <f>AA30*$C$30</f>
        <v>63412.089728127277</v>
      </c>
      <c r="AD30" s="238"/>
      <c r="AE30" s="238">
        <f>AC30*$C$30</f>
        <v>64680.331522689827</v>
      </c>
      <c r="AF30" s="238"/>
      <c r="AG30" s="238">
        <f>AE30*$C$30</f>
        <v>65973.938153143623</v>
      </c>
    </row>
    <row r="31" spans="1:33" s="225" customFormat="1" ht="14">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864360</v>
      </c>
      <c r="G35" s="239">
        <f>SUM(G22:G33)</f>
        <v>892975.8</v>
      </c>
      <c r="I35" s="239">
        <f>SUM(I22:I33)</f>
        <v>922575.69899999979</v>
      </c>
      <c r="K35" s="239">
        <f>SUM(K22:K33)</f>
        <v>953193.76684499974</v>
      </c>
      <c r="M35" s="239">
        <f>SUM(M22:M33)</f>
        <v>984865.25761597452</v>
      </c>
      <c r="O35" s="239">
        <f>SUM(O22:O33)</f>
        <v>1017626.6508918756</v>
      </c>
      <c r="Q35" s="239">
        <f>SUM(Q22:Q33)</f>
        <v>1051515.6944514136</v>
      </c>
      <c r="S35" s="239">
        <f>SUM(S22:S33)</f>
        <v>1086571.4484649089</v>
      </c>
      <c r="U35" s="239">
        <f>SUM(U22:U33)</f>
        <v>1122834.3312282518</v>
      </c>
      <c r="W35" s="239">
        <f>SUM(W22:W33)</f>
        <v>1160346.1664928312</v>
      </c>
      <c r="Y35" s="239">
        <f>SUM(Y22:Y33)</f>
        <v>1199150.2324471767</v>
      </c>
      <c r="AA35" s="239">
        <f>SUM(AA22:AA33)</f>
        <v>1239291.3124080014</v>
      </c>
      <c r="AC35" s="239">
        <f>SUM(AC22:AC33)</f>
        <v>1280815.7472803597</v>
      </c>
      <c r="AE35" s="239">
        <f>SUM(AE22:AE33)</f>
        <v>1323771.4898487069</v>
      </c>
      <c r="AG35" s="239">
        <f>SUM(AG22:AG33)</f>
        <v>1368208.1609628103</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208440</v>
      </c>
      <c r="G37" s="239">
        <f>G11-G35</f>
        <v>206644.19999999972</v>
      </c>
      <c r="I37" s="239">
        <f>I11-I35</f>
        <v>204534.80099999998</v>
      </c>
      <c r="K37" s="239">
        <f>K11-K35</f>
        <v>202094.49565499998</v>
      </c>
      <c r="M37" s="239">
        <f>M11-M35</f>
        <v>199305.21144652495</v>
      </c>
      <c r="O37" s="239">
        <f>O11-O35</f>
        <v>196148.07989718625</v>
      </c>
      <c r="Q37" s="239">
        <f>Q11-Q35</f>
        <v>192603.40460737469</v>
      </c>
      <c r="S37" s="239">
        <f>S11-S35</f>
        <v>188650.62807034911</v>
      </c>
      <c r="U37" s="239">
        <f>U11-U35</f>
        <v>184268.29722038726</v>
      </c>
      <c r="W37" s="239">
        <f>W11-W35</f>
        <v>179434.02766702394</v>
      </c>
      <c r="Y37" s="239">
        <f>Y11-Y35</f>
        <v>174124.46656667464</v>
      </c>
      <c r="AA37" s="239">
        <f>AA11-AA35</f>
        <v>168315.25408119615</v>
      </c>
      <c r="AC37" s="239">
        <f>AC11-AC35</f>
        <v>161980.98337106733</v>
      </c>
      <c r="AE37" s="239">
        <f>AE11-AE35</f>
        <v>155095.15906900587</v>
      </c>
      <c r="AG37" s="239">
        <f>AG11-AG35</f>
        <v>147630.15417784546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US Bank - Perm Loan</v>
      </c>
      <c r="B40" s="242"/>
      <c r="C40" s="236"/>
      <c r="E40" s="238">
        <f>Application!AF627</f>
        <v>130272.57426426736</v>
      </c>
      <c r="F40" s="238"/>
      <c r="G40" s="238">
        <f>$E$40</f>
        <v>130272.57426426736</v>
      </c>
      <c r="H40" s="238"/>
      <c r="I40" s="238">
        <f>$E$40</f>
        <v>130272.57426426736</v>
      </c>
      <c r="J40" s="238"/>
      <c r="K40" s="238">
        <f>$E$40</f>
        <v>130272.57426426736</v>
      </c>
      <c r="L40" s="238"/>
      <c r="M40" s="238">
        <f>$E$40</f>
        <v>130272.57426426736</v>
      </c>
      <c r="N40" s="238"/>
      <c r="O40" s="238">
        <f>$E$40</f>
        <v>130272.57426426736</v>
      </c>
      <c r="P40" s="238"/>
      <c r="Q40" s="238">
        <f>$E$40</f>
        <v>130272.57426426736</v>
      </c>
      <c r="R40" s="238"/>
      <c r="S40" s="238">
        <f>$E$40</f>
        <v>130272.57426426736</v>
      </c>
      <c r="T40" s="238"/>
      <c r="U40" s="238">
        <f>$E$40</f>
        <v>130272.57426426736</v>
      </c>
      <c r="V40" s="238"/>
      <c r="W40" s="238">
        <f>$E$40</f>
        <v>130272.57426426736</v>
      </c>
      <c r="X40" s="238"/>
      <c r="Y40" s="238">
        <f>$E$40</f>
        <v>130272.57426426736</v>
      </c>
      <c r="Z40" s="238"/>
      <c r="AA40" s="238">
        <f>$E$40</f>
        <v>130272.57426426736</v>
      </c>
      <c r="AB40" s="238"/>
      <c r="AC40" s="238">
        <f>$E$40</f>
        <v>130272.57426426736</v>
      </c>
      <c r="AD40" s="238"/>
      <c r="AE40" s="238">
        <f>$E$40</f>
        <v>130272.57426426736</v>
      </c>
      <c r="AF40" s="238"/>
      <c r="AG40" s="238">
        <f>$E$40</f>
        <v>130272.57426426736</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130272.57426426736</v>
      </c>
      <c r="G43" s="239">
        <f>SUM(G40:G42)</f>
        <v>130272.57426426736</v>
      </c>
      <c r="I43" s="239">
        <f>SUM(I40:I42)</f>
        <v>130272.57426426736</v>
      </c>
      <c r="K43" s="239">
        <f>SUM(K40:K42)</f>
        <v>130272.57426426736</v>
      </c>
      <c r="M43" s="239">
        <f>SUM(M40:M42)</f>
        <v>130272.57426426736</v>
      </c>
      <c r="O43" s="239">
        <f>SUM(O40:O42)</f>
        <v>130272.57426426736</v>
      </c>
      <c r="Q43" s="239">
        <f>SUM(Q40:Q42)</f>
        <v>130272.57426426736</v>
      </c>
      <c r="S43" s="239">
        <f>SUM(S40:S42)</f>
        <v>130272.57426426736</v>
      </c>
      <c r="U43" s="239">
        <f>SUM(U40:U42)</f>
        <v>130272.57426426736</v>
      </c>
      <c r="W43" s="239">
        <f>SUM(W40:W42)</f>
        <v>130272.57426426736</v>
      </c>
      <c r="Y43" s="239">
        <f>SUM(Y40:Y42)</f>
        <v>130272.57426426736</v>
      </c>
      <c r="AA43" s="239">
        <f>SUM(AA40:AA42)</f>
        <v>130272.57426426736</v>
      </c>
      <c r="AC43" s="239">
        <f>SUM(AC40:AC42)</f>
        <v>130272.57426426736</v>
      </c>
      <c r="AE43" s="239">
        <f>SUM(AE40:AE42)</f>
        <v>130272.57426426736</v>
      </c>
      <c r="AG43" s="239">
        <f>SUM(AG40:AG42)</f>
        <v>130272.57426426736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78167.425735732642</v>
      </c>
      <c r="G45" s="239">
        <f>G37-G43</f>
        <v>76371.625735732363</v>
      </c>
      <c r="I45" s="239">
        <f>I37-I43</f>
        <v>74262.22673573262</v>
      </c>
      <c r="K45" s="239">
        <f>K37-K43</f>
        <v>71821.921390732619</v>
      </c>
      <c r="M45" s="239">
        <f>M37-M43</f>
        <v>69032.637182257589</v>
      </c>
      <c r="O45" s="239">
        <f>O37-O43</f>
        <v>65875.505632918896</v>
      </c>
      <c r="Q45" s="239">
        <f>Q37-Q43</f>
        <v>62330.830343107329</v>
      </c>
      <c r="S45" s="239">
        <f>S37-S43</f>
        <v>58378.053806081749</v>
      </c>
      <c r="U45" s="239">
        <f>U37-U43</f>
        <v>53995.722956119906</v>
      </c>
      <c r="W45" s="239">
        <f>W37-W43</f>
        <v>49161.453402756582</v>
      </c>
      <c r="Y45" s="239">
        <f>Y37-Y43</f>
        <v>43851.892302407286</v>
      </c>
      <c r="AA45" s="239">
        <f>AA37-AA43</f>
        <v>38042.679816928794</v>
      </c>
      <c r="AC45" s="239">
        <f>AC37-AC43</f>
        <v>31708.409106799969</v>
      </c>
      <c r="AE45" s="239">
        <f>AE37-AE43</f>
        <v>24822.584804738508</v>
      </c>
      <c r="AG45" s="239">
        <f>AG37-AG43</f>
        <v>17357.579913578098</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6.9150235081150604E-2</v>
      </c>
      <c r="G47" s="243">
        <f>G45/(G4+G6+G8)</f>
        <v>6.5913750138722638E-2</v>
      </c>
      <c r="I47" s="243">
        <f>I45/(I4+I6+I8)</f>
        <v>6.2529950902689216E-2</v>
      </c>
      <c r="K47" s="243">
        <f>K45/(K4+K6+K8)</f>
        <v>5.9000171527387499E-2</v>
      </c>
      <c r="M47" s="243">
        <f>M45/(M4+M6+M8)</f>
        <v>5.5325691938688797E-2</v>
      </c>
      <c r="O47" s="243">
        <f>O45/(O4+O6+O8)</f>
        <v>5.1507738943825439E-2</v>
      </c>
      <c r="Q47" s="243">
        <f>Q45/(Q4+Q6+Q8)</f>
        <v>4.7547487312081908E-2</v>
      </c>
      <c r="S47" s="243">
        <f>S45/(S4+S6+S8)</f>
        <v>4.3446060827039869E-2</v>
      </c>
      <c r="U47" s="243">
        <f>U45/(U4+U6+U8)</f>
        <v>3.9204533311048458E-2</v>
      </c>
      <c r="W47" s="243">
        <f>W45/(W4+W6+W8)</f>
        <v>3.4823929622581337E-2</v>
      </c>
      <c r="Y47" s="243">
        <f>Y45/(Y4+Y6+Y8)</f>
        <v>3.0305226627113675E-2</v>
      </c>
      <c r="AA47" s="243">
        <f>AA45/(AA4+AA6+AA8)</f>
        <v>2.5649354142154187E-2</v>
      </c>
      <c r="AC47" s="243">
        <f>AC45/(AC4+AC6+AC8)</f>
        <v>2.0857195857028821E-2</v>
      </c>
      <c r="AE47" s="243">
        <f>AE45/(AE4+AE6+AE8)</f>
        <v>1.5929590228021661E-2</v>
      </c>
      <c r="AG47" s="243">
        <f>AG45/(AG4+AG6+AG8)</f>
        <v>1.0867331349448029E-2</v>
      </c>
    </row>
    <row r="48" spans="1:33" s="243" customFormat="1" ht="14">
      <c r="A48" s="243" t="s">
        <v>863</v>
      </c>
      <c r="C48" s="236"/>
      <c r="E48" s="243">
        <f>E45/E43</f>
        <v>0.60002979274182722</v>
      </c>
      <c r="G48" s="243">
        <f>G45/G43</f>
        <v>0.58624484982393132</v>
      </c>
      <c r="I48" s="243">
        <f>I45/I43</f>
        <v>0.57005265425312246</v>
      </c>
      <c r="K48" s="243">
        <f>K45/K43</f>
        <v>0.55132035116644462</v>
      </c>
      <c r="M48" s="243">
        <f>M45/M43</f>
        <v>0.52990921206653885</v>
      </c>
      <c r="O48" s="243">
        <f>O45/O43</f>
        <v>0.50567439850605589</v>
      </c>
      <c r="Q48" s="243">
        <f>Q45/Q43</f>
        <v>0.47846471673051244</v>
      </c>
      <c r="S48" s="243">
        <f>S45/S43</f>
        <v>0.44812236294385061</v>
      </c>
      <c r="U48" s="243">
        <f>U45/U43</f>
        <v>0.4144826588487126</v>
      </c>
      <c r="W48" s="243">
        <f>W45/W43</f>
        <v>0.37737377710084252</v>
      </c>
      <c r="Y48" s="243">
        <f>Y45/Y43</f>
        <v>0.33661645630376924</v>
      </c>
      <c r="AA48" s="243">
        <f>AA45/AA43</f>
        <v>0.29202370515651638</v>
      </c>
      <c r="AC48" s="243">
        <f>AC45/AC43</f>
        <v>0.24340049535274527</v>
      </c>
      <c r="AE48" s="243">
        <f>AE45/AE43</f>
        <v>0.190543442815401</v>
      </c>
      <c r="AG48" s="243">
        <f>AG45/AG43</f>
        <v>0.13324047683564608</v>
      </c>
    </row>
    <row r="49" spans="1:35" s="244" customFormat="1" ht="14">
      <c r="A49" s="244" t="s">
        <v>861</v>
      </c>
      <c r="C49" s="245"/>
      <c r="E49" s="244">
        <f>E37/E43</f>
        <v>1.6000297927418272</v>
      </c>
      <c r="G49" s="244">
        <f>G37/G43</f>
        <v>1.5862448498239314</v>
      </c>
      <c r="I49" s="244">
        <f>I37/I43</f>
        <v>1.5700526542531226</v>
      </c>
      <c r="K49" s="244">
        <f>K37/K43</f>
        <v>1.5513203511664446</v>
      </c>
      <c r="M49" s="244">
        <f>M37/M43</f>
        <v>1.529909212066539</v>
      </c>
      <c r="O49" s="244">
        <f>O37/O43</f>
        <v>1.5056743985060559</v>
      </c>
      <c r="Q49" s="244">
        <f>Q37/Q43</f>
        <v>1.4784647167305125</v>
      </c>
      <c r="S49" s="244">
        <f>S37/S43</f>
        <v>1.4481223629438507</v>
      </c>
      <c r="U49" s="244">
        <f>U37/U43</f>
        <v>1.4144826588487127</v>
      </c>
      <c r="W49" s="244">
        <f>W37/W43</f>
        <v>1.3773737771008425</v>
      </c>
      <c r="Y49" s="244">
        <f>Y37/Y43</f>
        <v>1.3366164563037692</v>
      </c>
      <c r="AA49" s="244">
        <f>AA37/AA43</f>
        <v>1.2920237051565164</v>
      </c>
      <c r="AC49" s="244">
        <f>AC37/AC43</f>
        <v>1.2434004953527453</v>
      </c>
      <c r="AE49" s="244">
        <f>AE37/AE43</f>
        <v>1.1905434428154009</v>
      </c>
      <c r="AG49" s="244">
        <f>AG37/AG43</f>
        <v>1.1332404768356461</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1290</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78167.425735732642</v>
      </c>
      <c r="G60" s="997">
        <f>G45-G58</f>
        <v>76371.625735732363</v>
      </c>
      <c r="I60" s="997">
        <f>I45-I58</f>
        <v>74262.22673573262</v>
      </c>
      <c r="K60" s="997">
        <f>K45-K58</f>
        <v>71821.921390732619</v>
      </c>
      <c r="M60" s="997">
        <f>M45-M58</f>
        <v>69032.637182257589</v>
      </c>
      <c r="O60" s="997">
        <f>O45-O58</f>
        <v>65875.505632918896</v>
      </c>
      <c r="Q60" s="997">
        <f>Q45-Q58</f>
        <v>62330.830343107329</v>
      </c>
      <c r="S60" s="997">
        <f>S45-S58</f>
        <v>58378.053806081749</v>
      </c>
      <c r="U60" s="997">
        <f>U45-U58</f>
        <v>53995.722956119906</v>
      </c>
      <c r="W60" s="997">
        <f>W45-W58</f>
        <v>49161.453402756582</v>
      </c>
      <c r="Y60" s="997">
        <f>Y45-Y58</f>
        <v>43851.892302407286</v>
      </c>
      <c r="AA60" s="997">
        <f>AA45-AA58</f>
        <v>38042.679816928794</v>
      </c>
      <c r="AC60" s="997">
        <f>AC45-AC58</f>
        <v>31708.409106799969</v>
      </c>
      <c r="AE60" s="997">
        <f>AE45-AE58</f>
        <v>24822.584804738508</v>
      </c>
      <c r="AG60" s="997">
        <f>AG45-AG58</f>
        <v>17357.579913578098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79" t="s">
        <v>1290</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78167.425735732642</v>
      </c>
      <c r="G72" s="997">
        <f>G60-G62-G70</f>
        <v>76371.625735732363</v>
      </c>
      <c r="I72" s="997">
        <f>I60-I62-I70</f>
        <v>74262.22673573262</v>
      </c>
      <c r="K72" s="997">
        <f>K60-K62-K70</f>
        <v>71821.921390732619</v>
      </c>
      <c r="M72" s="997">
        <f>M60-M62-M70</f>
        <v>69032.637182257589</v>
      </c>
      <c r="O72" s="997">
        <f>O60-O62-O70</f>
        <v>65875.505632918896</v>
      </c>
      <c r="Q72" s="997">
        <f>Q60-Q62-Q70</f>
        <v>62330.830343107329</v>
      </c>
      <c r="S72" s="997">
        <f>S60-S62-S70</f>
        <v>58378.053806081749</v>
      </c>
      <c r="U72" s="997">
        <f>U60-U62-U70</f>
        <v>53995.722956119906</v>
      </c>
      <c r="W72" s="997">
        <f>W60-W62-W70</f>
        <v>49161.453402756582</v>
      </c>
      <c r="Y72" s="997">
        <f>Y60-Y62-Y70</f>
        <v>43851.892302407286</v>
      </c>
      <c r="AA72" s="997">
        <f>AA60-AA62-AA70</f>
        <v>38042.679816928794</v>
      </c>
      <c r="AC72" s="997">
        <f>AC60-AC62-AC70</f>
        <v>31708.409106799969</v>
      </c>
      <c r="AE72" s="997">
        <f>AE60-AE62-AE70</f>
        <v>24822.584804738508</v>
      </c>
      <c r="AG72" s="997">
        <f>AG60-AG62-AG70</f>
        <v>17357.579913578098</v>
      </c>
    </row>
    <row r="73" spans="1:35" s="995" customFormat="1" ht="13">
      <c r="A73" s="563"/>
      <c r="C73" s="1005"/>
    </row>
    <row r="74" spans="1:35" s="233" customFormat="1" ht="13">
      <c r="A74" s="563"/>
      <c r="C74" s="192"/>
    </row>
    <row r="75" spans="1:35" s="233" customFormat="1">
      <c r="A75" s="995" t="s">
        <v>1910</v>
      </c>
      <c r="C75" s="192"/>
    </row>
    <row r="76" spans="1:35" s="233" customFormat="1">
      <c r="C76" s="192"/>
    </row>
    <row r="77" spans="1:35" s="250" customFormat="1" ht="30" customHeight="1">
      <c r="A77" s="2677" t="s">
        <v>1909</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76"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1323</v>
      </c>
      <c r="D1" s="301"/>
    </row>
    <row r="2" spans="1:7" s="296" customFormat="1" ht="13">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3">
      <c r="A4" s="284" t="s">
        <v>26</v>
      </c>
      <c r="B4" s="284"/>
      <c r="C4" s="284"/>
      <c r="D4" s="284"/>
      <c r="E4" s="303"/>
      <c r="F4" s="284"/>
      <c r="G4" s="383"/>
    </row>
    <row r="5" spans="1:7" s="380" customFormat="1">
      <c r="A5" s="395" t="s">
        <v>27</v>
      </c>
      <c r="B5" s="286">
        <f>'Sources and Uses Budget'!$C4</f>
        <v>99</v>
      </c>
      <c r="C5" s="286">
        <f>'Sources and Uses Budget'!$C4</f>
        <v>99</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38400</v>
      </c>
      <c r="C7" s="286">
        <f>'Sources and Uses Budget'!$C6</f>
        <v>38400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38499</v>
      </c>
      <c r="C9" s="290">
        <f>SUM(C5:C8)</f>
        <v>38499</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38499</v>
      </c>
      <c r="C13" s="290">
        <f>SUM(C9+C12)</f>
        <v>38499</v>
      </c>
      <c r="D13" s="290">
        <f t="shared" si="0"/>
        <v>0</v>
      </c>
      <c r="E13" s="288"/>
      <c r="F13" s="287"/>
      <c r="G13" s="383"/>
    </row>
    <row r="14" spans="1:7" s="380" customFormat="1">
      <c r="A14" s="397" t="s">
        <v>917</v>
      </c>
      <c r="B14" s="286">
        <f>'Sources and Uses Budget'!$C13</f>
        <v>371000</v>
      </c>
      <c r="C14" s="286">
        <f>'Sources and Uses Budget'!$C13</f>
        <v>371000</v>
      </c>
      <c r="D14" s="290">
        <f t="shared" si="0"/>
        <v>0</v>
      </c>
      <c r="E14" s="288"/>
      <c r="F14" s="287"/>
      <c r="G14" s="383"/>
    </row>
    <row r="15" spans="1:7" s="380" customFormat="1" ht="23">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606</v>
      </c>
      <c r="B30" s="286">
        <f>'Sources and Uses Budget'!$C29</f>
        <v>916582</v>
      </c>
      <c r="C30" s="286">
        <f>'Sources and Uses Budget'!$C29</f>
        <v>916582</v>
      </c>
      <c r="D30" s="290">
        <f t="shared" si="0"/>
        <v>0</v>
      </c>
      <c r="E30" s="288"/>
      <c r="F30" s="287"/>
      <c r="G30" s="383"/>
    </row>
    <row r="31" spans="1:7" s="380" customFormat="1">
      <c r="A31" s="145" t="s">
        <v>607</v>
      </c>
      <c r="B31" s="286">
        <f ca="1">'Sources and Uses Budget'!$C30</f>
        <v>14769655.5</v>
      </c>
      <c r="C31" s="286">
        <f ca="1">'Sources and Uses Budget'!$C30</f>
        <v>14769655.5</v>
      </c>
      <c r="D31" s="290">
        <f t="shared" ca="1" si="0"/>
        <v>0</v>
      </c>
      <c r="E31" s="288"/>
      <c r="F31" s="287"/>
      <c r="G31" s="383"/>
    </row>
    <row r="32" spans="1:7" s="380" customFormat="1">
      <c r="A32" s="145" t="s">
        <v>608</v>
      </c>
      <c r="B32" s="286">
        <f>'Sources and Uses Budget'!$C31</f>
        <v>1875789</v>
      </c>
      <c r="C32" s="286">
        <f>'Sources and Uses Budget'!$C31</f>
        <v>1875789</v>
      </c>
      <c r="D32" s="290">
        <f t="shared" si="0"/>
        <v>0</v>
      </c>
      <c r="E32" s="288"/>
      <c r="F32" s="287"/>
      <c r="G32" s="383"/>
    </row>
    <row r="33" spans="1:7" s="380" customFormat="1">
      <c r="A33" s="145" t="s">
        <v>137</v>
      </c>
      <c r="B33" s="286">
        <f>'Sources and Uses Budget'!$C32</f>
        <v>376541</v>
      </c>
      <c r="C33" s="286">
        <f>'Sources and Uses Budget'!$C32</f>
        <v>376541</v>
      </c>
      <c r="D33" s="290">
        <f t="shared" si="0"/>
        <v>0</v>
      </c>
      <c r="E33" s="288"/>
      <c r="F33" s="287"/>
      <c r="G33" s="383"/>
    </row>
    <row r="34" spans="1:7" s="380" customFormat="1">
      <c r="A34" s="145" t="s">
        <v>138</v>
      </c>
      <c r="B34" s="286">
        <f>'Sources and Uses Budget'!$C33</f>
        <v>376541</v>
      </c>
      <c r="C34" s="286">
        <f>'Sources and Uses Budget'!$C33</f>
        <v>376541</v>
      </c>
      <c r="D34" s="290">
        <f t="shared" si="0"/>
        <v>0</v>
      </c>
      <c r="E34" s="288"/>
      <c r="F34" s="287"/>
      <c r="G34" s="383"/>
    </row>
    <row r="35" spans="1:7" s="380" customFormat="1">
      <c r="A35" s="145" t="s">
        <v>139</v>
      </c>
      <c r="B35" s="286">
        <f ca="1">'Sources and Uses Budget'!$C34</f>
        <v>3137247.5</v>
      </c>
      <c r="C35" s="286">
        <f ca="1">'Sources and Uses Budget'!$C34</f>
        <v>3137247.5</v>
      </c>
      <c r="D35" s="290">
        <f t="shared" ca="1" si="0"/>
        <v>0</v>
      </c>
      <c r="E35" s="288"/>
      <c r="F35" s="287"/>
      <c r="G35" s="383"/>
    </row>
    <row r="36" spans="1:7" s="380" customFormat="1">
      <c r="A36" s="145" t="s">
        <v>140</v>
      </c>
      <c r="B36" s="286">
        <f>'Sources and Uses Budget'!$C35</f>
        <v>428566</v>
      </c>
      <c r="C36" s="286">
        <f>'Sources and Uses Budget'!$C35</f>
        <v>428566</v>
      </c>
      <c r="D36" s="290">
        <f t="shared" si="0"/>
        <v>0</v>
      </c>
      <c r="E36" s="288"/>
      <c r="F36" s="287"/>
      <c r="G36" s="383"/>
    </row>
    <row r="37" spans="1:7" s="380" customFormat="1">
      <c r="A37" s="304" t="s">
        <v>1751</v>
      </c>
      <c r="B37" s="286">
        <f>'Sources and Uses Budget'!$C36</f>
        <v>156000</v>
      </c>
      <c r="C37" s="286">
        <f>'Sources and Uses Budget'!$C36</f>
        <v>156000</v>
      </c>
      <c r="D37" s="290"/>
      <c r="E37" s="288"/>
      <c r="F37" s="287"/>
      <c r="G37" s="383"/>
    </row>
    <row r="38" spans="1:7" s="380" customFormat="1">
      <c r="A38" s="155" t="str">
        <f>'Sources and Uses Budget'!A37</f>
        <v>pv system</v>
      </c>
      <c r="B38" s="286">
        <f>'Sources and Uses Budget'!$C37</f>
        <v>178264</v>
      </c>
      <c r="C38" s="286">
        <f>'Sources and Uses Budget'!$C37</f>
        <v>178264</v>
      </c>
      <c r="D38" s="290">
        <f t="shared" si="0"/>
        <v>0</v>
      </c>
      <c r="E38" s="288"/>
      <c r="F38" s="287"/>
      <c r="G38" s="383"/>
    </row>
    <row r="39" spans="1:7" s="380" customFormat="1" ht="13">
      <c r="A39" s="291" t="s">
        <v>143</v>
      </c>
      <c r="B39" s="290">
        <f ca="1">SUM(B30:B38)</f>
        <v>22215186</v>
      </c>
      <c r="C39" s="290">
        <f ca="1">SUM(C30:C38)</f>
        <v>22215186</v>
      </c>
      <c r="D39" s="290">
        <f t="shared" ca="1"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674173.60000000009</v>
      </c>
      <c r="C41" s="286">
        <f>'Sources and Uses Budget'!$C40</f>
        <v>674173.60000000009</v>
      </c>
      <c r="D41" s="290">
        <f t="shared" si="0"/>
        <v>0</v>
      </c>
      <c r="E41" s="288"/>
      <c r="F41" s="287"/>
      <c r="G41" s="383"/>
    </row>
    <row r="42" spans="1:7" s="380" customFormat="1">
      <c r="A42" s="289" t="s">
        <v>146</v>
      </c>
      <c r="B42" s="286">
        <f>'Sources and Uses Budget'!$C41</f>
        <v>168543.39999999991</v>
      </c>
      <c r="C42" s="286">
        <f>'Sources and Uses Budget'!$C41</f>
        <v>168543.39999999991</v>
      </c>
      <c r="D42" s="290">
        <f t="shared" si="0"/>
        <v>0</v>
      </c>
      <c r="E42" s="288"/>
      <c r="F42" s="287"/>
      <c r="G42" s="383"/>
    </row>
    <row r="43" spans="1:7" s="380" customFormat="1" ht="13">
      <c r="A43" s="291" t="s">
        <v>147</v>
      </c>
      <c r="B43" s="290">
        <f>SUM(B41:B42)</f>
        <v>842717</v>
      </c>
      <c r="C43" s="290">
        <f>SUM(C41:C42)</f>
        <v>842717</v>
      </c>
      <c r="D43" s="290">
        <f t="shared" si="0"/>
        <v>0</v>
      </c>
      <c r="E43" s="288"/>
      <c r="F43" s="287"/>
      <c r="G43" s="383"/>
    </row>
    <row r="44" spans="1:7" s="380" customFormat="1" ht="13">
      <c r="A44" s="291" t="s">
        <v>148</v>
      </c>
      <c r="B44" s="286">
        <f>'Sources and Uses Budget'!$C43</f>
        <v>418167</v>
      </c>
      <c r="C44" s="286">
        <f>'Sources and Uses Budget'!$C43</f>
        <v>418167</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3262269.3423301158</v>
      </c>
      <c r="C46" s="286">
        <f>'Sources and Uses Budget'!$C45</f>
        <v>3262269.3423301158</v>
      </c>
      <c r="D46" s="290">
        <f t="shared" si="0"/>
        <v>0</v>
      </c>
      <c r="E46" s="288"/>
      <c r="F46" s="287"/>
      <c r="G46" s="383"/>
    </row>
    <row r="47" spans="1:7" s="380" customFormat="1">
      <c r="A47" s="145" t="s">
        <v>151</v>
      </c>
      <c r="B47" s="286">
        <f>'Sources and Uses Budget'!$C46</f>
        <v>252311.27704372813</v>
      </c>
      <c r="C47" s="286">
        <f>'Sources and Uses Budget'!$C46</f>
        <v>252311.27704372813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142755.17834274643</v>
      </c>
      <c r="C50" s="286">
        <f>'Sources and Uses Budget'!$C49</f>
        <v>142755.17834274643</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85000</v>
      </c>
      <c r="C52" s="286">
        <f>'Sources and Uses Budget'!$C51</f>
        <v>85000</v>
      </c>
      <c r="D52" s="290">
        <f t="shared" si="0"/>
        <v>0</v>
      </c>
      <c r="E52" s="288"/>
      <c r="F52" s="287"/>
      <c r="G52" s="383"/>
    </row>
    <row r="53" spans="1:7" s="380" customFormat="1">
      <c r="A53" s="145" t="s">
        <v>155</v>
      </c>
      <c r="B53" s="286">
        <f>'Sources and Uses Budget'!$C52</f>
        <v>400000</v>
      </c>
      <c r="C53" s="286">
        <f>'Sources and Uses Budget'!$C52</f>
        <v>400000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4242335.7977165906</v>
      </c>
      <c r="C55" s="293">
        <f>SUM(C46:C54)</f>
        <v>4242335.7977165906</v>
      </c>
      <c r="D55" s="290">
        <f t="shared" si="0"/>
        <v>0</v>
      </c>
      <c r="E55" s="288"/>
      <c r="F55" s="287"/>
      <c r="G55" s="384"/>
    </row>
    <row r="56" spans="1:7" s="380" customFormat="1" ht="13">
      <c r="A56" s="284" t="s">
        <v>418</v>
      </c>
      <c r="B56" s="284"/>
      <c r="C56" s="284"/>
      <c r="D56" s="284"/>
      <c r="E56" s="303"/>
      <c r="F56" s="284"/>
      <c r="G56" s="383"/>
    </row>
    <row r="57" spans="1:7" s="380" customFormat="1">
      <c r="A57" s="289" t="s">
        <v>158</v>
      </c>
      <c r="B57" s="286">
        <f>'Sources and Uses Budget'!$C56</f>
        <v>12078</v>
      </c>
      <c r="C57" s="286">
        <f>'Sources and Uses Budget'!$C56</f>
        <v>12078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22078</v>
      </c>
      <c r="C63" s="290">
        <f>SUM(C57:C62)</f>
        <v>22078</v>
      </c>
      <c r="D63" s="290">
        <f t="shared" si="0"/>
        <v>0</v>
      </c>
      <c r="E63" s="288"/>
      <c r="F63" s="287"/>
      <c r="G63" s="383"/>
    </row>
    <row r="64" spans="1:7" s="380" customFormat="1" ht="13">
      <c r="A64" s="294" t="s">
        <v>303</v>
      </c>
      <c r="B64" s="290">
        <f ca="1">SUM(B9+B12+B14+B15+B17+B26+B28+B39+B43+B44+B55+B63)</f>
        <v>28149982.797716592</v>
      </c>
      <c r="C64" s="290">
        <f ca="1">SUM(C9+C12+C14+C15+C17+C26+C28+C39+C43+C44+C55+C63)</f>
        <v>28149982.797716592</v>
      </c>
      <c r="D64" s="290">
        <f t="shared" ca="1"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85000</v>
      </c>
      <c r="C66" s="286">
        <f>'Sources and Uses Budget'!$C65</f>
        <v>85000</v>
      </c>
      <c r="D66" s="290">
        <f t="shared" si="0"/>
        <v>0</v>
      </c>
      <c r="E66" s="288"/>
      <c r="F66" s="287"/>
      <c r="G66" s="383"/>
    </row>
    <row r="67" spans="1:7" s="380" customFormat="1" ht="23">
      <c r="A67" s="304" t="s">
        <v>1752</v>
      </c>
      <c r="B67" s="286">
        <f>'Sources and Uses Budget'!$C66</f>
        <v>0</v>
      </c>
      <c r="C67" s="286">
        <f>'Sources and Uses Budget'!$C66</f>
        <v>0</v>
      </c>
      <c r="D67" s="290"/>
      <c r="E67" s="288"/>
      <c r="F67" s="287"/>
      <c r="G67" s="383"/>
    </row>
    <row r="68" spans="1:7" s="380" customFormat="1" ht="23">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165000</v>
      </c>
      <c r="C70" s="286">
        <f>'Sources and Uses Budget'!$C69</f>
        <v>165000</v>
      </c>
      <c r="D70" s="290">
        <f t="shared" si="0"/>
        <v>0</v>
      </c>
      <c r="E70" s="288"/>
      <c r="F70" s="287"/>
      <c r="G70" s="383"/>
    </row>
    <row r="71" spans="1:7" s="380" customFormat="1">
      <c r="A71" s="149" t="s">
        <v>1756</v>
      </c>
      <c r="B71" s="290">
        <f>SUM(B66:B70)</f>
        <v>250000</v>
      </c>
      <c r="C71" s="290">
        <f>SUM(C66:C70)</f>
        <v>250000</v>
      </c>
      <c r="D71" s="290">
        <f t="shared" si="0"/>
        <v>0</v>
      </c>
      <c r="E71" s="288"/>
      <c r="F71" s="287"/>
      <c r="G71" s="383"/>
    </row>
    <row r="72" spans="1:7" s="380" customFormat="1" ht="13">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426000</v>
      </c>
      <c r="C76" s="286">
        <f>'Sources and Uses Budget'!$C75</f>
        <v>426000</v>
      </c>
      <c r="D76" s="290">
        <f t="shared" si="0"/>
        <v>0</v>
      </c>
      <c r="E76" s="288"/>
      <c r="F76" s="287"/>
      <c r="G76" s="383"/>
    </row>
    <row r="77" spans="1:7" s="380" customFormat="1">
      <c r="A77" s="292" t="s">
        <v>34</v>
      </c>
      <c r="B77" s="286">
        <f>'Sources and Uses Budget'!$C76</f>
        <v>166319.99999999997</v>
      </c>
      <c r="C77" s="286">
        <f>'Sources and Uses Budget'!$C76</f>
        <v>166319.99999999997</v>
      </c>
      <c r="D77" s="290">
        <f t="shared" si="0"/>
        <v>0</v>
      </c>
      <c r="E77" s="288"/>
      <c r="F77" s="287"/>
      <c r="G77" s="383"/>
    </row>
    <row r="78" spans="1:7" s="380" customFormat="1" ht="13">
      <c r="A78" s="291" t="s">
        <v>614</v>
      </c>
      <c r="B78" s="290">
        <f>SUM(B73:B77)</f>
        <v>592320</v>
      </c>
      <c r="C78" s="290">
        <f>SUM(C73:C77)</f>
        <v>592320</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2183551.16</v>
      </c>
      <c r="C80" s="286">
        <f>'Sources and Uses Budget'!$C79</f>
        <v>2183551.16</v>
      </c>
      <c r="D80" s="290">
        <f t="shared" si="1"/>
        <v>0</v>
      </c>
      <c r="E80" s="288"/>
      <c r="F80" s="287"/>
      <c r="G80" s="383"/>
    </row>
    <row r="81" spans="1:7" s="380" customFormat="1">
      <c r="A81" s="544" t="s">
        <v>58</v>
      </c>
      <c r="B81" s="286">
        <f>'Sources and Uses Budget'!$C80</f>
        <v>450000</v>
      </c>
      <c r="C81" s="286">
        <f>'Sources and Uses Budget'!$C80</f>
        <v>450000</v>
      </c>
      <c r="D81" s="290">
        <f>C81-B81</f>
        <v>0</v>
      </c>
      <c r="E81" s="288"/>
      <c r="F81" s="287"/>
      <c r="G81" s="383"/>
    </row>
    <row r="82" spans="1:7" s="380" customFormat="1" ht="13">
      <c r="A82" s="291" t="s">
        <v>1315</v>
      </c>
      <c r="B82" s="290">
        <f>SUM(B80:B81)</f>
        <v>2633551.16</v>
      </c>
      <c r="C82" s="290">
        <f>SUM(C80:C81)</f>
        <v>2633551.16</v>
      </c>
      <c r="D82" s="290">
        <f t="shared" si="1"/>
        <v>0</v>
      </c>
      <c r="E82" s="288"/>
      <c r="F82" s="287"/>
      <c r="G82" s="383"/>
    </row>
    <row r="83" spans="1:7" s="380" customFormat="1" ht="13">
      <c r="A83" s="284" t="s">
        <v>774</v>
      </c>
      <c r="B83" s="284"/>
      <c r="C83" s="284"/>
      <c r="D83" s="284"/>
      <c r="E83" s="303"/>
      <c r="F83" s="284"/>
      <c r="G83" s="383"/>
    </row>
    <row r="84" spans="1:7" s="380" customFormat="1" ht="13.75" customHeight="1">
      <c r="A84" s="289" t="s">
        <v>775</v>
      </c>
      <c r="B84" s="286">
        <f>'Sources and Uses Budget'!$C83</f>
        <v>47327.863576470481</v>
      </c>
      <c r="C84" s="286">
        <f>'Sources and Uses Budget'!$C83</f>
        <v>47327.863576470481</v>
      </c>
      <c r="D84" s="290">
        <f t="shared" si="1"/>
        <v>0</v>
      </c>
      <c r="E84" s="288"/>
      <c r="F84" s="287"/>
      <c r="G84" s="383"/>
    </row>
    <row r="85" spans="1:7" s="380" customFormat="1">
      <c r="A85" s="289" t="s">
        <v>776</v>
      </c>
      <c r="B85" s="286">
        <f>'Sources and Uses Budget'!$C84</f>
        <v>92223</v>
      </c>
      <c r="C85" s="286">
        <f>'Sources and Uses Budget'!$C84</f>
        <v>92223</v>
      </c>
      <c r="D85" s="290">
        <f t="shared" si="1"/>
        <v>0</v>
      </c>
      <c r="E85" s="288"/>
      <c r="F85" s="287"/>
      <c r="G85" s="383"/>
    </row>
    <row r="86" spans="1:7" s="380" customFormat="1">
      <c r="A86" s="289" t="s">
        <v>777</v>
      </c>
      <c r="B86" s="286">
        <f>'Sources and Uses Budget'!$C85</f>
        <v>1140992</v>
      </c>
      <c r="C86" s="286">
        <f>'Sources and Uses Budget'!$C85</f>
        <v>1140992</v>
      </c>
      <c r="D86" s="290">
        <f t="shared" si="1"/>
        <v>0</v>
      </c>
      <c r="E86" s="288"/>
      <c r="F86" s="287"/>
      <c r="G86" s="383"/>
    </row>
    <row r="87" spans="1:7" s="380" customFormat="1">
      <c r="A87" s="289" t="s">
        <v>778</v>
      </c>
      <c r="B87" s="286">
        <f>'Sources and Uses Budget'!$C86</f>
        <v>1285555</v>
      </c>
      <c r="C87" s="286">
        <f>'Sources and Uses Budget'!$C86</f>
        <v>1285555</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306000</v>
      </c>
      <c r="C89" s="286">
        <f>'Sources and Uses Budget'!$C88</f>
        <v>306000</v>
      </c>
      <c r="D89" s="290">
        <f t="shared" si="1"/>
        <v>0</v>
      </c>
      <c r="E89" s="288"/>
      <c r="F89" s="287"/>
      <c r="G89" s="383"/>
    </row>
    <row r="90" spans="1:7" s="380" customFormat="1">
      <c r="A90" s="289" t="s">
        <v>781</v>
      </c>
      <c r="B90" s="286">
        <f>'Sources and Uses Budget'!$C89</f>
        <v>150500</v>
      </c>
      <c r="C90" s="286">
        <f>'Sources and Uses Budget'!$C89</f>
        <v>150500</v>
      </c>
      <c r="D90" s="290">
        <f t="shared" si="1"/>
        <v>0</v>
      </c>
      <c r="E90" s="288"/>
      <c r="F90" s="287"/>
      <c r="G90" s="383"/>
    </row>
    <row r="91" spans="1:7" s="380" customFormat="1">
      <c r="A91" s="289" t="s">
        <v>782</v>
      </c>
      <c r="B91" s="286">
        <f>'Sources and Uses Budget'!$C90</f>
        <v>17000</v>
      </c>
      <c r="C91" s="286">
        <f>'Sources and Uses Budget'!$C90</f>
        <v>17000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1317</v>
      </c>
      <c r="B93" s="286">
        <f>'Sources and Uses Budget'!$C92</f>
        <v>25000</v>
      </c>
      <c r="C93" s="286">
        <f>'Sources and Uses Budget'!$C92</f>
        <v>25000</v>
      </c>
      <c r="D93" s="290">
        <f t="shared" si="1"/>
        <v>0</v>
      </c>
      <c r="E93" s="288"/>
      <c r="F93" s="287"/>
      <c r="G93" s="383"/>
    </row>
    <row r="94" spans="1:7" s="380" customFormat="1">
      <c r="A94" s="292" t="s">
        <v>34</v>
      </c>
      <c r="B94" s="286">
        <f>'Sources and Uses Budget'!$C93</f>
        <v>85000</v>
      </c>
      <c r="C94" s="286">
        <f>'Sources and Uses Budget'!$C93</f>
        <v>85000</v>
      </c>
      <c r="D94" s="290">
        <f t="shared" si="1"/>
        <v>0</v>
      </c>
      <c r="E94" s="288"/>
      <c r="F94" s="287"/>
      <c r="G94" s="383"/>
    </row>
    <row r="95" spans="1:7" s="380" customFormat="1">
      <c r="A95" s="292" t="s">
        <v>34</v>
      </c>
      <c r="B95" s="286">
        <f>'Sources and Uses Budget'!$C94</f>
        <v>350000</v>
      </c>
      <c r="C95" s="286">
        <f>'Sources and Uses Budget'!$C94</f>
        <v>350000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783</v>
      </c>
      <c r="B97" s="290">
        <f>SUM(B84:B96)</f>
        <v>3499597.8635764704</v>
      </c>
      <c r="C97" s="290">
        <f>SUM(C84:C96)</f>
        <v>3499597.8635764704</v>
      </c>
      <c r="D97" s="290">
        <f t="shared" si="1"/>
        <v>0</v>
      </c>
      <c r="E97" s="288"/>
      <c r="F97" s="287"/>
      <c r="G97" s="383"/>
    </row>
    <row r="98" spans="1:7" s="380" customFormat="1" ht="13">
      <c r="A98" s="291" t="s">
        <v>784</v>
      </c>
      <c r="B98" s="290">
        <f ca="1">SUM(B64+B71+B78+B82+B97)</f>
        <v>35125451.821293063</v>
      </c>
      <c r="C98" s="290">
        <f ca="1">SUM(C64+C71+C78+C82+C97)</f>
        <v>35125451.821293063</v>
      </c>
      <c r="D98" s="290">
        <f t="shared" ca="1" si="1"/>
        <v>0</v>
      </c>
      <c r="E98" s="288"/>
      <c r="F98" s="287"/>
      <c r="G98" s="383"/>
    </row>
    <row r="99" spans="1:7" s="380" customFormat="1" ht="13">
      <c r="A99" s="284" t="s">
        <v>785</v>
      </c>
      <c r="B99" s="284"/>
      <c r="C99" s="284"/>
      <c r="D99" s="284"/>
      <c r="E99" s="303"/>
      <c r="F99" s="284"/>
      <c r="G99" s="383"/>
    </row>
    <row r="100" spans="1:7" s="380" customFormat="1">
      <c r="A100" s="145" t="s">
        <v>786</v>
      </c>
      <c r="B100" s="286">
        <f>'Sources and Uses Budget'!$C99</f>
        <v>3000000</v>
      </c>
      <c r="C100" s="286">
        <f>'Sources and Uses Budget'!$C99</f>
        <v>3000000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788</v>
      </c>
      <c r="B105" s="290">
        <f>SUM(B100:B104)</f>
        <v>3000000</v>
      </c>
      <c r="C105" s="290">
        <f>SUM(C100:C104)</f>
        <v>3000000</v>
      </c>
      <c r="D105" s="290">
        <f t="shared" si="1"/>
        <v>0</v>
      </c>
      <c r="E105" s="288"/>
      <c r="F105" s="287"/>
      <c r="G105" s="383"/>
    </row>
    <row r="106" spans="1:7" s="380" customFormat="1" ht="13">
      <c r="A106" s="291" t="s">
        <v>789</v>
      </c>
      <c r="B106" s="293">
        <f ca="1">SUM(B98+B105)</f>
        <v>38125451.821293063</v>
      </c>
      <c r="C106" s="293">
        <f ca="1">SUM(C98+C105)</f>
        <v>38125451.821293063</v>
      </c>
      <c r="D106" s="290">
        <f t="shared" ca="1" si="1"/>
        <v>0</v>
      </c>
      <c r="E106" s="288"/>
      <c r="F106" s="287"/>
      <c r="G106" s="383"/>
    </row>
    <row r="107" spans="1:7" s="380" customFormat="1" ht="13">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4" t="s">
        <v>1068</v>
      </c>
      <c r="B2" s="1304"/>
      <c r="C2" s="1268"/>
      <c r="D2" s="1268"/>
      <c r="E2" s="1268"/>
      <c r="F2" s="1268"/>
      <c r="G2" s="1268"/>
    </row>
    <row r="3" spans="1:9" s="173" customFormat="1" ht="13">
      <c r="A3" s="1304" t="s">
        <v>1009</v>
      </c>
      <c r="B3" s="1304"/>
      <c r="C3" s="1268"/>
      <c r="D3" s="1268"/>
      <c r="E3" s="1268"/>
      <c r="F3" s="1268"/>
      <c r="G3" s="1268"/>
      <c r="I3" t="s">
        <v>308</v>
      </c>
    </row>
    <row r="4" spans="1:9">
      <c r="I4" s="3" t="s">
        <v>1069</v>
      </c>
    </row>
    <row r="5" spans="1:9" ht="13">
      <c r="A5" s="1306" t="s">
        <v>1010</v>
      </c>
      <c r="B5" s="1306"/>
      <c r="C5" s="1268"/>
      <c r="D5" s="1268"/>
      <c r="E5" s="1268"/>
      <c r="F5" s="1268"/>
      <c r="G5" s="1268"/>
      <c r="I5" s="3" t="s">
        <v>1070</v>
      </c>
    </row>
    <row r="6" spans="1:9" ht="13">
      <c r="A6" s="1306" t="s">
        <v>828</v>
      </c>
      <c r="B6" s="1306"/>
      <c r="C6" s="1268"/>
      <c r="D6" s="1268"/>
      <c r="E6" s="1268"/>
      <c r="F6" s="1268"/>
      <c r="G6" s="1268"/>
      <c r="I6" t="s">
        <v>599</v>
      </c>
    </row>
    <row r="7" spans="1:9" ht="11.9" customHeight="1"/>
    <row r="8" spans="1:9" ht="13">
      <c r="A8" s="1304" t="s">
        <v>1165</v>
      </c>
      <c r="B8" s="1304"/>
      <c r="C8" s="1305"/>
      <c r="D8" s="1305"/>
      <c r="E8" s="1305"/>
      <c r="F8" s="1305"/>
      <c r="G8" s="1305"/>
    </row>
    <row r="9" spans="1:9" ht="13">
      <c r="A9" s="1304" t="s">
        <v>1166</v>
      </c>
      <c r="B9" s="1304"/>
      <c r="C9" s="1305"/>
      <c r="D9" s="1305"/>
      <c r="E9" s="1305"/>
      <c r="F9" s="1305"/>
      <c r="G9" s="1305"/>
    </row>
    <row r="10" spans="1:9" ht="13">
      <c r="A10" s="174"/>
      <c r="B10" s="174"/>
      <c r="C10" s="172"/>
      <c r="D10" s="172"/>
      <c r="E10" s="172"/>
      <c r="F10" s="172"/>
    </row>
    <row r="11" spans="1:9" ht="13">
      <c r="A11" s="1287" t="s">
        <v>1168</v>
      </c>
      <c r="B11" s="1287"/>
      <c r="C11" s="1287"/>
      <c r="D11" s="1287"/>
      <c r="E11" s="1287"/>
      <c r="F11" s="1287"/>
      <c r="G11" s="1287"/>
    </row>
    <row r="12" spans="1:9" ht="13">
      <c r="A12" s="172"/>
      <c r="B12" s="172"/>
      <c r="E12" s="2"/>
    </row>
    <row r="13" spans="1:9" ht="13.15" customHeight="1">
      <c r="C13" s="172"/>
      <c r="D13" s="1289" t="s">
        <v>1167</v>
      </c>
      <c r="E13" s="1289"/>
      <c r="F13" s="1289"/>
    </row>
    <row r="14" spans="1:9" ht="13">
      <c r="C14" s="172"/>
      <c r="D14" s="1289"/>
      <c r="E14" s="1289"/>
      <c r="F14" s="1289"/>
    </row>
    <row r="15" spans="1:9" ht="13">
      <c r="A15" s="175"/>
      <c r="B15" s="175"/>
      <c r="C15" s="175"/>
      <c r="D15" s="1286" t="s">
        <v>1150</v>
      </c>
      <c r="E15" s="1286"/>
      <c r="F15" s="1286"/>
    </row>
    <row r="16" spans="1:9" ht="13">
      <c r="A16" s="175"/>
      <c r="B16" s="175"/>
      <c r="C16" s="175"/>
      <c r="D16" s="218"/>
    </row>
    <row r="17" spans="1:6" ht="13">
      <c r="A17" s="176"/>
      <c r="B17" s="468" t="s">
        <v>308</v>
      </c>
      <c r="C17" s="175"/>
      <c r="D17" s="1266" t="s">
        <v>1151</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290" t="s">
        <v>1152</v>
      </c>
      <c r="E21" s="1290"/>
      <c r="F21" s="1290"/>
    </row>
    <row r="22" spans="1:6" ht="13">
      <c r="A22" s="176"/>
      <c r="B22" s="176"/>
      <c r="D22" s="35"/>
    </row>
    <row r="23" spans="1:6" ht="13">
      <c r="A23" s="176"/>
      <c r="B23" s="468" t="s">
        <v>308</v>
      </c>
      <c r="D23" s="1266" t="s">
        <v>1153</v>
      </c>
      <c r="E23" s="1266"/>
      <c r="F23" s="1266"/>
    </row>
    <row r="24" spans="1:6" ht="13">
      <c r="A24" s="176"/>
      <c r="B24" s="176"/>
      <c r="D24" s="1266"/>
      <c r="E24" s="1266"/>
      <c r="F24" s="1266"/>
    </row>
    <row r="25" spans="1:6"/>
    <row r="26" spans="1:6" ht="13">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3">
      <c r="A34" s="176"/>
      <c r="B34" s="176"/>
      <c r="D34" s="220"/>
    </row>
    <row r="35" spans="1:6" ht="14.5" customHeight="1">
      <c r="A35" s="176"/>
      <c r="B35" s="468" t="s">
        <v>308</v>
      </c>
      <c r="D35" s="1266" t="s">
        <v>1156</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1157</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1158</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1159</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1160</v>
      </c>
      <c r="E54" s="1266"/>
      <c r="F54" s="1266"/>
      <c r="G54" s="3"/>
    </row>
    <row r="55" spans="1:7" ht="13">
      <c r="A55" s="176"/>
      <c r="B55" s="176"/>
      <c r="C55" s="385"/>
      <c r="D55" s="1266"/>
      <c r="E55" s="1266"/>
      <c r="F55" s="1266"/>
      <c r="G55" s="3"/>
    </row>
    <row r="56" spans="1:7">
      <c r="D56" s="220"/>
    </row>
    <row r="57" spans="1:7" ht="13">
      <c r="A57" s="176"/>
      <c r="B57" s="468" t="s">
        <v>308</v>
      </c>
      <c r="D57" s="1266" t="s">
        <v>1161</v>
      </c>
      <c r="E57" s="1266"/>
      <c r="F57" s="1266"/>
    </row>
    <row r="58" spans="1:7">
      <c r="D58" s="1266"/>
      <c r="E58" s="1266"/>
      <c r="F58" s="1266"/>
    </row>
    <row r="59" spans="1:7">
      <c r="D59" s="1266"/>
      <c r="E59" s="1266"/>
      <c r="F59" s="1266"/>
    </row>
    <row r="60" spans="1:7">
      <c r="D60" s="3"/>
    </row>
    <row r="61" spans="1:7" ht="13">
      <c r="A61" s="176"/>
      <c r="B61" s="468" t="s">
        <v>308</v>
      </c>
      <c r="D61" s="1266" t="s">
        <v>1162</v>
      </c>
      <c r="E61" s="1266"/>
      <c r="F61" s="1266"/>
    </row>
    <row r="62" spans="1:7">
      <c r="D62" s="1266"/>
      <c r="E62" s="1266"/>
      <c r="F62" s="1266"/>
    </row>
    <row r="63" spans="1:7"/>
    <row r="64" spans="1:7" ht="13">
      <c r="A64" s="176"/>
      <c r="B64" s="468" t="s">
        <v>308</v>
      </c>
      <c r="D64" s="1266" t="s">
        <v>1163</v>
      </c>
      <c r="E64" s="1266"/>
      <c r="F64" s="1266"/>
    </row>
    <row r="65" spans="1:7">
      <c r="D65" s="1266"/>
      <c r="E65" s="1266"/>
      <c r="F65" s="1266"/>
    </row>
    <row r="66" spans="1:7">
      <c r="D66" s="1266"/>
      <c r="E66" s="1266"/>
      <c r="F66" s="1266"/>
    </row>
    <row r="67" spans="1:7">
      <c r="D67"/>
    </row>
    <row r="68" spans="1:7" ht="13">
      <c r="A68" s="176"/>
      <c r="B68" s="468" t="s">
        <v>308</v>
      </c>
      <c r="D68" s="1266" t="s">
        <v>1164</v>
      </c>
      <c r="E68" s="1266"/>
      <c r="F68" s="1266"/>
    </row>
    <row r="69" spans="1:7">
      <c r="D69" s="1266"/>
      <c r="E69" s="1266"/>
      <c r="F69" s="1266"/>
    </row>
    <row r="70" spans="1:7" ht="13">
      <c r="A70" s="176"/>
      <c r="B70" s="176"/>
      <c r="D70" s="35"/>
    </row>
    <row r="71" spans="1:7" ht="13">
      <c r="A71" s="1287" t="s">
        <v>1071</v>
      </c>
      <c r="B71" s="1287"/>
      <c r="C71" s="1287"/>
      <c r="D71" s="1287"/>
      <c r="E71" s="1287"/>
      <c r="F71" s="1287"/>
      <c r="G71" s="1287"/>
    </row>
    <row r="72" spans="1:7"/>
    <row r="73" spans="1:7" ht="13">
      <c r="C73" s="177"/>
      <c r="D73" s="1298" t="s">
        <v>1169</v>
      </c>
      <c r="E73" s="1298"/>
      <c r="F73" s="1298"/>
    </row>
    <row r="74" spans="1:7">
      <c r="A74" s="35"/>
      <c r="B74" s="35"/>
      <c r="D74" s="1266" t="s">
        <v>1196</v>
      </c>
      <c r="E74" s="1266"/>
      <c r="F74" s="1266"/>
    </row>
    <row r="75" spans="1:7">
      <c r="A75" s="35"/>
      <c r="B75" s="35"/>
    </row>
    <row r="76" spans="1:7" ht="13">
      <c r="A76" s="176"/>
      <c r="B76" s="468" t="s">
        <v>308</v>
      </c>
      <c r="D76" s="1266" t="s">
        <v>1170</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69" t="s">
        <v>1269</v>
      </c>
      <c r="E83" s="1269"/>
      <c r="F83" s="1269"/>
    </row>
    <row r="84" spans="1:6" ht="13">
      <c r="A84" s="176"/>
      <c r="B84" s="176"/>
      <c r="D84" s="1269"/>
      <c r="E84" s="1269"/>
      <c r="F84" s="1269"/>
    </row>
    <row r="85" spans="1:6" ht="13">
      <c r="A85" s="176"/>
      <c r="B85" s="176"/>
      <c r="D85" s="1269"/>
      <c r="E85" s="1269"/>
      <c r="F85" s="1269"/>
    </row>
    <row r="86" spans="1:6" ht="13">
      <c r="A86" s="176"/>
      <c r="B86" s="176"/>
      <c r="D86" s="1269"/>
      <c r="E86" s="1269"/>
      <c r="F86" s="1269"/>
    </row>
    <row r="87" spans="1:6" ht="13">
      <c r="A87" s="176"/>
      <c r="B87" s="176"/>
      <c r="D87" s="1269"/>
      <c r="E87" s="1269"/>
      <c r="F87" s="1269"/>
    </row>
    <row r="88" spans="1:6" ht="13">
      <c r="A88" s="176"/>
      <c r="B88" s="176"/>
      <c r="D88" s="1269"/>
      <c r="E88" s="1269"/>
      <c r="F88" s="1269"/>
    </row>
    <row r="89" spans="1:6" ht="13">
      <c r="A89" s="176"/>
      <c r="B89" s="176"/>
      <c r="D89" s="1269"/>
      <c r="E89" s="1269"/>
      <c r="F89" s="1269"/>
    </row>
    <row r="90" spans="1:6" ht="13">
      <c r="A90" s="176"/>
      <c r="B90" s="176"/>
      <c r="D90" s="1269"/>
      <c r="E90" s="1269"/>
      <c r="F90" s="1269"/>
    </row>
    <row r="91" spans="1:6" ht="13">
      <c r="A91" s="176"/>
      <c r="B91" s="176"/>
      <c r="D91" s="1269"/>
      <c r="E91" s="1269"/>
      <c r="F91" s="1269"/>
    </row>
    <row r="92" spans="1:6" ht="13">
      <c r="A92" s="176"/>
      <c r="B92" s="176"/>
      <c r="D92" s="1269"/>
      <c r="E92" s="1269"/>
      <c r="F92" s="1269"/>
    </row>
    <row r="93" spans="1:6" ht="13">
      <c r="A93" s="176"/>
      <c r="B93" s="176"/>
      <c r="D93" s="1269"/>
      <c r="E93" s="1269"/>
      <c r="F93" s="1269"/>
    </row>
    <row r="94" spans="1:6" ht="13">
      <c r="A94" s="176"/>
      <c r="B94" s="176"/>
      <c r="D94" s="1269"/>
      <c r="E94" s="1269"/>
      <c r="F94" s="1269"/>
    </row>
    <row r="95" spans="1:6" ht="13">
      <c r="A95" s="176"/>
      <c r="B95" s="176"/>
      <c r="D95" s="1269"/>
      <c r="E95" s="1269"/>
      <c r="F95" s="1269"/>
    </row>
    <row r="96" spans="1:6" ht="13">
      <c r="A96" s="176"/>
      <c r="B96" s="176"/>
      <c r="D96" s="1269"/>
      <c r="E96" s="1269"/>
      <c r="F96" s="1269"/>
    </row>
    <row r="97" spans="1:11" ht="13">
      <c r="A97" s="176"/>
      <c r="B97" s="468" t="s">
        <v>308</v>
      </c>
      <c r="D97" s="1266" t="s">
        <v>1171</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7" t="s">
        <v>1172</v>
      </c>
      <c r="E106" s="1307"/>
      <c r="F106" s="1307"/>
      <c r="G106" s="183"/>
      <c r="H106" s="181"/>
      <c r="I106" s="181"/>
      <c r="J106" s="181"/>
      <c r="K106" s="181"/>
    </row>
    <row r="107" spans="1:11" ht="13">
      <c r="A107" s="176"/>
      <c r="B107" s="176"/>
      <c r="C107" s="179"/>
      <c r="D107" s="1307"/>
      <c r="E107" s="1307"/>
      <c r="F107" s="1307"/>
      <c r="G107" s="183"/>
      <c r="H107" s="181"/>
      <c r="I107" s="181"/>
      <c r="J107" s="181"/>
      <c r="K107" s="181"/>
    </row>
    <row r="108" spans="1:11" ht="13">
      <c r="A108" s="176"/>
      <c r="B108" s="176"/>
      <c r="C108" s="179"/>
      <c r="D108" s="1307"/>
      <c r="E108" s="1307"/>
      <c r="F108" s="1307"/>
      <c r="G108" s="183"/>
      <c r="H108" s="181"/>
      <c r="I108" s="181"/>
      <c r="J108" s="181"/>
      <c r="K108" s="181"/>
    </row>
    <row r="109" spans="1:11" ht="13">
      <c r="A109" s="176"/>
      <c r="B109" s="176"/>
      <c r="C109" s="179"/>
      <c r="D109" s="1307"/>
      <c r="E109" s="1307"/>
      <c r="F109" s="1307"/>
      <c r="G109" s="183"/>
      <c r="H109" s="181"/>
      <c r="I109" s="181"/>
      <c r="J109" s="181"/>
      <c r="K109" s="181"/>
    </row>
    <row r="110" spans="1:11" ht="13">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3">
      <c r="A114" s="176"/>
      <c r="B114" s="468" t="s">
        <v>308</v>
      </c>
      <c r="C114"/>
      <c r="D114" s="1308" t="s">
        <v>1173</v>
      </c>
      <c r="E114" s="1308"/>
      <c r="F114" s="1308"/>
      <c r="G114"/>
    </row>
    <row r="115" spans="1:7" ht="13">
      <c r="A115" s="176"/>
      <c r="B115" s="176"/>
      <c r="C115"/>
      <c r="D115" s="1308"/>
      <c r="E115" s="1308"/>
      <c r="F115" s="1308"/>
      <c r="G115"/>
    </row>
    <row r="116" spans="1:7"/>
    <row r="117" spans="1:7" ht="13">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1175</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1283</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69" t="s">
        <v>1176</v>
      </c>
      <c r="E156" s="1269"/>
      <c r="F156" s="1269"/>
      <c r="G156" s="218"/>
    </row>
    <row r="157" spans="1:7" ht="13.75" customHeight="1">
      <c r="A157" s="256"/>
      <c r="B157" s="256"/>
      <c r="C157" s="218"/>
      <c r="D157" s="1269"/>
      <c r="E157" s="1269"/>
      <c r="F157" s="1269"/>
      <c r="G157" s="218"/>
    </row>
    <row r="158" spans="1:7" ht="13.75" customHeight="1">
      <c r="A158" s="256"/>
      <c r="B158" s="256"/>
      <c r="C158" s="218"/>
      <c r="D158" s="218"/>
      <c r="E158" s="218"/>
      <c r="F158" s="218"/>
      <c r="G158" s="218"/>
    </row>
    <row r="159" spans="1:7" ht="13.75" customHeight="1">
      <c r="A159" s="256"/>
      <c r="B159" s="468" t="s">
        <v>308</v>
      </c>
      <c r="C159" s="218"/>
      <c r="D159" s="1269" t="s">
        <v>1177</v>
      </c>
      <c r="E159" s="1269"/>
      <c r="F159" s="1269"/>
      <c r="G159" s="218"/>
    </row>
    <row r="160" spans="1:7" ht="13.75" customHeight="1">
      <c r="A160" s="256"/>
      <c r="B160" s="256"/>
      <c r="C160" s="218"/>
      <c r="D160" s="1269"/>
      <c r="E160" s="1269"/>
      <c r="F160" s="1269"/>
      <c r="G160" s="218"/>
    </row>
    <row r="161" spans="1:7" ht="13.75" customHeight="1">
      <c r="A161" s="256"/>
      <c r="B161" s="256"/>
      <c r="C161" s="218"/>
      <c r="D161" s="1269"/>
      <c r="E161" s="1269"/>
      <c r="F161" s="1269"/>
      <c r="G161" s="218"/>
    </row>
    <row r="162" spans="1:7" ht="13.75" customHeight="1">
      <c r="A162" s="256"/>
      <c r="B162" s="256"/>
      <c r="C162" s="218"/>
      <c r="D162" s="1269"/>
      <c r="E162" s="1269"/>
      <c r="F162" s="1269"/>
      <c r="G162" s="218"/>
    </row>
    <row r="163" spans="1:7" ht="13.75" customHeight="1">
      <c r="D163" s="35"/>
      <c r="E163" s="35"/>
      <c r="F163" s="35"/>
    </row>
    <row r="164" spans="1:7" ht="13.75" customHeight="1">
      <c r="B164" s="468" t="s">
        <v>308</v>
      </c>
      <c r="D164" s="1303" t="s">
        <v>1178</v>
      </c>
      <c r="E164" s="1303"/>
      <c r="F164" s="1303"/>
    </row>
    <row r="165" spans="1:7" ht="13.75" customHeight="1">
      <c r="D165" s="1303"/>
      <c r="E165" s="1303"/>
      <c r="F165" s="1303"/>
    </row>
    <row r="166" spans="1:7" ht="13.75" customHeight="1">
      <c r="D166" s="1303"/>
      <c r="E166" s="1303"/>
      <c r="F166" s="1303"/>
    </row>
    <row r="167" spans="1:7" ht="13.75" customHeight="1">
      <c r="A167" s="13"/>
      <c r="B167" s="13"/>
      <c r="E167" s="35"/>
      <c r="F167" s="35"/>
    </row>
    <row r="168" spans="1:7" ht="13">
      <c r="A168" s="1287" t="s">
        <v>1072</v>
      </c>
      <c r="B168" s="1287"/>
      <c r="C168" s="1287"/>
      <c r="D168" s="1287"/>
      <c r="E168" s="1287"/>
      <c r="F168" s="1287"/>
      <c r="G168" s="1287"/>
    </row>
    <row r="169" spans="1:7" ht="12" customHeight="1">
      <c r="D169" s="35"/>
      <c r="E169" s="35"/>
      <c r="F169" s="35"/>
    </row>
    <row r="170" spans="1:7">
      <c r="B170" s="1284" t="s">
        <v>448</v>
      </c>
      <c r="C170" s="1284"/>
      <c r="D170" s="1284"/>
      <c r="E170" s="1284"/>
      <c r="F170" s="1284"/>
    </row>
    <row r="171" spans="1:7" ht="12" customHeight="1">
      <c r="A171" s="172"/>
      <c r="B171" s="172"/>
      <c r="C171" s="172"/>
    </row>
    <row r="172" spans="1:7" ht="13">
      <c r="A172" s="1287" t="s">
        <v>1073</v>
      </c>
      <c r="B172" s="1287"/>
      <c r="C172" s="1287"/>
      <c r="D172" s="1287"/>
      <c r="E172" s="1287"/>
      <c r="F172" s="1287"/>
      <c r="G172" s="1287"/>
    </row>
    <row r="173" spans="1:7" ht="12" customHeight="1">
      <c r="A173" s="2"/>
      <c r="B173" s="2"/>
      <c r="E173" s="2"/>
    </row>
    <row r="174" spans="1:7" ht="13.15" customHeight="1">
      <c r="A174" s="2"/>
      <c r="B174" s="2"/>
      <c r="D174" s="1309" t="s">
        <v>1181</v>
      </c>
      <c r="E174" s="1309"/>
      <c r="F174" s="1309"/>
    </row>
    <row r="175" spans="1:7" ht="13">
      <c r="A175" s="2"/>
      <c r="B175" s="2"/>
      <c r="D175" s="1309"/>
      <c r="E175" s="1309"/>
      <c r="F175" s="1309"/>
    </row>
    <row r="176" spans="1:7" ht="13">
      <c r="A176" s="2"/>
      <c r="B176" s="2"/>
      <c r="D176" s="1296" t="s">
        <v>1182</v>
      </c>
      <c r="E176" s="1296"/>
      <c r="F176" s="1296"/>
    </row>
    <row r="177" spans="1:7" ht="12" customHeight="1">
      <c r="A177" s="2"/>
      <c r="B177" s="2"/>
      <c r="E177" s="2"/>
    </row>
    <row r="178" spans="1:7" ht="13">
      <c r="A178" s="176"/>
      <c r="B178" s="468" t="s">
        <v>308</v>
      </c>
      <c r="D178" s="1281" t="s">
        <v>1180</v>
      </c>
      <c r="E178" s="1281"/>
      <c r="F178" s="1281"/>
    </row>
    <row r="179" spans="1:7" ht="13">
      <c r="A179" s="176"/>
      <c r="B179" s="176"/>
      <c r="D179" s="1281"/>
      <c r="E179" s="1281"/>
      <c r="F179" s="1281"/>
    </row>
    <row r="180" spans="1:7" ht="13">
      <c r="A180" s="176"/>
      <c r="B180" s="176"/>
      <c r="D180" s="1281"/>
      <c r="E180" s="1281"/>
      <c r="F180" s="1281"/>
    </row>
    <row r="181" spans="1:7">
      <c r="D181" s="1281"/>
      <c r="E181" s="1281"/>
      <c r="F181" s="1281"/>
    </row>
    <row r="182" spans="1:7">
      <c r="D182" s="220"/>
    </row>
    <row r="183" spans="1:7">
      <c r="D183" s="1302" t="s">
        <v>1089</v>
      </c>
      <c r="E183" s="1302"/>
      <c r="F183" s="1302"/>
    </row>
    <row r="184" spans="1:7">
      <c r="D184" s="1302"/>
      <c r="E184" s="1302"/>
      <c r="F184" s="1302"/>
    </row>
    <row r="185" spans="1:7">
      <c r="D185" s="475"/>
      <c r="E185" s="475"/>
      <c r="F185" s="475"/>
    </row>
    <row r="186" spans="1:7" ht="13">
      <c r="A186" s="176"/>
      <c r="B186" s="468" t="s">
        <v>308</v>
      </c>
      <c r="C186" s="385"/>
      <c r="D186" s="1266" t="s">
        <v>1179</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7" t="s">
        <v>1074</v>
      </c>
      <c r="B191" s="1287"/>
      <c r="C191" s="1287"/>
      <c r="D191" s="1287"/>
      <c r="E191" s="1287"/>
      <c r="F191" s="1287"/>
      <c r="G191" s="1287"/>
    </row>
    <row r="192" spans="1:7" ht="12" customHeight="1">
      <c r="D192" s="35"/>
      <c r="E192" s="35"/>
      <c r="F192" s="35"/>
    </row>
    <row r="193" spans="1:6" ht="13">
      <c r="C193" s="177"/>
      <c r="D193" s="1285" t="s">
        <v>209</v>
      </c>
      <c r="E193" s="1285"/>
      <c r="F193" s="1285"/>
    </row>
    <row r="194" spans="1:6" ht="13">
      <c r="A194" s="172"/>
      <c r="B194" s="172"/>
      <c r="C194" s="172"/>
      <c r="D194" s="1286" t="s">
        <v>1203</v>
      </c>
      <c r="E194" s="1292"/>
      <c r="F194" s="1292"/>
    </row>
    <row r="195" spans="1:6" ht="12" customHeight="1">
      <c r="A195" s="13"/>
      <c r="B195" s="13"/>
      <c r="C195" s="13"/>
    </row>
    <row r="196" spans="1:6" ht="13.15" customHeight="1">
      <c r="A196" s="13"/>
      <c r="C196" s="13"/>
      <c r="D196" s="1285" t="s">
        <v>554</v>
      </c>
      <c r="E196" s="1285"/>
      <c r="F196" s="1285"/>
    </row>
    <row r="197" spans="1:6" ht="13">
      <c r="A197" s="176"/>
      <c r="B197" s="468" t="s">
        <v>308</v>
      </c>
      <c r="D197" s="1266" t="s">
        <v>1197</v>
      </c>
      <c r="E197" s="1266"/>
      <c r="F197" s="1266"/>
    </row>
    <row r="198" spans="1:6" ht="13">
      <c r="A198" s="176"/>
      <c r="B198" s="176"/>
      <c r="D198" s="1266"/>
      <c r="E198" s="1266"/>
      <c r="F198" s="1266"/>
    </row>
    <row r="199" spans="1:6"/>
    <row r="200" spans="1:6" ht="13">
      <c r="A200" s="176"/>
      <c r="B200" s="468" t="s">
        <v>308</v>
      </c>
      <c r="D200" s="1266" t="s">
        <v>1198</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1199</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1200</v>
      </c>
      <c r="E210" s="1266"/>
      <c r="F210" s="1266"/>
    </row>
    <row r="211" spans="1:7" ht="13">
      <c r="A211" s="176"/>
      <c r="B211" s="176"/>
      <c r="D211" s="1266"/>
      <c r="E211" s="1266"/>
      <c r="F211" s="1266"/>
    </row>
    <row r="212" spans="1:7" ht="13">
      <c r="A212" s="176"/>
      <c r="B212" s="176"/>
      <c r="D212" s="1284" t="s">
        <v>909</v>
      </c>
      <c r="E212" s="1284"/>
      <c r="F212" s="1284"/>
    </row>
    <row r="213" spans="1:7" ht="13">
      <c r="A213" s="176"/>
      <c r="B213" s="176"/>
      <c r="D213" s="35"/>
      <c r="E213" s="35"/>
      <c r="F213" s="35"/>
    </row>
    <row r="214" spans="1:7" ht="14.5" customHeight="1">
      <c r="A214" s="176"/>
      <c r="B214" s="468" t="s">
        <v>308</v>
      </c>
      <c r="D214" s="1266" t="s">
        <v>1202</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1201</v>
      </c>
      <c r="E220" s="1266"/>
      <c r="F220" s="1266"/>
    </row>
    <row r="221" spans="1:7" ht="13">
      <c r="A221" s="176"/>
      <c r="B221" s="176"/>
      <c r="D221" s="1266"/>
      <c r="E221" s="1266"/>
      <c r="F221" s="1266"/>
    </row>
    <row r="222" spans="1:7">
      <c r="D222" s="19"/>
    </row>
    <row r="223" spans="1:7" ht="13">
      <c r="A223" s="1287" t="s">
        <v>1075</v>
      </c>
      <c r="B223" s="1287"/>
      <c r="C223" s="1287"/>
      <c r="D223" s="1287"/>
      <c r="E223" s="1287"/>
      <c r="F223" s="1287"/>
      <c r="G223" s="1287"/>
    </row>
    <row r="224" spans="1:7">
      <c r="D224" s="19"/>
    </row>
    <row r="225" spans="1:6" ht="13">
      <c r="C225" s="177"/>
      <c r="D225" s="1285" t="s">
        <v>1204</v>
      </c>
      <c r="E225" s="1285"/>
      <c r="F225" s="1285"/>
    </row>
    <row r="226" spans="1:6" ht="13">
      <c r="A226" s="172"/>
      <c r="B226" s="172"/>
      <c r="C226" s="172"/>
      <c r="D226" s="35"/>
      <c r="E226" s="35"/>
      <c r="F226" s="35"/>
    </row>
    <row r="227" spans="1:6" ht="13">
      <c r="A227" s="175"/>
      <c r="B227" s="175"/>
      <c r="C227" s="175"/>
      <c r="D227" s="1285" t="s">
        <v>270</v>
      </c>
      <c r="E227" s="1285"/>
      <c r="F227" s="1285"/>
    </row>
    <row r="228" spans="1:6" ht="13">
      <c r="A228" s="176"/>
      <c r="B228" s="468" t="s">
        <v>308</v>
      </c>
      <c r="D228" s="1315" t="s">
        <v>1205</v>
      </c>
      <c r="E228" s="1315"/>
      <c r="F228" s="1315"/>
    </row>
    <row r="229" spans="1:6" ht="13">
      <c r="A229" s="176"/>
      <c r="B229" s="176"/>
      <c r="D229" s="1315"/>
      <c r="E229" s="1315"/>
      <c r="F229" s="1315"/>
    </row>
    <row r="230" spans="1:6">
      <c r="D230" s="35"/>
      <c r="E230" s="35"/>
      <c r="F230" s="35"/>
    </row>
    <row r="231" spans="1:6" ht="14.5" customHeight="1">
      <c r="A231" s="176"/>
      <c r="B231" s="468" t="s">
        <v>308</v>
      </c>
      <c r="D231" s="1266" t="s">
        <v>1206</v>
      </c>
      <c r="E231" s="1266"/>
      <c r="F231" s="1266"/>
    </row>
    <row r="232" spans="1:6">
      <c r="D232" s="1266"/>
      <c r="E232" s="1266"/>
      <c r="F232" s="1266"/>
    </row>
    <row r="233" spans="1:6" ht="13">
      <c r="D233" s="1292" t="s">
        <v>901</v>
      </c>
      <c r="E233" s="1292"/>
      <c r="F233" s="1292"/>
    </row>
    <row r="234" spans="1:6">
      <c r="D234" s="35"/>
      <c r="E234" s="35"/>
      <c r="F234" s="35"/>
    </row>
    <row r="235" spans="1:6" ht="1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ht="13">
      <c r="A245" s="1287" t="s">
        <v>1076</v>
      </c>
      <c r="B245" s="1287"/>
      <c r="C245" s="1287"/>
      <c r="D245" s="1287"/>
      <c r="E245" s="1287"/>
      <c r="F245" s="1287"/>
      <c r="G245" s="1287"/>
    </row>
    <row r="246" spans="1:7">
      <c r="D246" s="178"/>
      <c r="E246" s="35"/>
      <c r="F246" s="35"/>
    </row>
    <row r="247" spans="1:7" ht="13">
      <c r="C247" s="172"/>
      <c r="D247" s="1298" t="s">
        <v>1209</v>
      </c>
      <c r="E247" s="1298"/>
      <c r="F247" s="1298"/>
    </row>
    <row r="248" spans="1:7" ht="13">
      <c r="C248" s="172"/>
      <c r="D248" s="1298"/>
      <c r="E248" s="1298"/>
      <c r="F248" s="1298"/>
    </row>
    <row r="249" spans="1:7" ht="13">
      <c r="A249" s="175"/>
      <c r="B249" s="175"/>
      <c r="C249" s="175"/>
      <c r="D249" s="2"/>
      <c r="E249" s="3"/>
      <c r="F249" s="3"/>
    </row>
    <row r="250" spans="1:7" ht="13">
      <c r="C250" s="175"/>
      <c r="D250" s="1285" t="s">
        <v>210</v>
      </c>
      <c r="E250" s="1285"/>
      <c r="F250" s="1285"/>
    </row>
    <row r="251" spans="1:7" ht="15.75" customHeight="1">
      <c r="A251" s="176"/>
      <c r="B251" s="176"/>
      <c r="D251" s="1291" t="s">
        <v>1210</v>
      </c>
      <c r="E251" s="1291"/>
      <c r="F251" s="1291"/>
    </row>
    <row r="252" spans="1:7">
      <c r="E252" s="35"/>
      <c r="F252" s="35"/>
    </row>
    <row r="253" spans="1:7" ht="13">
      <c r="A253" s="176"/>
      <c r="B253" s="468" t="s">
        <v>308</v>
      </c>
      <c r="D253" s="1266" t="s">
        <v>1211</v>
      </c>
      <c r="E253" s="1266"/>
      <c r="F253" s="1266"/>
    </row>
    <row r="254" spans="1:7" ht="13">
      <c r="A254" s="176"/>
      <c r="B254" s="176"/>
      <c r="D254" s="1266"/>
      <c r="E254" s="1266"/>
      <c r="F254" s="1266"/>
    </row>
    <row r="255" spans="1:7">
      <c r="D255" s="35"/>
      <c r="E255" s="35"/>
      <c r="F255" s="35"/>
    </row>
    <row r="256" spans="1:7" ht="13">
      <c r="A256" s="176"/>
      <c r="B256" s="468" t="s">
        <v>308</v>
      </c>
      <c r="D256" s="1266" t="s">
        <v>1212</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1213</v>
      </c>
      <c r="E260" s="1266"/>
      <c r="F260" s="1266"/>
    </row>
    <row r="261" spans="1:7" ht="13">
      <c r="A261" s="176"/>
      <c r="B261" s="176"/>
      <c r="D261" s="1266"/>
      <c r="E261" s="1266"/>
      <c r="F261" s="1266"/>
    </row>
    <row r="262" spans="1:7" ht="13">
      <c r="A262" s="13"/>
      <c r="B262" s="13"/>
      <c r="E262" s="35"/>
      <c r="F262" s="35"/>
    </row>
    <row r="263" spans="1:7" ht="13">
      <c r="A263" s="1287" t="s">
        <v>1077</v>
      </c>
      <c r="B263" s="1287"/>
      <c r="C263" s="1287"/>
      <c r="D263" s="1287"/>
      <c r="E263" s="1287"/>
      <c r="F263" s="1287"/>
      <c r="G263" s="1287"/>
    </row>
    <row r="264" spans="1:7" ht="13">
      <c r="A264" s="13"/>
      <c r="B264" s="13"/>
      <c r="D264" s="35"/>
      <c r="E264" s="35"/>
      <c r="F264" s="35"/>
    </row>
    <row r="265" spans="1:7" ht="13">
      <c r="C265" s="13"/>
      <c r="D265" s="1285" t="s">
        <v>690</v>
      </c>
      <c r="E265" s="1285"/>
      <c r="F265" s="1285"/>
    </row>
    <row r="266" spans="1:7" ht="13">
      <c r="C266" s="13"/>
      <c r="D266" s="1286" t="s">
        <v>1214</v>
      </c>
      <c r="E266" s="1286"/>
      <c r="F266" s="1286"/>
    </row>
    <row r="267" spans="1:7" ht="13">
      <c r="C267" s="13"/>
      <c r="D267" s="173"/>
    </row>
    <row r="268" spans="1:7">
      <c r="B268" s="468" t="s">
        <v>308</v>
      </c>
      <c r="D268" s="1286" t="s">
        <v>1215</v>
      </c>
      <c r="E268" s="1286"/>
      <c r="F268" s="1286"/>
    </row>
    <row r="269" spans="1:7" ht="13">
      <c r="A269" s="176"/>
      <c r="B269" s="176"/>
      <c r="D269" s="341"/>
      <c r="E269" s="342"/>
      <c r="F269" s="342"/>
    </row>
    <row r="270" spans="1:7" ht="13.15" customHeight="1">
      <c r="B270" s="468" t="s">
        <v>308</v>
      </c>
      <c r="D270" s="1316" t="s">
        <v>1216</v>
      </c>
      <c r="E270" s="1316"/>
      <c r="F270" s="1316"/>
    </row>
    <row r="271" spans="1:7" ht="13">
      <c r="A271" s="176"/>
      <c r="B271" s="176"/>
      <c r="D271" s="1316"/>
      <c r="E271" s="1316"/>
      <c r="F271" s="1316"/>
    </row>
    <row r="272" spans="1:7" ht="13">
      <c r="A272" s="176"/>
      <c r="B272" s="176"/>
      <c r="D272" s="1316"/>
      <c r="E272" s="1316"/>
      <c r="F272" s="1316"/>
    </row>
    <row r="273" spans="1:6" ht="13">
      <c r="A273" s="176"/>
      <c r="B273" s="176"/>
      <c r="D273" s="1316"/>
      <c r="E273" s="1316"/>
      <c r="F273" s="1316"/>
    </row>
    <row r="274" spans="1:6" ht="13">
      <c r="A274" s="176"/>
      <c r="B274" s="176"/>
      <c r="D274" s="1316"/>
      <c r="E274" s="1316"/>
      <c r="F274" s="1316"/>
    </row>
    <row r="275" spans="1:6" ht="13">
      <c r="A275" s="176"/>
      <c r="B275" s="176"/>
      <c r="D275" s="341"/>
      <c r="E275" s="342"/>
      <c r="F275" s="342"/>
    </row>
    <row r="276" spans="1:6" ht="13.15" customHeight="1">
      <c r="B276" s="468" t="s">
        <v>308</v>
      </c>
      <c r="D276" s="1316" t="s">
        <v>1217</v>
      </c>
      <c r="E276" s="1316"/>
      <c r="F276" s="1316"/>
    </row>
    <row r="277" spans="1:6">
      <c r="D277" s="1316"/>
      <c r="E277" s="1316"/>
      <c r="F277" s="1316"/>
    </row>
    <row r="278" spans="1:6" ht="13">
      <c r="A278" s="176"/>
      <c r="B278" s="176"/>
      <c r="D278" s="341"/>
      <c r="E278" s="342"/>
      <c r="F278" s="342"/>
    </row>
    <row r="279" spans="1:6">
      <c r="B279" s="468" t="s">
        <v>308</v>
      </c>
      <c r="D279" s="1286" t="s">
        <v>1218</v>
      </c>
      <c r="E279" s="1286"/>
      <c r="F279" s="1286"/>
    </row>
    <row r="280" spans="1:6">
      <c r="E280" s="35"/>
      <c r="F280" s="35"/>
    </row>
    <row r="281" spans="1:6" ht="13">
      <c r="A281" s="176"/>
      <c r="B281" s="468" t="s">
        <v>308</v>
      </c>
      <c r="D281" s="1266" t="s">
        <v>1219</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998</v>
      </c>
      <c r="E314" s="1312"/>
      <c r="F314" s="1312"/>
      <c r="G314"/>
    </row>
    <row r="315" spans="1:7" ht="13" thickTop="1">
      <c r="D315" s="1313" t="s">
        <v>1222</v>
      </c>
      <c r="E315" s="1313"/>
      <c r="F315" s="1313"/>
      <c r="G315"/>
    </row>
    <row r="316" spans="1:7">
      <c r="A316" s="218"/>
      <c r="B316" s="218"/>
      <c r="C316" s="218"/>
      <c r="D316" s="220"/>
      <c r="E316" s="220"/>
      <c r="F316" s="35"/>
      <c r="G316"/>
    </row>
    <row r="317" spans="1:7" ht="13">
      <c r="A317" s="176"/>
      <c r="B317" s="468" t="s">
        <v>308</v>
      </c>
      <c r="C317" s="218"/>
      <c r="D317" s="1314" t="s">
        <v>1223</v>
      </c>
      <c r="E317" s="1314"/>
      <c r="F317" s="1314"/>
      <c r="G317"/>
    </row>
    <row r="318" spans="1:7">
      <c r="A318" s="218"/>
      <c r="B318" s="218"/>
      <c r="C318" s="218"/>
      <c r="D318" s="220"/>
      <c r="E318" s="220"/>
      <c r="F318" s="35"/>
      <c r="G318"/>
    </row>
    <row r="319" spans="1:7">
      <c r="A319" s="218"/>
      <c r="B319" s="468" t="s">
        <v>308</v>
      </c>
      <c r="C319" s="218"/>
      <c r="D319" s="1269" t="s">
        <v>1224</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3">
      <c r="A331" s="176"/>
      <c r="B331" s="468" t="s">
        <v>308</v>
      </c>
      <c r="C331" s="218"/>
      <c r="D331" s="1269" t="s">
        <v>1225</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1226</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15" customHeight="1">
      <c r="A345" s="218"/>
      <c r="B345" s="218"/>
      <c r="C345" s="218"/>
      <c r="D345" s="1269" t="s">
        <v>1227</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1228</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3">
      <c r="A367" s="176"/>
      <c r="B367" s="468" t="s">
        <v>308</v>
      </c>
      <c r="C367" s="218"/>
      <c r="D367" s="1269" t="s">
        <v>1229</v>
      </c>
      <c r="E367" s="1269"/>
      <c r="F367" s="1269"/>
      <c r="G367"/>
    </row>
    <row r="368" spans="1:7" ht="13">
      <c r="A368" s="346"/>
      <c r="B368" s="346"/>
      <c r="C368" s="218"/>
      <c r="D368" s="1269"/>
      <c r="E368" s="1269"/>
      <c r="F368" s="1269"/>
      <c r="G368"/>
    </row>
    <row r="369" spans="1:7" ht="13">
      <c r="A369" s="346"/>
      <c r="B369" s="346"/>
      <c r="C369" s="218"/>
      <c r="D369" s="1269"/>
      <c r="E369" s="1269"/>
      <c r="F369" s="1269"/>
      <c r="G369"/>
    </row>
    <row r="370" spans="1:7" ht="13">
      <c r="A370" s="346"/>
      <c r="B370" s="346"/>
      <c r="C370" s="218"/>
      <c r="D370" s="1269"/>
      <c r="E370" s="1269"/>
      <c r="F370" s="1269"/>
      <c r="G370"/>
    </row>
    <row r="371" spans="1:7" ht="13">
      <c r="A371" s="346"/>
      <c r="B371" s="346"/>
      <c r="C371" s="218"/>
      <c r="D371" s="1269"/>
      <c r="E371" s="1269"/>
      <c r="F371" s="1269"/>
      <c r="G371"/>
    </row>
    <row r="372" spans="1:7">
      <c r="D372" s="35"/>
      <c r="E372" s="35"/>
      <c r="F372" s="35"/>
      <c r="G372"/>
    </row>
    <row r="373" spans="1:7" ht="13">
      <c r="A373" s="176"/>
      <c r="B373" s="468" t="s">
        <v>308</v>
      </c>
      <c r="C373" s="179"/>
      <c r="D373" s="1266" t="s">
        <v>1230</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86" t="s">
        <v>1231</v>
      </c>
      <c r="E405" s="1286"/>
      <c r="F405" s="1286"/>
    </row>
    <row r="406" spans="1:7">
      <c r="D406" s="1311" t="s">
        <v>1006</v>
      </c>
      <c r="E406" s="1311"/>
      <c r="F406" s="1311"/>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1234</v>
      </c>
      <c r="E416" s="1266"/>
      <c r="F416" s="1266"/>
      <c r="G416"/>
    </row>
    <row r="417" spans="1:7">
      <c r="D417" s="1266"/>
      <c r="E417" s="1266"/>
      <c r="F417" s="1266"/>
      <c r="G417"/>
    </row>
    <row r="418" spans="1:7">
      <c r="D418" s="35"/>
      <c r="E418" s="35"/>
      <c r="F418" s="35"/>
      <c r="G418"/>
    </row>
    <row r="419" spans="1:7" ht="13">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1237</v>
      </c>
      <c r="E440" s="1286"/>
      <c r="F440" s="1286"/>
    </row>
    <row r="441" spans="1:7">
      <c r="A441" s="35"/>
      <c r="B441" s="35"/>
    </row>
    <row r="442" spans="1:7" ht="13">
      <c r="A442" s="1287" t="s">
        <v>1078</v>
      </c>
      <c r="B442" s="1287"/>
      <c r="C442" s="1287"/>
      <c r="D442" s="1287"/>
      <c r="E442" s="1287"/>
      <c r="F442" s="1287"/>
      <c r="G442" s="1287"/>
    </row>
    <row r="443" spans="1:7">
      <c r="A443" s="35"/>
      <c r="B443" s="35"/>
    </row>
    <row r="444" spans="1:7" ht="13">
      <c r="D444" s="1317" t="s">
        <v>895</v>
      </c>
      <c r="E444" s="1317"/>
      <c r="F444" s="1317"/>
    </row>
    <row r="445" spans="1:7" ht="13">
      <c r="A445" s="176"/>
      <c r="B445" s="176"/>
      <c r="D445" s="1314" t="s">
        <v>1238</v>
      </c>
      <c r="E445" s="1314"/>
      <c r="F445" s="1314"/>
    </row>
    <row r="446" spans="1:7" ht="13">
      <c r="A446" s="176"/>
      <c r="B446" s="176"/>
      <c r="D446" s="481"/>
      <c r="E446" s="3"/>
      <c r="F446" s="3"/>
    </row>
    <row r="447" spans="1:7" ht="13">
      <c r="A447" s="176"/>
      <c r="B447" s="468" t="s">
        <v>308</v>
      </c>
      <c r="D447" s="1269" t="s">
        <v>1239</v>
      </c>
      <c r="E447" s="1269"/>
      <c r="F447" s="1269"/>
    </row>
    <row r="448" spans="1:7" ht="13">
      <c r="A448" s="176"/>
      <c r="B448" s="176"/>
      <c r="D448" s="1269"/>
      <c r="E448" s="1269"/>
      <c r="F448" s="1269"/>
    </row>
    <row r="449" spans="1:7" ht="13">
      <c r="A449" s="176"/>
      <c r="B449" s="176"/>
      <c r="D449" s="118"/>
      <c r="E449" s="3"/>
      <c r="F449" s="3"/>
    </row>
    <row r="450" spans="1:7">
      <c r="B450" s="468" t="s">
        <v>308</v>
      </c>
      <c r="D450" s="1303" t="s">
        <v>1240</v>
      </c>
      <c r="E450" s="1303"/>
      <c r="F450" s="1303"/>
    </row>
    <row r="451" spans="1:7" ht="13">
      <c r="A451" s="176"/>
      <c r="D451" s="1303"/>
      <c r="E451" s="1303"/>
      <c r="F451" s="1303"/>
    </row>
    <row r="452" spans="1:7" ht="13">
      <c r="A452" s="176"/>
      <c r="B452" s="176"/>
      <c r="D452" s="1303"/>
      <c r="E452" s="1303"/>
      <c r="F452" s="1303"/>
    </row>
    <row r="453" spans="1:7" ht="13">
      <c r="A453" s="176"/>
      <c r="B453" s="176"/>
      <c r="D453" s="1303"/>
      <c r="E453" s="1303"/>
      <c r="F453" s="1303"/>
    </row>
    <row r="454" spans="1:7">
      <c r="D454" s="3"/>
      <c r="E454" s="3"/>
      <c r="F454" s="3"/>
      <c r="G454"/>
    </row>
    <row r="455" spans="1:7" ht="13">
      <c r="A455" s="176"/>
      <c r="B455" s="468" t="s">
        <v>308</v>
      </c>
      <c r="D455" s="1266" t="s">
        <v>1241</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86" t="s">
        <v>1242</v>
      </c>
      <c r="E459" s="1286"/>
      <c r="F459" s="1286"/>
      <c r="G459"/>
    </row>
    <row r="460" spans="1:7" ht="13">
      <c r="A460" s="176"/>
      <c r="B460" s="176"/>
      <c r="D460" s="118"/>
      <c r="E460" s="3"/>
      <c r="F460" s="3"/>
      <c r="G460"/>
    </row>
    <row r="461" spans="1:7" ht="13">
      <c r="A461" s="176"/>
      <c r="B461" s="468" t="s">
        <v>308</v>
      </c>
      <c r="D461" s="1266" t="s">
        <v>1243</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86" t="s">
        <v>1244</v>
      </c>
      <c r="E464" s="1286"/>
      <c r="F464" s="1286"/>
      <c r="G464"/>
    </row>
    <row r="465" spans="1:7" ht="13">
      <c r="A465" s="176"/>
      <c r="B465" s="176"/>
      <c r="D465" s="35"/>
    </row>
    <row r="466" spans="1:7" ht="13">
      <c r="A466" s="1287" t="s">
        <v>1079</v>
      </c>
      <c r="B466" s="1287"/>
      <c r="C466" s="1287"/>
      <c r="D466" s="1287"/>
      <c r="E466" s="1287"/>
      <c r="F466" s="1287"/>
      <c r="G466" s="1287"/>
    </row>
    <row r="467" spans="1:7" ht="12" customHeight="1">
      <c r="A467" s="176"/>
      <c r="B467" s="176"/>
      <c r="D467" s="35"/>
    </row>
    <row r="468" spans="1:7" ht="13">
      <c r="C468" s="172"/>
      <c r="D468" s="1285" t="s">
        <v>802</v>
      </c>
      <c r="E468" s="1285"/>
      <c r="F468" s="1285"/>
    </row>
    <row r="469" spans="1:7" ht="13.15" customHeight="1">
      <c r="A469" s="175"/>
      <c r="B469" s="175"/>
      <c r="C469" s="175"/>
      <c r="D469" s="1318" t="s">
        <v>1122</v>
      </c>
      <c r="E469" s="1318"/>
      <c r="F469" s="1318"/>
    </row>
    <row r="470" spans="1:7" ht="13">
      <c r="A470" s="175"/>
      <c r="B470" s="175"/>
      <c r="C470" s="175"/>
      <c r="D470" s="1318"/>
      <c r="E470" s="1318"/>
      <c r="F470" s="1318"/>
    </row>
    <row r="471" spans="1:7" ht="13">
      <c r="A471" s="175"/>
      <c r="B471" s="175"/>
      <c r="C471" s="175"/>
      <c r="D471" s="1318"/>
      <c r="E471" s="1318"/>
      <c r="F471" s="1318"/>
    </row>
    <row r="472" spans="1:7" ht="13">
      <c r="A472" s="175"/>
      <c r="B472" s="175"/>
      <c r="C472" s="175"/>
      <c r="D472" s="1318"/>
      <c r="E472" s="1318"/>
      <c r="F472" s="1318"/>
    </row>
    <row r="473" spans="1:7" ht="13">
      <c r="A473" s="175"/>
      <c r="B473" s="175"/>
      <c r="C473" s="175"/>
      <c r="D473" s="1318"/>
      <c r="E473" s="1318"/>
      <c r="F473" s="1318"/>
    </row>
    <row r="474" spans="1:7" ht="13">
      <c r="A474" s="175"/>
      <c r="B474" s="175"/>
      <c r="C474" s="175"/>
      <c r="D474" s="326"/>
      <c r="F474" s="35"/>
    </row>
    <row r="475" spans="1:7" ht="14.5" customHeight="1">
      <c r="A475" s="176"/>
      <c r="B475" s="468" t="s">
        <v>308</v>
      </c>
      <c r="C475" s="175"/>
      <c r="D475" s="1302" t="s">
        <v>1113</v>
      </c>
      <c r="E475" s="1302"/>
      <c r="F475" s="1302"/>
    </row>
    <row r="476" spans="1:7" ht="13">
      <c r="A476" s="175"/>
      <c r="B476" s="175"/>
      <c r="C476" s="175"/>
      <c r="D476" s="1302"/>
      <c r="E476" s="1302"/>
      <c r="F476" s="1302"/>
    </row>
    <row r="477" spans="1:7" ht="13">
      <c r="A477" s="175"/>
      <c r="B477" s="175"/>
      <c r="C477" s="175"/>
      <c r="D477" s="1302"/>
      <c r="E477" s="1302"/>
      <c r="F477" s="1302"/>
    </row>
    <row r="478" spans="1:7" ht="13">
      <c r="A478" s="175"/>
      <c r="B478" s="175"/>
      <c r="C478" s="175"/>
      <c r="D478" s="1302"/>
      <c r="E478" s="1302"/>
      <c r="F478" s="1302"/>
    </row>
    <row r="479" spans="1:7" ht="13">
      <c r="A479" s="175"/>
      <c r="B479" s="175"/>
      <c r="C479" s="175"/>
      <c r="D479" s="1302"/>
      <c r="E479" s="1302"/>
      <c r="F479" s="1302"/>
    </row>
    <row r="480" spans="1:7" ht="13">
      <c r="A480" s="175"/>
      <c r="B480" s="175"/>
      <c r="C480" s="175"/>
      <c r="D480" s="220"/>
      <c r="F480" s="35"/>
    </row>
    <row r="481" spans="1:6" ht="14.5" customHeight="1">
      <c r="A481" s="176"/>
      <c r="B481" s="468" t="s">
        <v>308</v>
      </c>
      <c r="C481" s="175"/>
      <c r="D481" s="1302" t="s">
        <v>1116</v>
      </c>
      <c r="E481" s="1302"/>
      <c r="F481" s="1302"/>
    </row>
    <row r="482" spans="1:6" ht="13">
      <c r="A482" s="175"/>
      <c r="B482" s="175"/>
      <c r="C482" s="175"/>
      <c r="D482" s="1302"/>
      <c r="E482" s="1302"/>
      <c r="F482" s="1302"/>
    </row>
    <row r="483" spans="1:6" ht="13">
      <c r="A483" s="175"/>
      <c r="B483" s="175"/>
      <c r="C483" s="175"/>
      <c r="D483" s="1302"/>
      <c r="E483" s="1302"/>
      <c r="F483" s="1302"/>
    </row>
    <row r="484" spans="1:6" ht="13">
      <c r="A484" s="175"/>
      <c r="B484" s="175"/>
      <c r="C484" s="175"/>
      <c r="D484" s="1302"/>
      <c r="E484" s="1302"/>
      <c r="F484" s="1302"/>
    </row>
    <row r="485" spans="1:6" ht="10" customHeight="1">
      <c r="A485" s="175"/>
      <c r="B485" s="175"/>
      <c r="C485" s="175"/>
      <c r="D485" s="220"/>
      <c r="F485" s="35"/>
    </row>
    <row r="486" spans="1:6" ht="14.5" customHeight="1">
      <c r="A486" s="176"/>
      <c r="B486" s="468" t="s">
        <v>308</v>
      </c>
      <c r="C486" s="175"/>
      <c r="D486" s="1302" t="s">
        <v>1114</v>
      </c>
      <c r="E486" s="1302"/>
      <c r="F486" s="1302"/>
    </row>
    <row r="487" spans="1:6" ht="13">
      <c r="A487" s="175"/>
      <c r="B487" s="175"/>
      <c r="C487" s="175"/>
      <c r="D487" s="1302"/>
      <c r="E487" s="1302"/>
      <c r="F487" s="1302"/>
    </row>
    <row r="488" spans="1:6" ht="13">
      <c r="A488" s="175"/>
      <c r="B488" s="175"/>
      <c r="C488" s="175"/>
      <c r="D488" s="1302"/>
      <c r="E488" s="1302"/>
      <c r="F488" s="1302"/>
    </row>
    <row r="489" spans="1:6" ht="13">
      <c r="A489" s="175"/>
      <c r="B489" s="175"/>
      <c r="C489" s="175"/>
      <c r="D489" s="475"/>
      <c r="E489" s="475"/>
      <c r="F489" s="475"/>
    </row>
    <row r="490" spans="1:6" ht="14.5" customHeight="1">
      <c r="A490" s="176"/>
      <c r="B490" s="468" t="s">
        <v>308</v>
      </c>
      <c r="C490" s="175"/>
      <c r="D490" s="1302" t="s">
        <v>1115</v>
      </c>
      <c r="E490" s="1302"/>
      <c r="F490" s="1302"/>
    </row>
    <row r="491" spans="1:6" ht="13">
      <c r="A491" s="175"/>
      <c r="B491" s="175"/>
      <c r="C491" s="175"/>
      <c r="D491" s="1302"/>
      <c r="E491" s="1302"/>
      <c r="F491" s="1302"/>
    </row>
    <row r="492" spans="1:6" ht="13">
      <c r="A492" s="175"/>
      <c r="B492" s="175"/>
      <c r="C492" s="175"/>
      <c r="D492" s="1302"/>
      <c r="E492" s="1302"/>
      <c r="F492" s="1302"/>
    </row>
    <row r="493" spans="1:6" ht="13">
      <c r="A493" s="175"/>
      <c r="B493" s="175"/>
      <c r="C493" s="175"/>
      <c r="D493" s="1302"/>
      <c r="E493" s="1302"/>
      <c r="F493" s="1302"/>
    </row>
    <row r="494" spans="1:6" ht="13">
      <c r="A494" s="175"/>
      <c r="B494" s="175"/>
      <c r="C494" s="175"/>
      <c r="D494" s="1302"/>
      <c r="E494" s="1302"/>
      <c r="F494" s="1302"/>
    </row>
    <row r="495" spans="1:6" ht="13">
      <c r="A495" s="175"/>
      <c r="B495" s="175"/>
      <c r="C495" s="175"/>
      <c r="D495" s="1302"/>
      <c r="E495" s="1302"/>
      <c r="F495" s="1302"/>
    </row>
    <row r="496" spans="1:6" ht="13">
      <c r="A496" s="175"/>
      <c r="B496" s="175"/>
      <c r="C496" s="175"/>
      <c r="D496" s="1302"/>
      <c r="E496" s="1302"/>
      <c r="F496" s="1302"/>
    </row>
    <row r="497" spans="1:7" ht="13">
      <c r="A497" s="175"/>
      <c r="B497" s="175"/>
      <c r="C497" s="175"/>
      <c r="D497" s="1302"/>
      <c r="E497" s="1302"/>
      <c r="F497" s="1302"/>
    </row>
    <row r="498" spans="1:7" ht="13">
      <c r="A498" s="175"/>
      <c r="B498" s="175"/>
      <c r="C498" s="175"/>
      <c r="D498" s="1302"/>
      <c r="E498" s="1302"/>
      <c r="F498" s="1302"/>
    </row>
    <row r="499" spans="1:7" ht="13">
      <c r="A499" s="175"/>
      <c r="B499" s="175"/>
      <c r="C499" s="175"/>
      <c r="D499" s="220"/>
      <c r="F499" s="35"/>
    </row>
    <row r="500" spans="1:7" ht="13.15" customHeight="1">
      <c r="A500" s="175"/>
      <c r="B500" s="468" t="s">
        <v>308</v>
      </c>
      <c r="C500" s="175"/>
      <c r="D500" s="1269" t="s">
        <v>1259</v>
      </c>
      <c r="E500" s="1269"/>
      <c r="F500" s="1269"/>
    </row>
    <row r="501" spans="1:7" ht="13">
      <c r="A501" s="175"/>
      <c r="B501" s="175"/>
      <c r="C501" s="175"/>
      <c r="D501" s="1269"/>
      <c r="E501" s="1269"/>
      <c r="F501" s="1269"/>
    </row>
    <row r="502" spans="1:7" ht="13">
      <c r="A502" s="175"/>
      <c r="B502" s="175"/>
      <c r="C502" s="175"/>
      <c r="D502" s="1269"/>
      <c r="E502" s="1269"/>
      <c r="F502" s="1269"/>
    </row>
    <row r="503" spans="1:7" ht="13">
      <c r="A503" s="175"/>
      <c r="B503" s="175"/>
      <c r="C503" s="175"/>
      <c r="D503" s="1269"/>
      <c r="E503" s="1269"/>
      <c r="F503" s="1269"/>
    </row>
    <row r="504" spans="1:7" ht="13">
      <c r="A504" s="175"/>
      <c r="B504" s="175"/>
      <c r="C504" s="175"/>
      <c r="D504" s="1269"/>
      <c r="E504" s="1269"/>
      <c r="F504" s="1269"/>
    </row>
    <row r="505" spans="1:7" ht="13">
      <c r="A505" s="175"/>
      <c r="B505" s="175"/>
      <c r="C505" s="175"/>
      <c r="D505" s="485"/>
      <c r="E505" s="485"/>
      <c r="F505" s="485"/>
    </row>
    <row r="506" spans="1:7" ht="14.5" customHeight="1">
      <c r="A506" s="176"/>
      <c r="B506" s="468" t="s">
        <v>308</v>
      </c>
      <c r="D506" s="1302" t="s">
        <v>1117</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ht="13">
      <c r="A510" s="1287" t="s">
        <v>1080</v>
      </c>
      <c r="B510" s="1287"/>
      <c r="C510" s="1287"/>
      <c r="D510" s="1287"/>
      <c r="E510" s="1287"/>
      <c r="F510" s="1287"/>
      <c r="G510" s="1287"/>
    </row>
    <row r="511" spans="1:7" ht="13">
      <c r="A511" s="35"/>
      <c r="B511" s="35"/>
      <c r="C511" s="179"/>
      <c r="F511" s="57"/>
    </row>
    <row r="512" spans="1:7">
      <c r="B512" s="1284" t="s">
        <v>448</v>
      </c>
      <c r="C512" s="1284"/>
      <c r="D512" s="1284"/>
      <c r="E512" s="1284"/>
      <c r="F512" s="1284"/>
    </row>
    <row r="513" spans="1:7">
      <c r="A513" s="35"/>
      <c r="B513" s="35"/>
      <c r="C513" s="179"/>
      <c r="D513" s="35"/>
      <c r="F513" s="35"/>
    </row>
    <row r="514" spans="1:7" ht="13">
      <c r="A514" s="1288" t="s">
        <v>1081</v>
      </c>
      <c r="B514" s="1288"/>
      <c r="C514" s="1288"/>
      <c r="D514" s="1288"/>
      <c r="E514" s="1288"/>
      <c r="F514" s="1288"/>
      <c r="G514" s="1288"/>
    </row>
    <row r="515" spans="1:7">
      <c r="A515" s="35"/>
      <c r="B515" s="35"/>
      <c r="C515" s="179"/>
      <c r="D515" s="35"/>
      <c r="F515" s="35"/>
    </row>
    <row r="516" spans="1:7" ht="13">
      <c r="C516" s="179"/>
      <c r="D516" s="1285" t="s">
        <v>691</v>
      </c>
      <c r="E516" s="1285"/>
      <c r="F516" s="1285"/>
    </row>
    <row r="517" spans="1:7">
      <c r="C517" s="179"/>
      <c r="D517" s="1286" t="s">
        <v>1138</v>
      </c>
      <c r="E517" s="1286"/>
      <c r="F517" s="1286"/>
    </row>
    <row r="518" spans="1:7">
      <c r="C518" s="179"/>
      <c r="D518" s="118"/>
      <c r="E518" s="118"/>
      <c r="F518" s="118"/>
    </row>
    <row r="519" spans="1:7" ht="13.15" customHeight="1">
      <c r="A519" s="176"/>
      <c r="B519" s="468" t="s">
        <v>308</v>
      </c>
      <c r="C519" s="179"/>
      <c r="D519" s="1286" t="s">
        <v>896</v>
      </c>
      <c r="E519" s="1286"/>
      <c r="F519" s="1286"/>
      <c r="G519"/>
    </row>
    <row r="520" spans="1:7" ht="13.15" customHeight="1">
      <c r="A520" s="179"/>
      <c r="B520" s="179"/>
      <c r="C520" s="179"/>
      <c r="D520" s="118"/>
      <c r="E520"/>
      <c r="F520"/>
      <c r="G520"/>
    </row>
    <row r="521" spans="1:7" ht="13">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86" t="s">
        <v>1145</v>
      </c>
      <c r="E543" s="1286"/>
      <c r="F543" s="1286"/>
    </row>
    <row r="544" spans="1:7" ht="13">
      <c r="A544" s="13"/>
      <c r="B544" s="13"/>
      <c r="C544" s="179"/>
      <c r="D544" s="1286" t="s">
        <v>829</v>
      </c>
      <c r="E544" s="1286"/>
      <c r="F544" s="1286"/>
    </row>
    <row r="545" spans="1:7" ht="13">
      <c r="A545" s="13"/>
      <c r="B545" s="13"/>
      <c r="C545" s="179"/>
      <c r="D545" s="3"/>
      <c r="E545" s="1291" t="s">
        <v>1146</v>
      </c>
      <c r="F545" s="1291"/>
    </row>
    <row r="546" spans="1:7" ht="13">
      <c r="A546" s="176"/>
      <c r="B546" s="176"/>
      <c r="C546" s="179"/>
      <c r="E546" s="35"/>
      <c r="F546" s="35"/>
    </row>
    <row r="547" spans="1:7" ht="13">
      <c r="A547" s="176"/>
      <c r="B547" s="468" t="s">
        <v>308</v>
      </c>
      <c r="C547" s="179"/>
      <c r="D547" s="1286" t="s">
        <v>1147</v>
      </c>
      <c r="E547" s="1286"/>
      <c r="F547" s="1286"/>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1149</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7" t="s">
        <v>1082</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ht="13">
      <c r="A560" s="175"/>
      <c r="B560" s="175"/>
      <c r="C560" s="175"/>
      <c r="D560" s="1303" t="s">
        <v>1098</v>
      </c>
      <c r="E560" s="1303"/>
      <c r="F560" s="1303"/>
    </row>
    <row r="561" spans="1:6" ht="13">
      <c r="A561"/>
      <c r="B561"/>
      <c r="C561" s="175"/>
      <c r="D561" s="255"/>
    </row>
    <row r="562" spans="1:6" ht="13">
      <c r="A562" s="175"/>
      <c r="B562" s="468" t="s">
        <v>308</v>
      </c>
      <c r="D562" s="1303" t="s">
        <v>902</v>
      </c>
      <c r="E562" s="1303"/>
      <c r="F562" s="1303"/>
    </row>
    <row r="563" spans="1:6" ht="13">
      <c r="A563" s="13"/>
      <c r="B563" s="13"/>
      <c r="D563" s="218"/>
    </row>
    <row r="564" spans="1:6" ht="13">
      <c r="A564" s="13"/>
      <c r="B564" s="468" t="s">
        <v>308</v>
      </c>
      <c r="D564" s="1303" t="s">
        <v>1099</v>
      </c>
      <c r="E564" s="1303"/>
      <c r="F564" s="1303"/>
    </row>
    <row r="565" spans="1:6" ht="13">
      <c r="A565" s="13"/>
      <c r="B565" s="13"/>
      <c r="D565" s="1303"/>
      <c r="E565" s="1303"/>
      <c r="F565" s="1303"/>
    </row>
    <row r="566" spans="1:6" ht="13">
      <c r="A566" s="13"/>
      <c r="B566" s="13"/>
      <c r="D566" s="1303"/>
      <c r="E566" s="1303"/>
      <c r="F566" s="1303"/>
    </row>
    <row r="567" spans="1:6" ht="13">
      <c r="A567" s="13"/>
      <c r="B567" s="13"/>
      <c r="D567" s="255"/>
    </row>
    <row r="568" spans="1:6" ht="13">
      <c r="A568" s="13"/>
      <c r="B568" s="468" t="s">
        <v>308</v>
      </c>
      <c r="D568" s="1303" t="s">
        <v>1100</v>
      </c>
      <c r="E568" s="1303"/>
      <c r="F568" s="1303"/>
    </row>
    <row r="569" spans="1:6" ht="13">
      <c r="A569" s="13"/>
      <c r="B569" s="13"/>
      <c r="D569" s="1303"/>
      <c r="E569" s="1303"/>
      <c r="F569" s="1303"/>
    </row>
    <row r="570" spans="1:6" ht="13">
      <c r="A570" s="13"/>
      <c r="B570" s="13"/>
      <c r="D570" s="1303"/>
      <c r="E570" s="1303"/>
      <c r="F570" s="1303"/>
    </row>
    <row r="571" spans="1:6" ht="13">
      <c r="A571" s="13"/>
      <c r="B571" s="13"/>
      <c r="D571" s="1303"/>
      <c r="E571" s="1303"/>
      <c r="F571" s="1303"/>
    </row>
    <row r="572" spans="1:6" ht="13">
      <c r="A572" s="13"/>
      <c r="B572" s="13"/>
      <c r="D572" s="473"/>
      <c r="E572" s="473"/>
      <c r="F572" s="473"/>
    </row>
    <row r="573" spans="1:6" ht="13">
      <c r="A573" s="13"/>
      <c r="B573" s="468" t="s">
        <v>308</v>
      </c>
      <c r="D573" s="1303" t="s">
        <v>1101</v>
      </c>
      <c r="E573" s="1303"/>
      <c r="F573" s="1303"/>
    </row>
    <row r="574" spans="1:6" ht="13">
      <c r="A574" s="13"/>
      <c r="B574" s="13"/>
      <c r="D574" s="1303"/>
      <c r="E574" s="1303"/>
      <c r="F574" s="1303"/>
    </row>
    <row r="575" spans="1:6" ht="13">
      <c r="A575" s="13"/>
      <c r="B575" s="13"/>
      <c r="D575" s="255"/>
    </row>
    <row r="576" spans="1:6" ht="13">
      <c r="A576" s="13"/>
      <c r="B576" s="468" t="s">
        <v>308</v>
      </c>
      <c r="D576" s="1303" t="s">
        <v>1102</v>
      </c>
      <c r="E576" s="1303"/>
      <c r="F576" s="1303"/>
    </row>
    <row r="577" spans="1:7" ht="13">
      <c r="A577" s="13"/>
      <c r="B577" s="13"/>
      <c r="D577" s="1303"/>
      <c r="E577" s="1303"/>
      <c r="F577" s="1303"/>
    </row>
    <row r="578" spans="1:7" ht="13">
      <c r="A578" s="13"/>
      <c r="B578" s="13"/>
      <c r="D578" s="255"/>
    </row>
    <row r="579" spans="1:7" ht="13">
      <c r="A579" s="176"/>
      <c r="B579" s="468" t="s">
        <v>308</v>
      </c>
      <c r="D579" s="1303" t="s">
        <v>897</v>
      </c>
      <c r="E579" s="1303"/>
      <c r="F579" s="1303"/>
    </row>
    <row r="580" spans="1:7" ht="13">
      <c r="A580" s="176"/>
      <c r="B580" s="176"/>
      <c r="D580" s="255"/>
    </row>
    <row r="581" spans="1:7" ht="13">
      <c r="A581" s="176"/>
      <c r="B581" s="468" t="s">
        <v>308</v>
      </c>
      <c r="D581" s="1303" t="s">
        <v>1103</v>
      </c>
      <c r="E581" s="1303"/>
      <c r="F581" s="1303"/>
    </row>
    <row r="582" spans="1:7" ht="13">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ht="13">
      <c r="A588" s="1287" t="s">
        <v>1083</v>
      </c>
      <c r="B588" s="1287"/>
      <c r="C588" s="1287"/>
      <c r="D588" s="1287"/>
      <c r="E588" s="1287"/>
      <c r="F588" s="1287"/>
      <c r="G588" s="1287"/>
    </row>
    <row r="589" spans="1:7"/>
    <row r="590" spans="1:7" ht="13">
      <c r="D590" s="1279" t="s">
        <v>1183</v>
      </c>
      <c r="E590" s="1279"/>
      <c r="F590" s="1279"/>
    </row>
    <row r="591" spans="1:7">
      <c r="D591" s="1280" t="s">
        <v>1184</v>
      </c>
      <c r="E591" s="1280"/>
      <c r="F591" s="1280"/>
    </row>
    <row r="592" spans="1:7">
      <c r="D592" s="478"/>
      <c r="E592" s="433"/>
      <c r="F592" s="433"/>
    </row>
    <row r="593" spans="1:7" ht="13">
      <c r="A593" s="176"/>
      <c r="B593" s="468" t="s">
        <v>308</v>
      </c>
      <c r="D593" s="1281" t="s">
        <v>1185</v>
      </c>
      <c r="E593" s="1281"/>
      <c r="F593" s="1281"/>
    </row>
    <row r="594" spans="1:7">
      <c r="D594" s="1281"/>
      <c r="E594" s="1281"/>
      <c r="F594" s="1281"/>
    </row>
    <row r="595" spans="1:7">
      <c r="D595" s="1281"/>
      <c r="E595" s="1281"/>
      <c r="F595" s="1281"/>
    </row>
    <row r="596" spans="1:7"/>
    <row r="597" spans="1:7" ht="13">
      <c r="A597" s="1287" t="s">
        <v>1084</v>
      </c>
      <c r="B597" s="1287"/>
      <c r="C597" s="1287"/>
      <c r="D597" s="1287"/>
      <c r="E597" s="1287"/>
      <c r="F597" s="1287"/>
      <c r="G597" s="1287"/>
    </row>
    <row r="598" spans="1:7">
      <c r="A598" s="35"/>
      <c r="B598" s="35"/>
    </row>
    <row r="599" spans="1:7" ht="13">
      <c r="A599" s="172"/>
      <c r="B599" s="172"/>
      <c r="C599" s="172"/>
      <c r="D599" s="1282" t="s">
        <v>1186</v>
      </c>
      <c r="E599" s="1282"/>
      <c r="F599" s="1282"/>
    </row>
    <row r="600" spans="1:7" ht="13">
      <c r="A600" s="172"/>
      <c r="B600" s="172"/>
      <c r="C600" s="172"/>
      <c r="D600" s="1282"/>
      <c r="E600" s="1282"/>
      <c r="F600" s="1282"/>
    </row>
    <row r="601" spans="1:7" ht="13">
      <c r="C601" s="175"/>
      <c r="D601" s="1280" t="s">
        <v>1187</v>
      </c>
      <c r="E601" s="1280"/>
      <c r="F601" s="1280"/>
    </row>
    <row r="602" spans="1:7" ht="13">
      <c r="C602" s="175"/>
      <c r="D602" s="478"/>
      <c r="E602" s="478"/>
      <c r="F602" s="478"/>
    </row>
    <row r="603" spans="1:7" ht="13">
      <c r="A603" s="13"/>
      <c r="B603" s="468" t="s">
        <v>308</v>
      </c>
      <c r="D603" s="1280" t="s">
        <v>432</v>
      </c>
      <c r="E603" s="1280"/>
      <c r="F603" s="1280"/>
    </row>
    <row r="604" spans="1:7" ht="13">
      <c r="C604" s="180"/>
      <c r="E604"/>
    </row>
    <row r="605" spans="1:7" ht="13">
      <c r="A605" s="13"/>
      <c r="B605" s="468" t="s">
        <v>308</v>
      </c>
      <c r="D605" s="1283" t="s">
        <v>1188</v>
      </c>
      <c r="E605" s="1283"/>
      <c r="F605" s="1283"/>
    </row>
    <row r="606" spans="1:7">
      <c r="D606" s="1283"/>
      <c r="E606" s="1283"/>
      <c r="F606" s="1283"/>
    </row>
    <row r="607" spans="1:7">
      <c r="D607"/>
    </row>
    <row r="608" spans="1:7">
      <c r="B608" s="468" t="s">
        <v>308</v>
      </c>
      <c r="D608" s="1283" t="s">
        <v>1189</v>
      </c>
      <c r="E608" s="1283"/>
      <c r="F608" s="1283"/>
    </row>
    <row r="609" spans="1:7" ht="13">
      <c r="C609" s="180"/>
      <c r="D609" s="1283"/>
      <c r="E609" s="1283"/>
      <c r="F609" s="1283"/>
    </row>
    <row r="610" spans="1:7" ht="13">
      <c r="C610" s="180"/>
    </row>
    <row r="611" spans="1:7" ht="13">
      <c r="B611" s="468" t="s">
        <v>308</v>
      </c>
      <c r="C611" s="180"/>
      <c r="D611" s="1283" t="s">
        <v>1190</v>
      </c>
      <c r="E611" s="1283"/>
      <c r="F611" s="1283"/>
    </row>
    <row r="612" spans="1:7" ht="13">
      <c r="C612" s="180"/>
      <c r="D612" s="1283"/>
      <c r="E612" s="1283"/>
      <c r="F612" s="1283"/>
    </row>
    <row r="613" spans="1:7" ht="13">
      <c r="C613" s="180"/>
    </row>
    <row r="614" spans="1:7" ht="13">
      <c r="A614" s="1287" t="s">
        <v>1085</v>
      </c>
      <c r="B614" s="1287"/>
      <c r="C614" s="1287"/>
      <c r="D614" s="1287"/>
      <c r="E614" s="1287"/>
      <c r="F614" s="1287"/>
      <c r="G614" s="1287"/>
    </row>
    <row r="615" spans="1:7" ht="13">
      <c r="A615" s="172"/>
      <c r="B615" s="172"/>
      <c r="C615" s="172"/>
    </row>
    <row r="616" spans="1:7" ht="13">
      <c r="C616" s="13"/>
      <c r="D616" s="1279" t="s">
        <v>1191</v>
      </c>
      <c r="E616" s="1279"/>
      <c r="F616" s="1279"/>
    </row>
    <row r="617" spans="1:7" ht="13">
      <c r="A617" s="13"/>
      <c r="B617" s="13"/>
      <c r="D617" s="2"/>
    </row>
    <row r="618" spans="1:7" ht="13">
      <c r="A618" s="176"/>
      <c r="B618" s="468" t="s">
        <v>308</v>
      </c>
      <c r="D618" s="1281" t="s">
        <v>1192</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3">
      <c r="A625" s="176"/>
      <c r="B625" s="468" t="s">
        <v>308</v>
      </c>
      <c r="D625" s="1281" t="s">
        <v>1193</v>
      </c>
      <c r="E625" s="1281"/>
      <c r="F625" s="1281"/>
    </row>
    <row r="626" spans="1:7">
      <c r="A626" s="179"/>
      <c r="B626" s="179"/>
      <c r="C626" s="179"/>
      <c r="D626" s="1281"/>
      <c r="E626" s="1281"/>
      <c r="F626" s="1281"/>
    </row>
    <row r="627" spans="1:7">
      <c r="A627" s="179"/>
      <c r="B627" s="179"/>
      <c r="C627" s="179"/>
      <c r="D627" s="35"/>
      <c r="E627" s="35"/>
      <c r="F627" s="35"/>
    </row>
    <row r="628" spans="1:7" ht="13">
      <c r="A628" s="176"/>
      <c r="B628" s="468" t="s">
        <v>308</v>
      </c>
      <c r="C628" s="179"/>
      <c r="D628" s="1281" t="s">
        <v>1194</v>
      </c>
      <c r="E628" s="1281"/>
      <c r="F628" s="1281"/>
    </row>
    <row r="629" spans="1:7" ht="13">
      <c r="A629" s="176"/>
      <c r="B629" s="176"/>
      <c r="C629" s="179"/>
      <c r="D629" s="1281"/>
      <c r="E629" s="1281"/>
      <c r="F629" s="1281"/>
    </row>
    <row r="630" spans="1:7" ht="13">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1195</v>
      </c>
      <c r="E633" s="1310"/>
      <c r="F633" s="1310"/>
    </row>
    <row r="634" spans="1:7">
      <c r="A634" s="179"/>
      <c r="B634" s="179"/>
      <c r="C634" s="179"/>
      <c r="D634" s="480"/>
      <c r="E634" s="480"/>
      <c r="F634" s="480"/>
    </row>
    <row r="635" spans="1:7" ht="13">
      <c r="A635" s="1287" t="s">
        <v>1086</v>
      </c>
      <c r="B635" s="1287"/>
      <c r="C635" s="1287"/>
      <c r="D635" s="1287"/>
      <c r="E635" s="1287"/>
      <c r="F635" s="1287"/>
      <c r="G635" s="1287"/>
    </row>
    <row r="636" spans="1:7">
      <c r="A636" s="35"/>
      <c r="B636" s="35"/>
      <c r="C636" s="179"/>
      <c r="D636" s="35"/>
      <c r="E636" s="35"/>
      <c r="F636" s="35"/>
    </row>
    <row r="637" spans="1:7" ht="13">
      <c r="C637" s="172"/>
      <c r="D637" s="1285" t="s">
        <v>1245</v>
      </c>
      <c r="E637" s="1285"/>
      <c r="F637" s="1285"/>
    </row>
    <row r="638" spans="1:7" ht="13">
      <c r="A638" s="175"/>
      <c r="B638" s="175"/>
      <c r="C638" s="175"/>
      <c r="D638" s="1286" t="s">
        <v>1246</v>
      </c>
      <c r="E638" s="1286"/>
      <c r="F638" s="1286"/>
    </row>
    <row r="639" spans="1:7" ht="13">
      <c r="A639" s="175"/>
      <c r="B639" s="175"/>
      <c r="C639" s="175"/>
      <c r="D639" s="118"/>
      <c r="E639" s="118"/>
      <c r="F639" s="118"/>
    </row>
    <row r="640" spans="1:7" ht="14.5" customHeight="1">
      <c r="A640" s="176"/>
      <c r="B640" s="468" t="s">
        <v>308</v>
      </c>
      <c r="C640" s="179"/>
      <c r="D640" s="1266" t="s">
        <v>1247</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0" t="s">
        <v>1097</v>
      </c>
      <c r="E646" s="1300"/>
      <c r="F646" s="1300"/>
    </row>
    <row r="647" spans="1:11" ht="13">
      <c r="A647" s="176"/>
      <c r="B647" s="176"/>
      <c r="C647" s="179"/>
      <c r="D647" s="1299" t="s">
        <v>1248</v>
      </c>
      <c r="E647" s="1299"/>
      <c r="F647" s="1299"/>
    </row>
    <row r="648" spans="1:11" ht="13">
      <c r="A648" s="176"/>
      <c r="B648" s="176"/>
      <c r="C648" s="179"/>
      <c r="D648" s="1299"/>
      <c r="E648" s="1299"/>
      <c r="F648" s="1299"/>
    </row>
    <row r="649" spans="1:11" ht="13">
      <c r="A649" s="176"/>
      <c r="B649" s="176"/>
      <c r="C649" s="179"/>
      <c r="D649" s="1299"/>
      <c r="E649" s="1299"/>
      <c r="F649" s="1299"/>
    </row>
    <row r="650" spans="1:11" ht="13">
      <c r="A650" s="176"/>
      <c r="B650" s="176"/>
      <c r="C650" s="179"/>
      <c r="D650" s="1299"/>
      <c r="E650" s="1299"/>
      <c r="F650" s="1299"/>
    </row>
    <row r="651" spans="1:11" ht="13">
      <c r="A651" s="176"/>
      <c r="B651" s="176"/>
      <c r="C651" s="179"/>
      <c r="D651" s="1299"/>
      <c r="E651" s="1299"/>
      <c r="F651" s="1299"/>
    </row>
    <row r="652" spans="1:11" ht="13">
      <c r="A652" s="176"/>
      <c r="B652" s="176"/>
      <c r="C652" s="179"/>
      <c r="D652" s="1301" t="s">
        <v>1249</v>
      </c>
      <c r="E652" s="1301"/>
      <c r="F652" s="1301"/>
    </row>
    <row r="653" spans="1:11">
      <c r="A653" s="179"/>
      <c r="B653" s="179"/>
      <c r="C653" s="179"/>
      <c r="D653" s="35"/>
      <c r="E653" s="35"/>
      <c r="F653" s="35"/>
    </row>
    <row r="654" spans="1:11" ht="13">
      <c r="A654" s="1287" t="s">
        <v>1087</v>
      </c>
      <c r="B654" s="1287"/>
      <c r="C654" s="1287"/>
      <c r="D654" s="1287"/>
      <c r="E654" s="1287"/>
      <c r="F654" s="1287"/>
      <c r="G654" s="1287"/>
      <c r="H654" s="181"/>
      <c r="I654" s="181"/>
      <c r="J654" s="181"/>
      <c r="K654" s="181"/>
    </row>
    <row r="655" spans="1:11" ht="13">
      <c r="A655" s="482"/>
      <c r="B655" s="482"/>
      <c r="C655" s="482"/>
      <c r="D655" s="482"/>
      <c r="E655" s="482"/>
      <c r="F655" s="482"/>
      <c r="G655" s="482"/>
      <c r="H655" s="181"/>
      <c r="I655" s="181"/>
      <c r="J655" s="181"/>
      <c r="K655" s="181"/>
    </row>
    <row r="656" spans="1:11" ht="13">
      <c r="C656" s="172"/>
      <c r="D656" s="1285" t="s">
        <v>99</v>
      </c>
      <c r="E656" s="1285"/>
      <c r="F656" s="1285"/>
      <c r="H656" s="181"/>
      <c r="I656" s="181"/>
      <c r="J656" s="181"/>
      <c r="K656" s="181"/>
    </row>
    <row r="657" spans="1:11" ht="13">
      <c r="A657" s="172"/>
      <c r="B657" s="172"/>
      <c r="C657" s="172"/>
      <c r="D657" s="1285" t="s">
        <v>123</v>
      </c>
      <c r="E657" s="1285"/>
      <c r="F657" s="1285"/>
      <c r="H657" s="181"/>
      <c r="I657" s="181"/>
      <c r="J657" s="181"/>
      <c r="K657" s="181"/>
    </row>
    <row r="658" spans="1:11" ht="13">
      <c r="A658" s="175"/>
      <c r="B658" s="175"/>
      <c r="C658" s="175"/>
      <c r="D658" s="1286" t="s">
        <v>1123</v>
      </c>
      <c r="E658" s="1286"/>
      <c r="F658" s="1286"/>
      <c r="H658" s="181"/>
      <c r="I658" s="181"/>
      <c r="J658" s="181"/>
      <c r="K658" s="181"/>
    </row>
    <row r="659" spans="1:11" ht="13">
      <c r="A659" s="175"/>
      <c r="B659" s="175"/>
      <c r="C659" s="175"/>
      <c r="H659" s="181"/>
      <c r="I659" s="181"/>
      <c r="J659" s="181"/>
      <c r="K659" s="181"/>
    </row>
    <row r="660" spans="1:11" ht="13">
      <c r="A660" s="176"/>
      <c r="B660" s="468" t="s">
        <v>308</v>
      </c>
      <c r="C660" s="175"/>
      <c r="D660" s="1286" t="s">
        <v>898</v>
      </c>
      <c r="E660" s="1286"/>
      <c r="F660" s="1286"/>
      <c r="H660" s="181"/>
      <c r="I660" s="181"/>
      <c r="J660" s="181"/>
      <c r="K660" s="181"/>
    </row>
    <row r="661" spans="1:11" ht="13">
      <c r="A661" s="175"/>
      <c r="B661" s="175"/>
      <c r="C661" s="175"/>
      <c r="D661" s="1286" t="s">
        <v>908</v>
      </c>
      <c r="E661" s="1286"/>
      <c r="F661" s="1286"/>
      <c r="H661" s="181"/>
      <c r="I661" s="181"/>
      <c r="J661" s="181"/>
      <c r="K661" s="181"/>
    </row>
    <row r="662" spans="1:11" ht="13">
      <c r="A662" s="175"/>
      <c r="B662" s="175"/>
      <c r="C662" s="175"/>
      <c r="D662" s="3"/>
      <c r="E662" s="1270" t="s">
        <v>1124</v>
      </c>
      <c r="F662" s="1270"/>
      <c r="H662" s="181"/>
      <c r="I662" s="181"/>
      <c r="J662" s="181"/>
      <c r="K662" s="181"/>
    </row>
    <row r="663" spans="1:11" ht="13">
      <c r="A663" s="175"/>
      <c r="B663" s="175"/>
      <c r="C663" s="175"/>
      <c r="D663" s="3"/>
      <c r="E663" s="1270"/>
      <c r="F663" s="1270"/>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1125</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86" t="s">
        <v>936</v>
      </c>
      <c r="E669" s="1286"/>
      <c r="F669" s="1286"/>
      <c r="H669" s="181"/>
      <c r="I669" s="181"/>
      <c r="J669" s="181"/>
      <c r="K669" s="181"/>
    </row>
    <row r="670" spans="1:11" ht="13">
      <c r="A670" s="176"/>
      <c r="B670" s="176"/>
      <c r="C670" s="175"/>
      <c r="D670" s="1286" t="s">
        <v>908</v>
      </c>
      <c r="E670" s="1286"/>
      <c r="F670" s="1286"/>
      <c r="H670" s="181"/>
      <c r="I670" s="181"/>
      <c r="J670" s="181"/>
      <c r="K670" s="181"/>
    </row>
    <row r="671" spans="1:11" ht="13">
      <c r="A671" s="175"/>
      <c r="B671" s="175"/>
      <c r="C671" s="175"/>
      <c r="D671" s="3"/>
      <c r="E671" s="1291" t="s">
        <v>1126</v>
      </c>
      <c r="F671" s="1291"/>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1136</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1127</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1137</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1134</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1135</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1128</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1129</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1130</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1263</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293" t="s">
        <v>1131</v>
      </c>
      <c r="E724" s="1293"/>
      <c r="F724" s="1293"/>
      <c r="H724" s="181"/>
      <c r="I724" s="181"/>
      <c r="J724" s="181"/>
      <c r="K724" s="181"/>
    </row>
    <row r="725" spans="1:11" ht="13">
      <c r="A725" s="175"/>
      <c r="B725" s="175"/>
      <c r="C725" s="175"/>
      <c r="D725" s="369"/>
      <c r="H725" s="181"/>
      <c r="I725" s="181"/>
      <c r="J725" s="181"/>
      <c r="K725" s="181"/>
    </row>
    <row r="726" spans="1:11" ht="13">
      <c r="A726" s="1288" t="s">
        <v>1088</v>
      </c>
      <c r="B726" s="1288"/>
      <c r="C726" s="1288"/>
      <c r="D726" s="1288"/>
      <c r="E726" s="1288"/>
      <c r="F726" s="1288"/>
      <c r="G726" s="1288"/>
      <c r="H726" s="181"/>
      <c r="I726" s="181"/>
      <c r="J726" s="181"/>
      <c r="K726" s="181"/>
    </row>
    <row r="727" spans="1:11" ht="13">
      <c r="A727" s="175"/>
      <c r="B727" s="175"/>
      <c r="C727" s="175"/>
      <c r="D727" s="178"/>
      <c r="G727" s="183"/>
      <c r="H727" s="181"/>
      <c r="I727" s="181"/>
      <c r="J727" s="181"/>
      <c r="K727" s="181"/>
    </row>
    <row r="728" spans="1:11" ht="13.15" customHeight="1">
      <c r="C728" s="175"/>
      <c r="D728" s="1298" t="s">
        <v>1104</v>
      </c>
      <c r="E728" s="1298"/>
      <c r="F728" s="1298"/>
      <c r="G728" s="183"/>
      <c r="H728" s="181"/>
      <c r="I728" s="181"/>
      <c r="J728" s="181"/>
      <c r="K728" s="181"/>
    </row>
    <row r="729" spans="1:11" ht="13">
      <c r="A729" s="175"/>
      <c r="B729" s="175"/>
      <c r="C729" s="175"/>
      <c r="D729" s="1290" t="s">
        <v>1105</v>
      </c>
      <c r="E729" s="1290"/>
      <c r="F729" s="1290"/>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299" t="s">
        <v>1108</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3">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7" t="s">
        <v>1111</v>
      </c>
      <c r="B754" s="1287"/>
      <c r="C754" s="1287"/>
      <c r="D754" s="1287"/>
      <c r="E754" s="1287"/>
      <c r="F754" s="1287"/>
      <c r="G754" s="1287"/>
    </row>
    <row r="755" spans="1:11" ht="13">
      <c r="A755" s="175"/>
      <c r="B755" s="175"/>
      <c r="C755" s="175"/>
      <c r="D755" s="184"/>
      <c r="F755" s="35"/>
      <c r="G755" s="183"/>
    </row>
    <row r="756" spans="1:11" ht="13">
      <c r="D756" s="1295" t="s">
        <v>1095</v>
      </c>
      <c r="E756" s="1295"/>
      <c r="F756" s="1295"/>
      <c r="G756" s="183"/>
    </row>
    <row r="757" spans="1:11">
      <c r="A757" s="345"/>
      <c r="B757" s="345"/>
      <c r="C757" s="345"/>
      <c r="D757" s="1296" t="s">
        <v>1112</v>
      </c>
      <c r="E757" s="1296"/>
      <c r="F757" s="1296"/>
      <c r="G757" s="183"/>
    </row>
    <row r="758" spans="1:11">
      <c r="D758" s="433"/>
      <c r="E758" s="433"/>
      <c r="F758" s="433"/>
      <c r="G758" s="183"/>
    </row>
    <row r="759" spans="1:11" ht="13">
      <c r="A759" s="176"/>
      <c r="B759" s="468" t="s">
        <v>308</v>
      </c>
      <c r="D759" s="1296" t="s">
        <v>1005</v>
      </c>
      <c r="E759" s="1296"/>
      <c r="F759" s="1296"/>
      <c r="G759" s="183"/>
    </row>
    <row r="760" spans="1:11" ht="13">
      <c r="D760" s="433"/>
      <c r="E760" s="1297" t="s">
        <v>1096</v>
      </c>
      <c r="F760" s="1297"/>
      <c r="G760" s="183"/>
    </row>
    <row r="761" spans="1:11" ht="13">
      <c r="A761" s="172"/>
      <c r="B761" s="172"/>
      <c r="C761" s="172"/>
      <c r="D761" s="35"/>
      <c r="G761" s="183"/>
    </row>
    <row r="762" spans="1:11" ht="13">
      <c r="A762" s="1294" t="s">
        <v>449</v>
      </c>
      <c r="B762" s="1294"/>
      <c r="C762" s="1294"/>
      <c r="D762" s="1294"/>
      <c r="E762" s="1294"/>
      <c r="F762" s="1294"/>
      <c r="G762" s="1294"/>
    </row>
    <row r="763" spans="1:11" ht="13">
      <c r="A763" s="172"/>
      <c r="B763" s="172"/>
      <c r="C763" s="179"/>
      <c r="D763" s="183"/>
      <c r="E763" s="183"/>
      <c r="F763" s="183"/>
      <c r="G763" s="183"/>
    </row>
    <row r="764" spans="1:11">
      <c r="A764" s="35"/>
      <c r="B764" s="1290" t="s">
        <v>1004</v>
      </c>
      <c r="C764" s="1290"/>
      <c r="D764" s="1290"/>
      <c r="E764" s="1290"/>
      <c r="F764" s="1290"/>
      <c r="G764" s="183"/>
    </row>
    <row r="765" spans="1:11" ht="13">
      <c r="A765" s="13"/>
      <c r="B765" s="13"/>
      <c r="G765" s="183"/>
    </row>
    <row r="766" spans="1:11" ht="13">
      <c r="A766" s="1294" t="s">
        <v>450</v>
      </c>
      <c r="B766" s="1294"/>
      <c r="C766" s="1294"/>
      <c r="D766" s="1294"/>
      <c r="E766" s="1294"/>
      <c r="F766" s="1294"/>
      <c r="G766" s="1294"/>
    </row>
    <row r="767" spans="1:11" ht="13">
      <c r="A767" s="172"/>
      <c r="B767" s="172"/>
      <c r="C767" s="172"/>
      <c r="D767" s="178"/>
      <c r="G767" s="183"/>
    </row>
    <row r="768" spans="1:11">
      <c r="A768" s="35"/>
      <c r="B768" s="1286" t="s">
        <v>448</v>
      </c>
      <c r="C768" s="1286"/>
      <c r="D768" s="1286"/>
      <c r="E768" s="1286"/>
      <c r="F768" s="1286"/>
      <c r="G768" s="183"/>
    </row>
    <row r="769" spans="1:7" ht="13">
      <c r="A769" s="176"/>
      <c r="B769" s="176"/>
      <c r="D769" s="35"/>
      <c r="E769" s="35"/>
      <c r="F769" s="183"/>
      <c r="G769" s="183"/>
    </row>
    <row r="770" spans="1:7" ht="13">
      <c r="A770" s="1294" t="s">
        <v>451</v>
      </c>
      <c r="B770" s="1294"/>
      <c r="C770" s="1294"/>
      <c r="D770" s="1294"/>
      <c r="E770" s="1294"/>
      <c r="F770" s="1294"/>
      <c r="G770" s="1294"/>
    </row>
    <row r="771" spans="1:7" ht="13">
      <c r="C771" s="175"/>
      <c r="D771" s="173"/>
      <c r="E771" s="35"/>
      <c r="F771" s="183"/>
      <c r="G771" s="183"/>
    </row>
    <row r="772" spans="1:7">
      <c r="A772" s="35"/>
      <c r="B772" s="1286" t="s">
        <v>448</v>
      </c>
      <c r="C772" s="1286"/>
      <c r="D772" s="1286"/>
      <c r="E772" s="1286"/>
      <c r="F772" s="1286"/>
      <c r="G772" s="183"/>
    </row>
    <row r="773" spans="1:7">
      <c r="A773" s="35"/>
      <c r="B773" s="35"/>
      <c r="C773" s="179"/>
      <c r="D773" s="183"/>
      <c r="E773" s="183"/>
      <c r="F773" s="183"/>
      <c r="G773" s="183"/>
    </row>
    <row r="774" spans="1:7" ht="13">
      <c r="A774" s="1294" t="s">
        <v>452</v>
      </c>
      <c r="B774" s="1294"/>
      <c r="C774" s="1294"/>
      <c r="D774" s="1294"/>
      <c r="E774" s="1294"/>
      <c r="F774" s="1294"/>
      <c r="G774" s="1294"/>
    </row>
    <row r="775" spans="1:7">
      <c r="A775" s="35"/>
      <c r="B775" s="35"/>
    </row>
    <row r="776" spans="1:7">
      <c r="A776" s="35"/>
      <c r="B776" s="1286" t="s">
        <v>448</v>
      </c>
      <c r="C776" s="1286"/>
      <c r="D776" s="1286"/>
      <c r="E776" s="1286"/>
      <c r="F776" s="1286"/>
    </row>
    <row r="777" spans="1:7" ht="13">
      <c r="A777" s="179"/>
      <c r="B777" s="179"/>
      <c r="C777" s="179"/>
      <c r="D777" s="174"/>
      <c r="F777" s="183"/>
    </row>
    <row r="778" spans="1:7" ht="13">
      <c r="A778" s="1294" t="s">
        <v>453</v>
      </c>
      <c r="B778" s="1294"/>
      <c r="C778" s="1294"/>
      <c r="D778" s="1294"/>
      <c r="E778" s="1294"/>
      <c r="F778" s="1294"/>
      <c r="G778" s="1294"/>
    </row>
    <row r="779" spans="1:7">
      <c r="A779" s="35"/>
      <c r="B779" s="35"/>
    </row>
    <row r="780" spans="1:7">
      <c r="A780" s="35"/>
      <c r="B780" s="1286" t="s">
        <v>448</v>
      </c>
      <c r="C780" s="1286"/>
      <c r="D780" s="1286"/>
      <c r="E780" s="1286"/>
      <c r="F780" s="1286"/>
    </row>
    <row r="781" spans="1:7" ht="13">
      <c r="A781" s="179"/>
      <c r="B781" s="179"/>
      <c r="C781" s="179"/>
      <c r="D781" s="174"/>
      <c r="F781" s="183"/>
    </row>
    <row r="782" spans="1:7" ht="13">
      <c r="A782" s="1294" t="s">
        <v>454</v>
      </c>
      <c r="B782" s="1294"/>
      <c r="C782" s="1294"/>
      <c r="D782" s="1294"/>
      <c r="E782" s="1294"/>
      <c r="F782" s="1294"/>
      <c r="G782" s="1294"/>
    </row>
    <row r="783" spans="1:7">
      <c r="A783" s="35"/>
      <c r="B783" s="35"/>
    </row>
    <row r="784" spans="1:7">
      <c r="A784" s="35"/>
      <c r="B784" s="1286" t="s">
        <v>448</v>
      </c>
      <c r="C784" s="1286"/>
      <c r="D784" s="1286"/>
      <c r="E784" s="1286"/>
      <c r="F784" s="1286"/>
    </row>
    <row r="785" spans="1:7" ht="13">
      <c r="D785" s="174"/>
    </row>
    <row r="786" spans="1:7" ht="13">
      <c r="A786" s="1294" t="s">
        <v>187</v>
      </c>
      <c r="B786" s="1294"/>
      <c r="C786" s="1294"/>
      <c r="D786" s="1294"/>
      <c r="E786" s="1294"/>
      <c r="F786" s="1294"/>
      <c r="G786" s="1294"/>
    </row>
    <row r="787" spans="1:7">
      <c r="A787" s="35"/>
      <c r="B787" s="35"/>
    </row>
    <row r="788" spans="1:7">
      <c r="A788" s="35"/>
      <c r="B788" s="1286" t="s">
        <v>448</v>
      </c>
      <c r="C788" s="1286"/>
      <c r="D788" s="1286"/>
      <c r="E788" s="1286"/>
      <c r="F788" s="1286"/>
    </row>
    <row r="789" spans="1:7" ht="13">
      <c r="A789" s="35"/>
      <c r="B789" s="35"/>
      <c r="D789" s="174"/>
    </row>
    <row r="790" spans="1:7" ht="13">
      <c r="A790" s="1294" t="s">
        <v>885</v>
      </c>
      <c r="B790" s="1294"/>
      <c r="C790" s="1294"/>
      <c r="D790" s="1294"/>
      <c r="E790" s="1294"/>
      <c r="F790" s="1294"/>
      <c r="G790" s="1294"/>
    </row>
    <row r="791" spans="1:7">
      <c r="A791" s="35"/>
      <c r="B791" s="35"/>
    </row>
    <row r="792" spans="1:7">
      <c r="A792" s="35"/>
      <c r="B792" s="1286" t="s">
        <v>448</v>
      </c>
      <c r="C792" s="1286"/>
      <c r="D792" s="1286"/>
      <c r="E792" s="1286"/>
      <c r="F792" s="1286"/>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9" t="s">
        <v>2058</v>
      </c>
      <c r="B2" s="1320"/>
      <c r="C2" s="1320"/>
      <c r="D2" s="1320"/>
      <c r="E2" s="1320"/>
      <c r="F2" s="1320"/>
      <c r="G2" s="1320"/>
      <c r="H2" s="1320"/>
      <c r="I2" s="1320"/>
      <c r="J2" s="1320"/>
    </row>
    <row r="3" spans="1:10" ht="15.5">
      <c r="A3" s="1323" t="s">
        <v>1376</v>
      </c>
      <c r="B3" s="1324"/>
      <c r="C3" s="1324"/>
      <c r="D3" s="1324"/>
      <c r="E3" s="1324"/>
      <c r="F3" s="1324"/>
      <c r="G3" s="1324"/>
      <c r="H3" s="1324"/>
      <c r="I3" s="1324"/>
      <c r="J3" s="1324"/>
    </row>
    <row r="4" spans="1:10" ht="12.5"/>
    <row r="5" spans="1:10" ht="12.75" customHeight="1">
      <c r="A5" s="1321" t="s">
        <v>2359</v>
      </c>
      <c r="B5" s="1321"/>
      <c r="C5" s="1321"/>
      <c r="D5" s="1321"/>
      <c r="E5" s="1321"/>
      <c r="F5" s="1321"/>
      <c r="G5" s="1321"/>
      <c r="H5" s="1321"/>
      <c r="I5" s="1321"/>
      <c r="J5" s="1321"/>
    </row>
    <row r="6" spans="1:10" ht="12.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5"/>
    <row r="11" spans="1:10" ht="12.75" customHeight="1">
      <c r="A11" s="1325" t="s">
        <v>2063</v>
      </c>
      <c r="B11" s="1325"/>
      <c r="C11" s="1325"/>
      <c r="D11" s="1325"/>
      <c r="E11" s="1325"/>
      <c r="F11" s="1325"/>
      <c r="G11" s="1325"/>
      <c r="H11" s="1325"/>
      <c r="I11" s="1325"/>
      <c r="J11" s="1325"/>
    </row>
    <row r="12" spans="1:10" ht="12.5">
      <c r="A12" s="1325"/>
      <c r="B12" s="1325"/>
      <c r="C12" s="1325"/>
      <c r="D12" s="1325"/>
      <c r="E12" s="1325"/>
      <c r="F12" s="1325"/>
      <c r="G12" s="1325"/>
      <c r="H12" s="1325"/>
      <c r="I12" s="1325"/>
      <c r="J12" s="1325"/>
    </row>
    <row r="13" spans="1:10" ht="12.5">
      <c r="A13" s="1325"/>
      <c r="B13" s="1325"/>
      <c r="C13" s="1325"/>
      <c r="D13" s="1325"/>
      <c r="E13" s="1325"/>
      <c r="F13" s="1325"/>
      <c r="G13" s="1325"/>
      <c r="H13" s="1325"/>
      <c r="I13" s="1325"/>
      <c r="J13" s="1325"/>
    </row>
    <row r="14" spans="1:10" ht="12.5">
      <c r="A14" s="1325"/>
      <c r="B14" s="1325"/>
      <c r="C14" s="1325"/>
      <c r="D14" s="1325"/>
      <c r="E14" s="1325"/>
      <c r="F14" s="1325"/>
      <c r="G14" s="1325"/>
      <c r="H14" s="1325"/>
      <c r="I14" s="1325"/>
      <c r="J14" s="1325"/>
    </row>
    <row r="15" spans="1:10" ht="12.5">
      <c r="A15" s="1325"/>
      <c r="B15" s="1325"/>
      <c r="C15" s="1325"/>
      <c r="D15" s="1325"/>
      <c r="E15" s="1325"/>
      <c r="F15" s="1325"/>
      <c r="G15" s="1325"/>
      <c r="H15" s="1325"/>
      <c r="I15" s="1325"/>
      <c r="J15" s="1325"/>
    </row>
    <row r="16" spans="1:10" ht="12.5">
      <c r="A16" s="1325"/>
      <c r="B16" s="1325"/>
      <c r="C16" s="1325"/>
      <c r="D16" s="1325"/>
      <c r="E16" s="1325"/>
      <c r="F16" s="1325"/>
      <c r="G16" s="1325"/>
      <c r="H16" s="1325"/>
      <c r="I16" s="1325"/>
      <c r="J16" s="1325"/>
    </row>
    <row r="17" spans="1:10" ht="12.5">
      <c r="A17" s="558"/>
      <c r="B17" s="558"/>
      <c r="C17" s="558"/>
      <c r="D17" s="558"/>
      <c r="E17" s="558"/>
      <c r="F17" s="558"/>
      <c r="G17" s="558"/>
      <c r="H17" s="558"/>
      <c r="I17" s="558"/>
      <c r="J17" s="558"/>
    </row>
    <row r="18" spans="1:10" ht="12.5">
      <c r="A18" s="510" t="s">
        <v>2062</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4" t="s">
        <v>1295</v>
      </c>
      <c r="B20" s="1324"/>
      <c r="C20" s="1324"/>
      <c r="D20" s="1324"/>
      <c r="E20" s="1324"/>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21" t="s">
        <v>1296</v>
      </c>
      <c r="B57" s="1321"/>
      <c r="C57" s="1321"/>
      <c r="D57" s="1321"/>
      <c r="E57" s="1321"/>
      <c r="F57" s="1321"/>
      <c r="G57" s="1321"/>
      <c r="H57" s="1321"/>
      <c r="I57" s="1321"/>
      <c r="J57" s="1321"/>
    </row>
    <row r="58" spans="1:10" ht="12.5">
      <c r="A58" s="1321"/>
      <c r="B58" s="1321"/>
      <c r="C58" s="1321"/>
      <c r="D58" s="1321"/>
      <c r="E58" s="1321"/>
      <c r="F58" s="1321"/>
      <c r="G58" s="1321"/>
      <c r="H58" s="1321"/>
      <c r="I58" s="1321"/>
      <c r="J58" s="1321"/>
    </row>
    <row r="59" spans="1:10" ht="12.5">
      <c r="A59" s="1321"/>
      <c r="B59" s="1321"/>
      <c r="C59" s="1321"/>
      <c r="D59" s="1321"/>
      <c r="E59" s="1321"/>
      <c r="F59" s="1321"/>
      <c r="G59" s="1321"/>
      <c r="H59" s="1321"/>
      <c r="I59" s="1321"/>
      <c r="J59" s="1321"/>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22" t="s">
        <v>2059</v>
      </c>
      <c r="B72" s="1322"/>
      <c r="C72" s="1322"/>
      <c r="D72" s="1322"/>
      <c r="E72" s="1322"/>
      <c r="F72" s="1322"/>
      <c r="G72" s="1322"/>
      <c r="H72" s="1322"/>
      <c r="I72" s="1322"/>
    </row>
    <row r="73" spans="1:9" ht="12.5">
      <c r="A73" s="1273" t="s">
        <v>2357</v>
      </c>
      <c r="B73" s="1273"/>
      <c r="C73" s="1273"/>
      <c r="D73" s="1273"/>
      <c r="E73" s="1273"/>
    </row>
    <row r="74" spans="1:9" ht="12.5">
      <c r="A74" s="1273" t="s">
        <v>2358</v>
      </c>
      <c r="B74" s="1273"/>
      <c r="C74" s="1273"/>
      <c r="D74" s="1273"/>
      <c r="E74" s="1273"/>
    </row>
    <row r="75" spans="1:9" ht="12.5">
      <c r="A75" s="1273" t="s">
        <v>2060</v>
      </c>
      <c r="B75" s="1273"/>
      <c r="C75" s="1273"/>
      <c r="D75" s="1273"/>
      <c r="E75" s="1273"/>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65" sqref="D65:F66"/>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6" t="s">
        <v>2579</v>
      </c>
      <c r="B2" s="1326"/>
      <c r="C2" s="1326"/>
      <c r="D2" s="1326"/>
      <c r="E2" s="1326"/>
      <c r="F2" s="1326"/>
      <c r="G2" s="1326"/>
      <c r="H2" s="1326"/>
      <c r="I2" s="1326"/>
    </row>
    <row r="3" spans="1:13">
      <c r="A3" s="1327" t="s">
        <v>2625</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2624</v>
      </c>
      <c r="B6" s="1341"/>
      <c r="C6" s="1341"/>
      <c r="D6" s="1341"/>
      <c r="E6" s="1341"/>
      <c r="F6" s="1341"/>
      <c r="G6" s="1341"/>
      <c r="I6" s="524" t="s">
        <v>2069</v>
      </c>
    </row>
    <row r="7" spans="1:13">
      <c r="A7" s="1341"/>
      <c r="B7" s="1341"/>
      <c r="C7" s="1341"/>
      <c r="D7" s="1341"/>
      <c r="E7" s="1341"/>
      <c r="F7" s="1341"/>
      <c r="G7" s="1341"/>
      <c r="I7" s="524" t="s">
        <v>2070</v>
      </c>
    </row>
    <row r="8" spans="1:13">
      <c r="A8" s="515"/>
      <c r="B8" s="515"/>
      <c r="C8" s="516"/>
      <c r="D8" s="516"/>
      <c r="E8" s="516"/>
      <c r="F8" s="516"/>
    </row>
    <row r="9" spans="1:13">
      <c r="A9" s="1287" t="s">
        <v>1168</v>
      </c>
      <c r="B9" s="1287"/>
      <c r="C9" s="1287"/>
      <c r="D9" s="1287"/>
      <c r="E9" s="1287"/>
      <c r="F9" s="1287"/>
      <c r="G9" s="1287"/>
      <c r="H9" s="1063"/>
      <c r="I9" s="1064"/>
    </row>
    <row r="10" spans="1:13">
      <c r="A10" s="516"/>
      <c r="B10" s="516"/>
      <c r="E10" s="435"/>
    </row>
    <row r="11" spans="1:13" ht="13.75" customHeight="1">
      <c r="C11" s="516"/>
      <c r="D11" s="1340" t="s">
        <v>1167</v>
      </c>
      <c r="E11" s="1340"/>
      <c r="F11" s="1340"/>
    </row>
    <row r="12" spans="1:13">
      <c r="C12" s="516"/>
      <c r="D12" s="1340"/>
      <c r="E12" s="1340"/>
      <c r="F12" s="1340"/>
    </row>
    <row r="13" spans="1:13">
      <c r="A13" s="517"/>
      <c r="B13" s="517"/>
      <c r="C13" s="517"/>
      <c r="D13" s="1310" t="s">
        <v>1150</v>
      </c>
      <c r="E13" s="1310"/>
      <c r="F13" s="1310"/>
      <c r="M13" s="96"/>
    </row>
    <row r="14" spans="1:13">
      <c r="A14" s="517"/>
      <c r="B14" s="517"/>
      <c r="C14" s="517"/>
      <c r="D14" s="510"/>
      <c r="L14" s="336"/>
    </row>
    <row r="15" spans="1:13">
      <c r="A15" s="518"/>
      <c r="B15" s="519" t="s">
        <v>2801</v>
      </c>
      <c r="C15" s="517"/>
      <c r="D15" s="1281" t="s">
        <v>2220</v>
      </c>
      <c r="E15" s="1281"/>
      <c r="F15" s="1281"/>
      <c r="I15" s="524" t="s">
        <v>2071</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2218</v>
      </c>
      <c r="F18" s="479"/>
      <c r="I18" s="524"/>
    </row>
    <row r="19" spans="1:9">
      <c r="A19" s="517"/>
      <c r="B19" s="517"/>
      <c r="C19" s="517"/>
      <c r="I19" s="524"/>
    </row>
    <row r="20" spans="1:9">
      <c r="A20" s="518"/>
      <c r="B20" s="519" t="s">
        <v>2801</v>
      </c>
      <c r="D20" s="1281" t="s">
        <v>2221</v>
      </c>
      <c r="E20" s="1281"/>
      <c r="F20" s="1281"/>
      <c r="I20" s="524" t="s">
        <v>2072</v>
      </c>
    </row>
    <row r="21" spans="1:9">
      <c r="A21" s="518"/>
      <c r="D21" s="1281"/>
      <c r="E21" s="1281"/>
      <c r="F21" s="1281"/>
      <c r="I21" s="524"/>
    </row>
    <row r="22" spans="1:9">
      <c r="A22" s="518"/>
      <c r="D22" s="423"/>
      <c r="E22" s="96" t="s">
        <v>2217</v>
      </c>
      <c r="F22" s="423"/>
      <c r="I22" s="524"/>
    </row>
    <row r="23" spans="1:9">
      <c r="A23" s="518"/>
      <c r="B23" s="518"/>
      <c r="D23" s="480"/>
      <c r="I23" s="524"/>
    </row>
    <row r="24" spans="1:9">
      <c r="A24" s="518"/>
      <c r="B24" s="519" t="s">
        <v>2802</v>
      </c>
      <c r="D24" s="1281" t="s">
        <v>1153</v>
      </c>
      <c r="E24" s="1281"/>
      <c r="F24" s="1281"/>
      <c r="I24" s="524" t="s">
        <v>2072</v>
      </c>
    </row>
    <row r="25" spans="1:9">
      <c r="A25" s="518"/>
      <c r="B25" s="518"/>
      <c r="D25" s="1281"/>
      <c r="E25" s="1281"/>
      <c r="F25" s="1281"/>
      <c r="I25" s="524"/>
    </row>
    <row r="26" spans="1:9">
      <c r="I26" s="524"/>
    </row>
    <row r="27" spans="1:9">
      <c r="A27" s="518"/>
      <c r="B27" s="519" t="s">
        <v>2801</v>
      </c>
      <c r="D27" s="1281" t="s">
        <v>2360</v>
      </c>
      <c r="E27" s="1281"/>
      <c r="F27" s="1281"/>
      <c r="I27" s="524" t="s">
        <v>2075</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2801</v>
      </c>
      <c r="D33" s="1281" t="s">
        <v>2361</v>
      </c>
      <c r="E33" s="1281"/>
      <c r="F33" s="1281"/>
      <c r="I33" s="524" t="s">
        <v>2071</v>
      </c>
    </row>
    <row r="34" spans="1:9">
      <c r="D34" s="1281"/>
      <c r="E34" s="1281"/>
      <c r="F34" s="1281"/>
      <c r="I34" s="524"/>
    </row>
    <row r="35" spans="1:9">
      <c r="A35" s="518"/>
      <c r="B35" s="518"/>
      <c r="D35" s="481"/>
      <c r="I35" s="524"/>
    </row>
    <row r="36" spans="1:9" ht="14.5" customHeight="1">
      <c r="A36" s="518"/>
      <c r="B36" s="519" t="s">
        <v>2801</v>
      </c>
      <c r="D36" s="1281" t="s">
        <v>1320</v>
      </c>
      <c r="E36" s="1281"/>
      <c r="F36" s="1281"/>
      <c r="I36" s="524" t="s">
        <v>2142</v>
      </c>
    </row>
    <row r="37" spans="1:9">
      <c r="A37" s="518"/>
      <c r="B37" s="518"/>
      <c r="D37" s="1281"/>
      <c r="E37" s="1281"/>
      <c r="F37" s="1281"/>
      <c r="I37" s="524"/>
    </row>
    <row r="38" spans="1:9">
      <c r="A38" s="518"/>
      <c r="B38" s="518"/>
      <c r="D38" s="1281"/>
      <c r="E38" s="1281"/>
      <c r="F38" s="1281"/>
      <c r="I38" s="524"/>
    </row>
    <row r="39" spans="1:9">
      <c r="A39" s="518"/>
      <c r="B39" s="518"/>
      <c r="D39" s="1281"/>
      <c r="E39" s="1281"/>
      <c r="F39" s="1281"/>
      <c r="I39" s="524"/>
    </row>
    <row r="40" spans="1:9">
      <c r="A40" s="518"/>
      <c r="B40" s="518"/>
      <c r="I40" s="524"/>
    </row>
    <row r="41" spans="1:9">
      <c r="A41" s="518"/>
      <c r="B41" s="519" t="s">
        <v>2801</v>
      </c>
      <c r="D41" s="1281" t="s">
        <v>1157</v>
      </c>
      <c r="E41" s="1281"/>
      <c r="F41" s="1281"/>
      <c r="I41" s="524"/>
    </row>
    <row r="42" spans="1:9">
      <c r="A42" s="518"/>
      <c r="B42" s="518"/>
      <c r="D42" s="1281"/>
      <c r="E42" s="1281"/>
      <c r="F42" s="1281"/>
      <c r="I42" s="524"/>
    </row>
    <row r="43" spans="1:9">
      <c r="A43" s="518"/>
      <c r="B43" s="518"/>
      <c r="D43" s="1281"/>
      <c r="E43" s="1281"/>
      <c r="F43" s="1281"/>
      <c r="I43" s="524"/>
    </row>
    <row r="44" spans="1:9">
      <c r="A44" s="518"/>
      <c r="B44" s="518"/>
      <c r="D44" s="1281"/>
      <c r="E44" s="1281"/>
      <c r="F44" s="1281"/>
      <c r="I44" s="524"/>
    </row>
    <row r="45" spans="1:9">
      <c r="A45" s="518"/>
      <c r="B45" s="518"/>
      <c r="D45" s="1281"/>
      <c r="E45" s="1281"/>
      <c r="F45" s="1281"/>
      <c r="I45" s="524"/>
    </row>
    <row r="46" spans="1:9">
      <c r="A46" s="518"/>
      <c r="B46" s="518"/>
      <c r="D46" s="479"/>
      <c r="E46" s="479"/>
      <c r="F46" s="479"/>
      <c r="I46" s="524"/>
    </row>
    <row r="47" spans="1:9">
      <c r="A47" s="518"/>
      <c r="B47" s="519" t="s">
        <v>2801</v>
      </c>
      <c r="D47" s="1281" t="s">
        <v>1158</v>
      </c>
      <c r="E47" s="1281"/>
      <c r="F47" s="1281"/>
      <c r="I47" s="524" t="s">
        <v>2142</v>
      </c>
    </row>
    <row r="48" spans="1:9">
      <c r="A48" s="518"/>
      <c r="B48" s="518"/>
      <c r="D48" s="1281"/>
      <c r="E48" s="1281"/>
      <c r="F48" s="1281"/>
      <c r="I48" s="524"/>
    </row>
    <row r="49" spans="1:9">
      <c r="A49" s="518"/>
      <c r="B49" s="518"/>
      <c r="D49" s="1281"/>
      <c r="E49" s="1281"/>
      <c r="F49" s="1281"/>
      <c r="I49" s="524"/>
    </row>
    <row r="50" spans="1:9" ht="23.25" customHeight="1">
      <c r="A50" s="518"/>
      <c r="B50" s="518"/>
      <c r="D50" s="1281"/>
      <c r="E50" s="1281"/>
      <c r="F50" s="1281"/>
      <c r="I50" s="524"/>
    </row>
    <row r="51" spans="1:9">
      <c r="A51" s="518"/>
      <c r="B51" s="518"/>
      <c r="D51" s="480"/>
      <c r="I51" s="524"/>
    </row>
    <row r="52" spans="1:9" ht="14.5" customHeight="1">
      <c r="A52" s="518"/>
      <c r="B52" s="519" t="s">
        <v>2802</v>
      </c>
      <c r="D52" s="1281" t="s">
        <v>1159</v>
      </c>
      <c r="E52" s="1281"/>
      <c r="F52" s="1281"/>
      <c r="I52" s="524" t="s">
        <v>2142</v>
      </c>
    </row>
    <row r="53" spans="1:9">
      <c r="A53" s="518"/>
      <c r="B53" s="518"/>
      <c r="D53" s="1281"/>
      <c r="E53" s="1281"/>
      <c r="F53" s="1281"/>
      <c r="I53" s="524"/>
    </row>
    <row r="54" spans="1:9">
      <c r="A54" s="518"/>
      <c r="B54" s="518"/>
      <c r="D54" s="1281"/>
      <c r="E54" s="1281"/>
      <c r="F54" s="1281"/>
      <c r="I54" s="524"/>
    </row>
    <row r="55" spans="1:9">
      <c r="A55" s="518"/>
      <c r="B55" s="518"/>
      <c r="I55" s="524"/>
    </row>
    <row r="56" spans="1:9">
      <c r="A56" s="518"/>
      <c r="B56" s="519" t="s">
        <v>2801</v>
      </c>
      <c r="D56" s="1337" t="s">
        <v>1160</v>
      </c>
      <c r="E56" s="1337"/>
      <c r="F56" s="1337"/>
      <c r="I56" s="524"/>
    </row>
    <row r="57" spans="1:9">
      <c r="A57" s="518"/>
      <c r="B57" s="518"/>
      <c r="D57" s="1337"/>
      <c r="E57" s="1337"/>
      <c r="F57" s="1337"/>
      <c r="I57" s="524"/>
    </row>
    <row r="58" spans="1:9">
      <c r="A58" s="518"/>
      <c r="B58" s="518"/>
      <c r="D58" s="423" t="s">
        <v>2219</v>
      </c>
      <c r="E58" s="479"/>
      <c r="F58" s="479"/>
      <c r="I58" s="524"/>
    </row>
    <row r="59" spans="1:9">
      <c r="A59" s="518"/>
      <c r="B59" s="518"/>
      <c r="D59" s="479"/>
      <c r="E59" s="336" t="s">
        <v>2218</v>
      </c>
      <c r="F59" s="479"/>
      <c r="I59" s="524"/>
    </row>
    <row r="60" spans="1:9">
      <c r="D60" s="481"/>
      <c r="I60" s="524"/>
    </row>
    <row r="61" spans="1:9">
      <c r="A61" s="518"/>
      <c r="B61" s="519" t="s">
        <v>2802</v>
      </c>
      <c r="D61" s="1281" t="s">
        <v>1161</v>
      </c>
      <c r="E61" s="1281"/>
      <c r="F61" s="1281"/>
      <c r="I61" s="524" t="s">
        <v>2073</v>
      </c>
    </row>
    <row r="62" spans="1:9">
      <c r="D62" s="1281"/>
      <c r="E62" s="1281"/>
      <c r="F62" s="1281"/>
      <c r="I62" s="524"/>
    </row>
    <row r="63" spans="1:9">
      <c r="D63" s="1281"/>
      <c r="E63" s="1281"/>
      <c r="F63" s="1281"/>
      <c r="I63" s="524"/>
    </row>
    <row r="64" spans="1:9">
      <c r="I64" s="524"/>
    </row>
    <row r="65" spans="1:9">
      <c r="A65" s="518"/>
      <c r="B65" s="519" t="s">
        <v>2802</v>
      </c>
      <c r="D65" s="1281" t="s">
        <v>1162</v>
      </c>
      <c r="E65" s="1281"/>
      <c r="F65" s="1281"/>
      <c r="I65" s="524" t="s">
        <v>2074</v>
      </c>
    </row>
    <row r="66" spans="1:9">
      <c r="D66" s="1281"/>
      <c r="E66" s="1281"/>
      <c r="F66" s="1281"/>
      <c r="I66" s="524"/>
    </row>
    <row r="67" spans="1:9">
      <c r="I67" s="524"/>
    </row>
    <row r="68" spans="1:9">
      <c r="A68" s="518"/>
      <c r="B68" s="519" t="s">
        <v>2801</v>
      </c>
      <c r="D68" s="1281" t="s">
        <v>1163</v>
      </c>
      <c r="E68" s="1281"/>
      <c r="F68" s="1281"/>
      <c r="I68" s="524"/>
    </row>
    <row r="69" spans="1:9">
      <c r="D69" s="1281"/>
      <c r="E69" s="1281"/>
      <c r="F69" s="1281"/>
      <c r="I69" s="524" t="s">
        <v>2075</v>
      </c>
    </row>
    <row r="70" spans="1:9">
      <c r="D70" s="1281"/>
      <c r="E70" s="1281"/>
      <c r="F70" s="1281"/>
      <c r="I70" s="524"/>
    </row>
    <row r="71" spans="1:9">
      <c r="I71" s="524"/>
    </row>
    <row r="72" spans="1:9">
      <c r="A72" s="518"/>
      <c r="B72" s="519" t="s">
        <v>2801</v>
      </c>
      <c r="D72" s="1281" t="s">
        <v>1164</v>
      </c>
      <c r="E72" s="1281"/>
      <c r="F72" s="1281"/>
      <c r="I72" s="524" t="s">
        <v>2075</v>
      </c>
    </row>
    <row r="73" spans="1:9">
      <c r="D73" s="1281"/>
      <c r="E73" s="1281"/>
      <c r="F73" s="1281"/>
      <c r="I73" s="524"/>
    </row>
    <row r="74" spans="1:9">
      <c r="A74" s="518"/>
      <c r="B74" s="518"/>
      <c r="D74" s="480"/>
      <c r="I74" s="524"/>
    </row>
    <row r="75" spans="1:9">
      <c r="A75" s="1287" t="s">
        <v>1071</v>
      </c>
      <c r="B75" s="1287"/>
      <c r="C75" s="1287"/>
      <c r="D75" s="1287"/>
      <c r="E75" s="1287"/>
      <c r="F75" s="1287"/>
      <c r="G75" s="1287"/>
      <c r="H75" s="1063"/>
      <c r="I75" s="1256"/>
    </row>
    <row r="76" spans="1:9">
      <c r="I76" s="524"/>
    </row>
    <row r="77" spans="1:9">
      <c r="C77" s="520"/>
      <c r="D77" s="1309" t="s">
        <v>1169</v>
      </c>
      <c r="E77" s="1309"/>
      <c r="F77" s="1309"/>
      <c r="I77" s="524"/>
    </row>
    <row r="78" spans="1:9">
      <c r="A78" s="480"/>
      <c r="B78" s="480"/>
      <c r="D78" s="1281" t="s">
        <v>1196</v>
      </c>
      <c r="E78" s="1281"/>
      <c r="F78" s="1281"/>
      <c r="I78" s="524"/>
    </row>
    <row r="79" spans="1:9">
      <c r="A79" s="480"/>
      <c r="B79" s="480"/>
      <c r="I79" s="524"/>
    </row>
    <row r="80" spans="1:9" ht="13.75" customHeight="1">
      <c r="A80" s="518"/>
      <c r="B80" s="519" t="s">
        <v>2801</v>
      </c>
      <c r="D80" s="1281" t="s">
        <v>1353</v>
      </c>
      <c r="E80" s="1281"/>
      <c r="F80" s="1281"/>
      <c r="I80" s="524" t="s">
        <v>2076</v>
      </c>
    </row>
    <row r="81" spans="1:9">
      <c r="A81" s="518"/>
      <c r="B81" s="518"/>
      <c r="D81" s="1281"/>
      <c r="E81" s="1281"/>
      <c r="F81" s="1281"/>
      <c r="I81" s="524"/>
    </row>
    <row r="82" spans="1:9">
      <c r="A82" s="518"/>
      <c r="B82" s="518"/>
      <c r="D82" s="1281"/>
      <c r="E82" s="1281"/>
      <c r="F82" s="1281"/>
      <c r="I82" s="524"/>
    </row>
    <row r="83" spans="1:9">
      <c r="A83" s="518"/>
      <c r="B83" s="518"/>
      <c r="D83" s="1281"/>
      <c r="E83" s="1281"/>
      <c r="F83" s="1281"/>
      <c r="I83" s="524"/>
    </row>
    <row r="84" spans="1:9">
      <c r="A84" s="518"/>
      <c r="B84" s="518"/>
      <c r="D84" s="1281"/>
      <c r="E84" s="1281"/>
      <c r="F84" s="1281"/>
      <c r="I84" s="524"/>
    </row>
    <row r="85" spans="1:9">
      <c r="A85" s="518"/>
      <c r="B85" s="518"/>
      <c r="D85" s="1281"/>
      <c r="E85" s="1281"/>
      <c r="F85" s="1281"/>
      <c r="I85" s="524"/>
    </row>
    <row r="86" spans="1:9">
      <c r="A86" s="518"/>
      <c r="B86" s="518"/>
      <c r="D86" s="1281"/>
      <c r="E86" s="1281"/>
      <c r="F86" s="1281"/>
      <c r="I86" s="524"/>
    </row>
    <row r="87" spans="1:9">
      <c r="A87" s="518"/>
      <c r="B87" s="518"/>
      <c r="D87" s="1281"/>
      <c r="E87" s="1281"/>
      <c r="F87" s="1281"/>
      <c r="I87" s="524"/>
    </row>
    <row r="88" spans="1:9">
      <c r="A88" s="518"/>
      <c r="B88" s="518"/>
      <c r="D88" s="416"/>
      <c r="E88" s="416"/>
      <c r="F88" s="416"/>
      <c r="I88" s="524"/>
    </row>
    <row r="89" spans="1:9" ht="15" customHeight="1">
      <c r="A89" s="518"/>
      <c r="B89" s="519" t="s">
        <v>2801</v>
      </c>
      <c r="D89" s="1281" t="s">
        <v>1930</v>
      </c>
      <c r="E89" s="1281"/>
      <c r="F89" s="1281"/>
      <c r="I89" s="524" t="s">
        <v>2077</v>
      </c>
    </row>
    <row r="90" spans="1:9">
      <c r="A90" s="518"/>
      <c r="B90" s="518"/>
      <c r="D90" s="1281"/>
      <c r="E90" s="1281"/>
      <c r="F90" s="1281"/>
      <c r="I90" s="524"/>
    </row>
    <row r="91" spans="1:9">
      <c r="A91" s="518"/>
      <c r="B91" s="518"/>
      <c r="D91" s="479"/>
      <c r="E91" s="479"/>
      <c r="F91" s="479"/>
      <c r="I91" s="524"/>
    </row>
    <row r="92" spans="1:9">
      <c r="A92" s="518"/>
      <c r="B92" s="519" t="s">
        <v>2802</v>
      </c>
      <c r="D92" s="1281" t="s">
        <v>1933</v>
      </c>
      <c r="E92" s="1281"/>
      <c r="F92" s="1281"/>
      <c r="I92" s="524" t="s">
        <v>2078</v>
      </c>
    </row>
    <row r="93" spans="1:9">
      <c r="A93" s="518"/>
      <c r="B93" s="518"/>
      <c r="D93" s="1281"/>
      <c r="E93" s="1281"/>
      <c r="F93" s="1281"/>
      <c r="I93" s="524"/>
    </row>
    <row r="94" spans="1:9">
      <c r="A94" s="518"/>
      <c r="B94" s="518"/>
      <c r="D94" s="1281"/>
      <c r="E94" s="1281"/>
      <c r="F94" s="1281"/>
      <c r="I94" s="524"/>
    </row>
    <row r="95" spans="1:9">
      <c r="A95" s="518"/>
      <c r="B95" s="518"/>
      <c r="D95" s="479"/>
      <c r="E95" s="479"/>
      <c r="F95" s="479"/>
      <c r="I95" s="524"/>
    </row>
    <row r="96" spans="1:9">
      <c r="A96" s="518"/>
      <c r="B96" s="519" t="s">
        <v>2802</v>
      </c>
      <c r="D96" s="1281" t="s">
        <v>1932</v>
      </c>
      <c r="E96" s="1281"/>
      <c r="F96" s="1281"/>
      <c r="I96" s="524" t="s">
        <v>2123</v>
      </c>
    </row>
    <row r="97" spans="1:9" s="1022" customFormat="1">
      <c r="A97" s="1020"/>
      <c r="B97" s="1020"/>
      <c r="C97" s="1021"/>
      <c r="D97" s="1281"/>
      <c r="E97" s="1281"/>
      <c r="F97" s="1281"/>
      <c r="I97" s="1257"/>
    </row>
    <row r="98" spans="1:9">
      <c r="A98" s="518"/>
      <c r="B98" s="518"/>
      <c r="D98" s="423"/>
      <c r="E98" s="336" t="s">
        <v>2222</v>
      </c>
      <c r="F98" s="479"/>
      <c r="I98" s="524"/>
    </row>
    <row r="99" spans="1:9">
      <c r="A99" s="518"/>
      <c r="B99" s="518"/>
      <c r="D99" s="416"/>
      <c r="E99" s="416"/>
      <c r="F99" s="416"/>
      <c r="I99" s="524"/>
    </row>
    <row r="100" spans="1:9">
      <c r="A100" s="518"/>
      <c r="B100" s="519" t="s">
        <v>2802</v>
      </c>
      <c r="D100" s="1281" t="s">
        <v>1931</v>
      </c>
      <c r="E100" s="1281"/>
      <c r="F100" s="1281"/>
      <c r="I100" s="524" t="s">
        <v>2079</v>
      </c>
    </row>
    <row r="101" spans="1:9">
      <c r="A101" s="518"/>
      <c r="B101" s="518"/>
      <c r="D101" s="1281"/>
      <c r="E101" s="1281"/>
      <c r="F101" s="1281"/>
      <c r="I101" s="524"/>
    </row>
    <row r="102" spans="1:9">
      <c r="A102" s="518"/>
      <c r="B102" s="518"/>
      <c r="D102" s="479"/>
      <c r="E102" s="479"/>
      <c r="F102" s="479"/>
      <c r="I102" s="524"/>
    </row>
    <row r="103" spans="1:9" ht="14.5" customHeight="1">
      <c r="A103" s="518"/>
      <c r="B103" s="519" t="s">
        <v>2802</v>
      </c>
      <c r="D103" s="1281" t="s">
        <v>1300</v>
      </c>
      <c r="E103" s="1281"/>
      <c r="F103" s="1281"/>
      <c r="I103" s="524" t="s">
        <v>2080</v>
      </c>
    </row>
    <row r="104" spans="1:9">
      <c r="A104" s="518"/>
      <c r="B104" s="518"/>
      <c r="D104" s="1281"/>
      <c r="E104" s="1281"/>
      <c r="F104" s="1281"/>
      <c r="I104" s="524"/>
    </row>
    <row r="105" spans="1:9">
      <c r="A105" s="518"/>
      <c r="B105" s="518"/>
      <c r="D105" s="1281"/>
      <c r="E105" s="1281"/>
      <c r="F105" s="1281"/>
      <c r="I105" s="524"/>
    </row>
    <row r="106" spans="1:9">
      <c r="A106" s="518"/>
      <c r="B106" s="518"/>
      <c r="D106" s="1281"/>
      <c r="E106" s="1281"/>
      <c r="F106" s="1281"/>
      <c r="I106" s="524"/>
    </row>
    <row r="107" spans="1:9">
      <c r="A107" s="518"/>
      <c r="B107" s="518"/>
      <c r="D107" s="1281"/>
      <c r="E107" s="1281"/>
      <c r="F107" s="1281"/>
      <c r="I107" s="524"/>
    </row>
    <row r="108" spans="1:9">
      <c r="A108" s="518"/>
      <c r="B108" s="518"/>
      <c r="D108" s="1281"/>
      <c r="E108" s="1281"/>
      <c r="F108" s="1281"/>
      <c r="I108" s="524"/>
    </row>
    <row r="109" spans="1:9">
      <c r="A109" s="518"/>
      <c r="B109" s="518"/>
      <c r="D109" s="1281"/>
      <c r="E109" s="1281"/>
      <c r="F109" s="1281"/>
      <c r="I109" s="524"/>
    </row>
    <row r="110" spans="1:9">
      <c r="A110" s="518"/>
      <c r="B110" s="518"/>
      <c r="D110" s="1281"/>
      <c r="E110" s="1281"/>
      <c r="F110" s="1281"/>
      <c r="I110" s="524"/>
    </row>
    <row r="111" spans="1:9">
      <c r="A111" s="518"/>
      <c r="B111" s="518"/>
      <c r="D111" s="1281"/>
      <c r="E111" s="1281"/>
      <c r="F111" s="1281"/>
      <c r="I111" s="524"/>
    </row>
    <row r="112" spans="1:9">
      <c r="A112" s="518"/>
      <c r="B112" s="518"/>
      <c r="D112" s="1281"/>
      <c r="E112" s="1281"/>
      <c r="F112" s="1281"/>
      <c r="I112" s="524"/>
    </row>
    <row r="113" spans="1:9">
      <c r="A113" s="518"/>
      <c r="B113" s="518"/>
      <c r="D113" s="1281"/>
      <c r="E113" s="1281"/>
      <c r="F113" s="1281"/>
      <c r="I113" s="524"/>
    </row>
    <row r="114" spans="1:9">
      <c r="A114" s="518"/>
      <c r="B114" s="518"/>
      <c r="D114" s="1281"/>
      <c r="E114" s="1281"/>
      <c r="F114" s="1281"/>
      <c r="I114" s="524"/>
    </row>
    <row r="115" spans="1:9">
      <c r="A115" s="518"/>
      <c r="B115" s="518"/>
      <c r="D115" s="1281"/>
      <c r="E115" s="1281"/>
      <c r="F115" s="1281"/>
      <c r="I115" s="524"/>
    </row>
    <row r="116" spans="1:9">
      <c r="A116" s="518"/>
      <c r="B116" s="518"/>
      <c r="D116" s="1281"/>
      <c r="E116" s="1281"/>
      <c r="F116" s="1281"/>
      <c r="I116" s="524"/>
    </row>
    <row r="117" spans="1:9">
      <c r="A117" s="518"/>
      <c r="B117" s="518"/>
      <c r="D117" s="1281"/>
      <c r="E117" s="1281"/>
      <c r="F117" s="1281"/>
      <c r="I117" s="524"/>
    </row>
    <row r="118" spans="1:9">
      <c r="A118" s="518"/>
      <c r="B118" s="518"/>
      <c r="D118" s="558"/>
      <c r="E118" s="558"/>
      <c r="F118" s="558"/>
      <c r="I118" s="524"/>
    </row>
    <row r="119" spans="1:9" ht="14.25" customHeight="1">
      <c r="A119" s="518"/>
      <c r="B119" s="519" t="s">
        <v>2802</v>
      </c>
      <c r="D119" s="1308" t="s">
        <v>1171</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2801</v>
      </c>
      <c r="C128" s="433"/>
      <c r="D128" s="1308" t="s">
        <v>2362</v>
      </c>
      <c r="E128" s="1308"/>
      <c r="F128" s="1308"/>
      <c r="I128" s="524" t="s">
        <v>2081</v>
      </c>
    </row>
    <row r="129" spans="1:9">
      <c r="A129" s="518"/>
      <c r="B129" s="518"/>
      <c r="C129" s="433"/>
      <c r="D129" s="1308"/>
      <c r="E129" s="1308"/>
      <c r="F129" s="1308"/>
      <c r="I129" s="524"/>
    </row>
    <row r="130" spans="1:9">
      <c r="I130" s="524"/>
    </row>
    <row r="131" spans="1:9">
      <c r="A131" s="518"/>
      <c r="B131" s="519" t="s">
        <v>2801</v>
      </c>
      <c r="D131" s="1281" t="s">
        <v>1174</v>
      </c>
      <c r="E131" s="1281"/>
      <c r="F131" s="1281"/>
      <c r="I131" s="524" t="s">
        <v>2081</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c r="A137" s="518"/>
      <c r="B137" s="519" t="s">
        <v>2801</v>
      </c>
      <c r="D137" s="1281" t="s">
        <v>1175</v>
      </c>
      <c r="E137" s="1281"/>
      <c r="F137" s="1281"/>
      <c r="I137" s="524" t="s">
        <v>2082</v>
      </c>
    </row>
    <row r="138" spans="1:9" s="448" customFormat="1" ht="13.75" customHeight="1">
      <c r="A138" s="522"/>
      <c r="B138" s="522"/>
      <c r="C138" s="522"/>
      <c r="D138" s="1281"/>
      <c r="E138" s="1281"/>
      <c r="F138" s="1281"/>
      <c r="I138" s="1258"/>
    </row>
    <row r="139" spans="1:9" ht="13.75" customHeight="1">
      <c r="D139" s="1281"/>
      <c r="E139" s="1281"/>
      <c r="F139" s="1281"/>
      <c r="I139" s="524"/>
    </row>
    <row r="140" spans="1:9" ht="13.75" customHeight="1">
      <c r="D140" s="1281"/>
      <c r="E140" s="1281"/>
      <c r="F140" s="1281"/>
      <c r="I140" s="524"/>
    </row>
    <row r="141" spans="1:9" ht="13.75" customHeight="1">
      <c r="D141" s="1281"/>
      <c r="E141" s="1281"/>
      <c r="F141" s="1281"/>
      <c r="I141" s="524"/>
    </row>
    <row r="142" spans="1:9" ht="13.75" customHeight="1">
      <c r="A142" s="523"/>
      <c r="B142" s="523"/>
      <c r="D142" s="1281"/>
      <c r="E142" s="1281"/>
      <c r="F142" s="1281"/>
      <c r="I142" s="524"/>
    </row>
    <row r="143" spans="1:9" ht="13.75" customHeight="1">
      <c r="D143" s="1281"/>
      <c r="E143" s="1281"/>
      <c r="F143" s="1281"/>
      <c r="I143" s="524"/>
    </row>
    <row r="144" spans="1:9" ht="13.75" customHeight="1">
      <c r="D144" s="1281"/>
      <c r="E144" s="1281"/>
      <c r="F144" s="1281"/>
      <c r="I144" s="524"/>
    </row>
    <row r="145" spans="2:9" ht="13.75" customHeight="1">
      <c r="D145" s="1281"/>
      <c r="E145" s="1281"/>
      <c r="F145" s="1281"/>
      <c r="I145" s="524"/>
    </row>
    <row r="146" spans="2:9" ht="13.75" customHeight="1">
      <c r="D146" s="1281"/>
      <c r="E146" s="1281"/>
      <c r="F146" s="1281"/>
      <c r="I146" s="524"/>
    </row>
    <row r="147" spans="2:9" ht="13.75" customHeight="1">
      <c r="D147" s="1281"/>
      <c r="E147" s="1281"/>
      <c r="F147" s="1281"/>
      <c r="I147" s="524"/>
    </row>
    <row r="148" spans="2:9" ht="13.75" customHeight="1">
      <c r="D148" s="1281"/>
      <c r="E148" s="1281"/>
      <c r="F148" s="1281"/>
      <c r="I148" s="524"/>
    </row>
    <row r="149" spans="2:9" ht="13.75" customHeight="1">
      <c r="D149" s="1281"/>
      <c r="E149" s="1281"/>
      <c r="F149" s="1281"/>
      <c r="I149" s="524"/>
    </row>
    <row r="150" spans="2:9" ht="13.75" customHeight="1">
      <c r="D150" s="510"/>
      <c r="E150" s="480"/>
      <c r="F150" s="480"/>
      <c r="I150" s="524"/>
    </row>
    <row r="151" spans="2:9" ht="13.75" customHeight="1">
      <c r="B151" s="519" t="s">
        <v>2802</v>
      </c>
      <c r="D151" s="1281" t="s">
        <v>1283</v>
      </c>
      <c r="E151" s="1281"/>
      <c r="F151" s="1281"/>
      <c r="I151" s="524" t="s">
        <v>2083</v>
      </c>
    </row>
    <row r="152" spans="2:9" ht="13.75" customHeight="1">
      <c r="D152" s="1281"/>
      <c r="E152" s="1281"/>
      <c r="F152" s="1281"/>
      <c r="I152" s="524"/>
    </row>
    <row r="153" spans="2:9" ht="13.75" customHeight="1">
      <c r="D153" s="1281"/>
      <c r="E153" s="1281"/>
      <c r="F153" s="1281"/>
      <c r="I153" s="524"/>
    </row>
    <row r="154" spans="2:9" ht="13.75" customHeight="1">
      <c r="D154" s="1281"/>
      <c r="E154" s="1281"/>
      <c r="F154" s="1281"/>
      <c r="I154" s="524"/>
    </row>
    <row r="155" spans="2:9" ht="13.75" customHeight="1">
      <c r="D155" s="1281"/>
      <c r="E155" s="1281"/>
      <c r="F155" s="1281"/>
      <c r="I155" s="524"/>
    </row>
    <row r="156" spans="2:9" ht="13.75" customHeight="1">
      <c r="D156" s="1281"/>
      <c r="E156" s="1281"/>
      <c r="F156" s="1281"/>
      <c r="I156" s="524"/>
    </row>
    <row r="157" spans="2:9" ht="13.75" customHeight="1">
      <c r="D157" s="1281"/>
      <c r="E157" s="1281"/>
      <c r="F157" s="1281"/>
      <c r="I157" s="524"/>
    </row>
    <row r="158" spans="2:9" ht="13.75" customHeight="1">
      <c r="D158" s="1281"/>
      <c r="E158" s="1281"/>
      <c r="F158" s="1281"/>
      <c r="I158" s="524"/>
    </row>
    <row r="159" spans="2:9" ht="13.75" customHeight="1">
      <c r="D159" s="1281"/>
      <c r="E159" s="1281"/>
      <c r="F159" s="1281"/>
      <c r="I159" s="524"/>
    </row>
    <row r="160" spans="2:9" ht="13.75" customHeight="1">
      <c r="D160" s="1281"/>
      <c r="E160" s="1281"/>
      <c r="F160" s="1281"/>
      <c r="I160" s="524"/>
    </row>
    <row r="161" spans="1:9" ht="13.75" customHeight="1">
      <c r="D161" s="1281"/>
      <c r="E161" s="1281"/>
      <c r="F161" s="1281"/>
      <c r="I161" s="524"/>
    </row>
    <row r="162" spans="1:9" ht="13.75" customHeight="1">
      <c r="D162" s="1281"/>
      <c r="E162" s="1281"/>
      <c r="F162" s="1281"/>
      <c r="I162" s="524"/>
    </row>
    <row r="163" spans="1:9" ht="13.75" customHeight="1">
      <c r="D163" s="1281"/>
      <c r="E163" s="1281"/>
      <c r="F163" s="1281"/>
      <c r="I163" s="524"/>
    </row>
    <row r="164" spans="1:9" ht="13.75" customHeight="1">
      <c r="D164" s="1281"/>
      <c r="E164" s="1281"/>
      <c r="F164" s="1281"/>
      <c r="I164" s="524"/>
    </row>
    <row r="165" spans="1:9" ht="13.75" customHeight="1">
      <c r="D165" s="1281"/>
      <c r="E165" s="1281"/>
      <c r="F165" s="1281"/>
      <c r="I165" s="524"/>
    </row>
    <row r="166" spans="1:9" ht="13.75" customHeight="1">
      <c r="D166" s="1281"/>
      <c r="E166" s="1281"/>
      <c r="F166" s="1281"/>
      <c r="I166" s="524"/>
    </row>
    <row r="167" spans="1:9" ht="13.75" customHeight="1">
      <c r="D167" s="1281"/>
      <c r="E167" s="1281"/>
      <c r="F167" s="1281"/>
      <c r="I167" s="524"/>
    </row>
    <row r="168" spans="1:9" ht="13.75" customHeight="1">
      <c r="D168" s="1281"/>
      <c r="E168" s="1281"/>
      <c r="F168" s="1281"/>
      <c r="I168" s="524"/>
    </row>
    <row r="169" spans="1:9" ht="13.75" customHeight="1">
      <c r="D169" s="1339" t="s">
        <v>2386</v>
      </c>
      <c r="E169" s="1339"/>
      <c r="F169" s="1339"/>
      <c r="G169" s="541"/>
      <c r="I169" s="524"/>
    </row>
    <row r="170" spans="1:9" ht="13.75" customHeight="1">
      <c r="D170" s="1314"/>
      <c r="E170" s="1314"/>
      <c r="F170" s="1314"/>
      <c r="G170" s="1314"/>
      <c r="I170" s="524"/>
    </row>
    <row r="171" spans="1:9" ht="14.5" customHeight="1">
      <c r="A171" s="523"/>
      <c r="B171" s="519" t="s">
        <v>2801</v>
      </c>
      <c r="C171" s="510"/>
      <c r="D171" s="1269" t="s">
        <v>2574</v>
      </c>
      <c r="E171" s="1269"/>
      <c r="F171" s="1269"/>
      <c r="G171" s="510"/>
      <c r="I171" s="524" t="s">
        <v>2078</v>
      </c>
    </row>
    <row r="172" spans="1:9" ht="14.5" customHeight="1">
      <c r="A172" s="523"/>
      <c r="B172" s="523"/>
      <c r="C172" s="510"/>
      <c r="D172" s="1269"/>
      <c r="E172" s="1269"/>
      <c r="F172" s="1269"/>
      <c r="G172" s="510"/>
      <c r="I172" s="524"/>
    </row>
    <row r="173" spans="1:9" ht="14.5" customHeight="1">
      <c r="A173" s="523"/>
      <c r="B173" s="523"/>
      <c r="C173" s="510"/>
      <c r="D173" s="1269"/>
      <c r="E173" s="1269"/>
      <c r="F173" s="1269"/>
      <c r="G173" s="510"/>
      <c r="I173" s="524"/>
    </row>
    <row r="174" spans="1:9" ht="14.5" customHeight="1">
      <c r="A174" s="523"/>
      <c r="B174" s="523"/>
      <c r="C174" s="510"/>
      <c r="D174" s="1269"/>
      <c r="E174" s="1269"/>
      <c r="F174" s="1269"/>
      <c r="G174" s="510"/>
      <c r="I174" s="524"/>
    </row>
    <row r="175" spans="1:9" ht="13.75" customHeight="1">
      <c r="A175" s="523"/>
      <c r="B175" s="523"/>
      <c r="C175" s="510"/>
      <c r="D175" s="1269"/>
      <c r="E175" s="1269"/>
      <c r="F175" s="1269"/>
      <c r="G175" s="510"/>
      <c r="I175" s="524"/>
    </row>
    <row r="176" spans="1:9" ht="13.75" customHeight="1">
      <c r="A176" s="523"/>
      <c r="B176" s="523"/>
      <c r="C176" s="510"/>
      <c r="D176" s="510"/>
      <c r="E176" s="510"/>
      <c r="F176" s="510"/>
      <c r="G176" s="510"/>
      <c r="I176" s="524"/>
    </row>
    <row r="177" spans="1:9" ht="13.75" customHeight="1">
      <c r="A177" s="523"/>
      <c r="B177" s="519" t="s">
        <v>2801</v>
      </c>
      <c r="C177" s="510"/>
      <c r="D177" s="1269" t="s">
        <v>1177</v>
      </c>
      <c r="E177" s="1269"/>
      <c r="F177" s="1269"/>
      <c r="G177" s="510"/>
      <c r="I177" s="524" t="s">
        <v>2084</v>
      </c>
    </row>
    <row r="178" spans="1:9" ht="13.75" customHeight="1">
      <c r="A178" s="523"/>
      <c r="B178" s="523"/>
      <c r="C178" s="510"/>
      <c r="D178" s="1269"/>
      <c r="E178" s="1269"/>
      <c r="F178" s="1269"/>
      <c r="G178" s="510"/>
      <c r="I178" s="524"/>
    </row>
    <row r="179" spans="1:9" ht="13.75" customHeight="1">
      <c r="A179" s="523"/>
      <c r="B179" s="523"/>
      <c r="C179" s="510"/>
      <c r="D179" s="1269"/>
      <c r="E179" s="1269"/>
      <c r="F179" s="1269"/>
      <c r="G179" s="510"/>
      <c r="I179" s="524"/>
    </row>
    <row r="180" spans="1:9" ht="13.75" customHeight="1">
      <c r="A180" s="523"/>
      <c r="B180" s="523"/>
      <c r="C180" s="510"/>
      <c r="D180" s="1269"/>
      <c r="E180" s="1269"/>
      <c r="F180" s="1269"/>
      <c r="G180" s="510"/>
      <c r="I180" s="524"/>
    </row>
    <row r="181" spans="1:9" ht="13.75" customHeight="1">
      <c r="D181" s="480"/>
      <c r="E181" s="480"/>
      <c r="F181" s="480"/>
      <c r="I181" s="524"/>
    </row>
    <row r="182" spans="1:9" ht="13.75" customHeight="1">
      <c r="B182" s="519" t="s">
        <v>2802</v>
      </c>
      <c r="D182" s="1303" t="s">
        <v>2363</v>
      </c>
      <c r="E182" s="1303"/>
      <c r="F182" s="1303"/>
      <c r="I182" s="524" t="s">
        <v>2085</v>
      </c>
    </row>
    <row r="183" spans="1:9" ht="13.75" customHeight="1">
      <c r="D183" s="1303"/>
      <c r="E183" s="1303"/>
      <c r="F183" s="1303"/>
      <c r="I183" s="524"/>
    </row>
    <row r="184" spans="1:9" ht="13.75" customHeight="1">
      <c r="D184" s="1303"/>
      <c r="E184" s="1303"/>
      <c r="F184" s="1303"/>
      <c r="I184" s="524"/>
    </row>
    <row r="185" spans="1:9" ht="13.75" customHeight="1">
      <c r="A185" s="524"/>
      <c r="B185" s="524"/>
      <c r="E185" s="480"/>
      <c r="F185" s="480"/>
      <c r="I185" s="524"/>
    </row>
    <row r="186" spans="1:9">
      <c r="A186" s="1287" t="s">
        <v>2364</v>
      </c>
      <c r="B186" s="1287"/>
      <c r="C186" s="1287"/>
      <c r="D186" s="1287"/>
      <c r="E186" s="1287"/>
      <c r="F186" s="1287"/>
      <c r="G186" s="1287"/>
      <c r="H186" s="1063"/>
      <c r="I186" s="1256"/>
    </row>
    <row r="187" spans="1:9" ht="12" customHeight="1">
      <c r="D187" s="480"/>
      <c r="E187" s="480"/>
      <c r="F187" s="480"/>
      <c r="I187" s="524"/>
    </row>
    <row r="188" spans="1:9">
      <c r="B188" s="1296" t="s">
        <v>448</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7" t="s">
        <v>1073</v>
      </c>
      <c r="B191" s="1287"/>
      <c r="C191" s="1287"/>
      <c r="D191" s="1287"/>
      <c r="E191" s="1287"/>
      <c r="F191" s="1287"/>
      <c r="G191" s="1287"/>
      <c r="H191" s="1063"/>
      <c r="I191" s="1256"/>
    </row>
    <row r="192" spans="1:9" ht="12" customHeight="1">
      <c r="A192" s="435"/>
      <c r="B192" s="435"/>
      <c r="E192" s="435"/>
      <c r="I192" s="524"/>
    </row>
    <row r="193" spans="1:9" ht="13.75" customHeight="1">
      <c r="A193" s="435"/>
      <c r="B193" s="435"/>
      <c r="D193" s="1309" t="s">
        <v>1934</v>
      </c>
      <c r="E193" s="1309"/>
      <c r="F193" s="1309"/>
      <c r="I193" s="524"/>
    </row>
    <row r="194" spans="1:9">
      <c r="A194" s="435"/>
      <c r="B194" s="435"/>
      <c r="D194" s="1309"/>
      <c r="E194" s="1309"/>
      <c r="F194" s="1309"/>
      <c r="I194" s="524"/>
    </row>
    <row r="195" spans="1:9">
      <c r="A195" s="435"/>
      <c r="B195" s="435"/>
      <c r="D195" s="1296" t="s">
        <v>1301</v>
      </c>
      <c r="E195" s="1296"/>
      <c r="F195" s="1296"/>
      <c r="I195" s="524"/>
    </row>
    <row r="196" spans="1:9">
      <c r="A196" s="435"/>
      <c r="B196" s="435"/>
      <c r="D196" s="423"/>
      <c r="E196" s="423"/>
      <c r="F196" s="423"/>
      <c r="I196" s="524"/>
    </row>
    <row r="197" spans="1:9">
      <c r="A197" s="435"/>
      <c r="B197" s="519" t="s">
        <v>2802</v>
      </c>
      <c r="D197" s="1286" t="s">
        <v>1935</v>
      </c>
      <c r="E197" s="1286"/>
      <c r="F197" s="1286"/>
      <c r="I197" s="524" t="s">
        <v>2134</v>
      </c>
    </row>
    <row r="198" spans="1:9">
      <c r="A198" s="435"/>
      <c r="B198" s="435"/>
      <c r="D198" s="1290" t="s">
        <v>2200</v>
      </c>
      <c r="E198" s="1290"/>
      <c r="F198" s="1290"/>
      <c r="I198" s="524"/>
    </row>
    <row r="199" spans="1:9">
      <c r="A199" s="435"/>
      <c r="B199" s="435"/>
      <c r="D199" s="96" t="s">
        <v>1936</v>
      </c>
      <c r="E199" s="1338" t="s">
        <v>2223</v>
      </c>
      <c r="F199" s="1338"/>
      <c r="I199" s="524"/>
    </row>
    <row r="200" spans="1:9">
      <c r="A200" s="435"/>
      <c r="B200" s="435"/>
      <c r="D200" s="3"/>
      <c r="E200" s="3"/>
      <c r="F200" s="3"/>
      <c r="I200" s="524"/>
    </row>
    <row r="201" spans="1:9">
      <c r="A201" s="435"/>
      <c r="B201" s="519" t="s">
        <v>2802</v>
      </c>
      <c r="D201" s="1290" t="s">
        <v>1937</v>
      </c>
      <c r="E201" s="1290"/>
      <c r="F201" s="1290"/>
      <c r="I201" s="524" t="s">
        <v>2135</v>
      </c>
    </row>
    <row r="202" spans="1:9">
      <c r="A202" s="435"/>
      <c r="B202" s="435"/>
      <c r="D202" s="1286" t="s">
        <v>2200</v>
      </c>
      <c r="E202" s="1286"/>
      <c r="F202" s="1286"/>
      <c r="I202" s="524"/>
    </row>
    <row r="203" spans="1:9">
      <c r="A203" s="435"/>
      <c r="B203" s="435"/>
      <c r="D203" s="57" t="s">
        <v>1938</v>
      </c>
      <c r="E203" s="1338" t="s">
        <v>2224</v>
      </c>
      <c r="F203" s="1338"/>
      <c r="I203" s="524"/>
    </row>
    <row r="204" spans="1:9">
      <c r="A204" s="435"/>
      <c r="B204" s="435"/>
      <c r="D204" s="3"/>
      <c r="E204" s="3"/>
      <c r="F204" s="3"/>
      <c r="I204" s="524"/>
    </row>
    <row r="205" spans="1:9">
      <c r="A205" s="435"/>
      <c r="B205" s="519" t="s">
        <v>2801</v>
      </c>
      <c r="D205" s="1290" t="s">
        <v>1939</v>
      </c>
      <c r="E205" s="1290"/>
      <c r="F205" s="1290"/>
      <c r="I205" s="524" t="s">
        <v>2136</v>
      </c>
    </row>
    <row r="206" spans="1:9">
      <c r="A206" s="435"/>
      <c r="B206" s="435"/>
      <c r="D206" s="1286" t="s">
        <v>2200</v>
      </c>
      <c r="E206" s="1286"/>
      <c r="F206" s="1286"/>
      <c r="I206" s="524"/>
    </row>
    <row r="207" spans="1:9">
      <c r="A207" s="435"/>
      <c r="B207" s="435"/>
      <c r="D207" s="57" t="s">
        <v>1936</v>
      </c>
      <c r="E207" s="1338" t="s">
        <v>2225</v>
      </c>
      <c r="F207" s="1338"/>
      <c r="I207" s="524"/>
    </row>
    <row r="208" spans="1:9">
      <c r="A208" s="435"/>
      <c r="B208" s="435"/>
      <c r="D208" s="423"/>
      <c r="E208" s="423"/>
      <c r="F208" s="423"/>
      <c r="I208" s="524"/>
    </row>
    <row r="209" spans="1:9" ht="14.25" customHeight="1">
      <c r="A209" s="518"/>
      <c r="B209" s="519" t="s">
        <v>2802</v>
      </c>
      <c r="D209" s="417" t="s">
        <v>2193</v>
      </c>
      <c r="E209" s="416"/>
      <c r="F209" s="416"/>
      <c r="I209" s="524" t="s">
        <v>2137</v>
      </c>
    </row>
    <row r="210" spans="1:9">
      <c r="A210" s="518"/>
      <c r="B210" s="518"/>
      <c r="D210" s="1286" t="s">
        <v>2200</v>
      </c>
      <c r="E210" s="1286"/>
      <c r="F210" s="1286"/>
      <c r="I210" s="524"/>
    </row>
    <row r="211" spans="1:9">
      <c r="D211" s="416"/>
      <c r="E211" s="1338" t="s">
        <v>2226</v>
      </c>
      <c r="F211" s="1338"/>
      <c r="I211" s="524"/>
    </row>
    <row r="212" spans="1:9">
      <c r="D212" s="481"/>
      <c r="I212" s="524"/>
    </row>
    <row r="213" spans="1:9">
      <c r="B213" s="519" t="s">
        <v>2802</v>
      </c>
      <c r="D213" s="1290" t="s">
        <v>1940</v>
      </c>
      <c r="E213" s="1290"/>
      <c r="F213" s="1290"/>
      <c r="I213" s="524" t="s">
        <v>2138</v>
      </c>
    </row>
    <row r="214" spans="1:9">
      <c r="D214" s="1286" t="s">
        <v>2200</v>
      </c>
      <c r="E214" s="1286"/>
      <c r="F214" s="1286"/>
      <c r="I214" s="524"/>
    </row>
    <row r="215" spans="1:9">
      <c r="D215" s="57" t="s">
        <v>1936</v>
      </c>
      <c r="E215" s="1338" t="s">
        <v>2227</v>
      </c>
      <c r="F215" s="1338"/>
      <c r="I215" s="524"/>
    </row>
    <row r="216" spans="1:9">
      <c r="D216" s="485"/>
      <c r="E216" s="485"/>
      <c r="F216" s="485"/>
      <c r="I216" s="524"/>
    </row>
    <row r="217" spans="1:9">
      <c r="A217" s="518"/>
      <c r="B217" s="519" t="s">
        <v>2802</v>
      </c>
      <c r="D217" s="1281" t="s">
        <v>1322</v>
      </c>
      <c r="E217" s="1281"/>
      <c r="F217" s="1281"/>
      <c r="I217" s="524"/>
    </row>
    <row r="218" spans="1:9" ht="14.5" customHeight="1">
      <c r="A218" s="518"/>
      <c r="B218" s="433"/>
      <c r="D218" s="1281"/>
      <c r="E218" s="1281"/>
      <c r="F218" s="1281"/>
      <c r="I218" s="524"/>
    </row>
    <row r="219" spans="1:9">
      <c r="A219" s="518"/>
      <c r="D219" s="1281"/>
      <c r="E219" s="1281"/>
      <c r="F219" s="1281"/>
      <c r="I219" s="524"/>
    </row>
    <row r="220" spans="1:9">
      <c r="A220" s="518"/>
      <c r="D220" s="1281"/>
      <c r="E220" s="1281"/>
      <c r="F220" s="1281"/>
      <c r="I220" s="524"/>
    </row>
    <row r="221" spans="1:9">
      <c r="D221" s="485"/>
      <c r="E221" s="485"/>
      <c r="F221" s="485"/>
      <c r="I221" s="524"/>
    </row>
    <row r="222" spans="1:9">
      <c r="A222" s="1287" t="s">
        <v>1074</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1203</v>
      </c>
      <c r="E225" s="1310"/>
      <c r="F225" s="1310"/>
      <c r="I225" s="524"/>
    </row>
    <row r="226" spans="1:9" ht="12" customHeight="1">
      <c r="A226" s="524"/>
      <c r="B226" s="524"/>
      <c r="C226" s="524"/>
      <c r="I226" s="524"/>
    </row>
    <row r="227" spans="1:9" ht="13.75" customHeight="1">
      <c r="A227" s="524"/>
      <c r="C227" s="524"/>
      <c r="D227" s="1279" t="s">
        <v>554</v>
      </c>
      <c r="E227" s="1279"/>
      <c r="F227" s="1279"/>
      <c r="I227" s="524" t="s">
        <v>2086</v>
      </c>
    </row>
    <row r="228" spans="1:9">
      <c r="A228" s="518"/>
      <c r="B228" s="519" t="s">
        <v>2801</v>
      </c>
      <c r="D228" s="1281" t="s">
        <v>1941</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c r="A231" s="518"/>
      <c r="B231" s="518"/>
      <c r="D231" s="1281"/>
      <c r="E231" s="1281"/>
      <c r="F231" s="1281"/>
      <c r="I231" s="524"/>
    </row>
    <row r="232" spans="1:9">
      <c r="A232" s="518"/>
      <c r="B232" s="518"/>
      <c r="D232" s="479"/>
      <c r="E232" s="479"/>
      <c r="F232" s="479"/>
      <c r="I232" s="524"/>
    </row>
    <row r="233" spans="1:9">
      <c r="A233" s="518"/>
      <c r="B233" s="519" t="s">
        <v>2801</v>
      </c>
      <c r="D233" s="1281" t="s">
        <v>1942</v>
      </c>
      <c r="E233" s="1281"/>
      <c r="F233" s="1281"/>
      <c r="I233" s="524" t="s">
        <v>2087</v>
      </c>
    </row>
    <row r="234" spans="1:9">
      <c r="A234" s="518"/>
      <c r="B234" s="518"/>
      <c r="D234" s="1281"/>
      <c r="E234" s="1281"/>
      <c r="F234" s="1281"/>
      <c r="I234" s="524"/>
    </row>
    <row r="235" spans="1:9">
      <c r="A235" s="518"/>
      <c r="B235" s="518"/>
      <c r="D235" s="1281"/>
      <c r="E235" s="1281"/>
      <c r="F235" s="1281"/>
      <c r="I235" s="524"/>
    </row>
    <row r="236" spans="1:9">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c r="A239" s="518"/>
      <c r="B239" s="518"/>
      <c r="D239" s="1281" t="s">
        <v>1199</v>
      </c>
      <c r="E239" s="1281"/>
      <c r="F239" s="1281"/>
      <c r="I239" s="524" t="s">
        <v>2086</v>
      </c>
    </row>
    <row r="240" spans="1:9">
      <c r="A240" s="518"/>
      <c r="B240" s="518"/>
      <c r="D240" s="1281"/>
      <c r="E240" s="1281"/>
      <c r="F240" s="1281"/>
      <c r="I240" s="524"/>
    </row>
    <row r="241" spans="1:9">
      <c r="A241" s="518"/>
      <c r="B241" s="518"/>
      <c r="D241" s="1281"/>
      <c r="E241" s="1281"/>
      <c r="F241" s="1281"/>
      <c r="I241" s="524"/>
    </row>
    <row r="242" spans="1:9">
      <c r="A242" s="518"/>
      <c r="B242" s="518"/>
      <c r="D242" s="1281"/>
      <c r="E242" s="1281"/>
      <c r="F242" s="1281"/>
      <c r="I242" s="524"/>
    </row>
    <row r="243" spans="1:9">
      <c r="A243" s="518"/>
      <c r="B243" s="518"/>
      <c r="D243" s="1281"/>
      <c r="E243" s="1281"/>
      <c r="F243" s="1281"/>
      <c r="I243" s="524"/>
    </row>
    <row r="244" spans="1:9">
      <c r="A244" s="518"/>
      <c r="B244" s="518"/>
      <c r="D244" s="480"/>
      <c r="E244" s="480"/>
      <c r="F244" s="480"/>
      <c r="I244" s="524"/>
    </row>
    <row r="245" spans="1:9">
      <c r="A245" s="518"/>
      <c r="B245" s="519" t="s">
        <v>2801</v>
      </c>
      <c r="D245" s="1281" t="s">
        <v>2365</v>
      </c>
      <c r="E245" s="1281"/>
      <c r="F245" s="1281"/>
      <c r="I245" s="524" t="s">
        <v>2125</v>
      </c>
    </row>
    <row r="246" spans="1:9">
      <c r="A246" s="518"/>
      <c r="B246" s="518"/>
      <c r="D246" s="1281"/>
      <c r="E246" s="1281"/>
      <c r="F246" s="1281"/>
      <c r="I246" s="524"/>
    </row>
    <row r="247" spans="1:9">
      <c r="A247" s="518"/>
      <c r="B247" s="518"/>
      <c r="D247" s="1281"/>
      <c r="E247" s="1281"/>
      <c r="F247" s="1281"/>
      <c r="I247" s="524"/>
    </row>
    <row r="248" spans="1:9">
      <c r="A248" s="518"/>
      <c r="B248" s="518"/>
      <c r="E248" s="1071" t="s">
        <v>2194</v>
      </c>
      <c r="I248" s="524"/>
    </row>
    <row r="249" spans="1:9">
      <c r="A249" s="518"/>
      <c r="B249" s="518"/>
      <c r="D249" s="480"/>
      <c r="E249" s="480"/>
      <c r="F249" s="480"/>
      <c r="I249" s="524"/>
    </row>
    <row r="250" spans="1:9" ht="14.5" customHeight="1">
      <c r="A250" s="518"/>
      <c r="B250" s="519" t="s">
        <v>2802</v>
      </c>
      <c r="D250" s="1281" t="s">
        <v>2366</v>
      </c>
      <c r="E250" s="1281"/>
      <c r="F250" s="1281"/>
      <c r="I250" s="524" t="s">
        <v>2143</v>
      </c>
    </row>
    <row r="251" spans="1:9">
      <c r="A251" s="518"/>
      <c r="B251" s="518"/>
      <c r="D251" s="1281"/>
      <c r="E251" s="1281"/>
      <c r="F251" s="1281"/>
      <c r="I251" s="524"/>
    </row>
    <row r="252" spans="1:9">
      <c r="A252" s="518"/>
      <c r="B252" s="518"/>
      <c r="D252" s="1281"/>
      <c r="E252" s="1281"/>
      <c r="F252" s="1281"/>
      <c r="I252" s="524"/>
    </row>
    <row r="253" spans="1:9">
      <c r="A253" s="518"/>
      <c r="B253" s="518"/>
      <c r="D253" s="1281"/>
      <c r="E253" s="1281"/>
      <c r="F253" s="1281"/>
      <c r="I253" s="524"/>
    </row>
    <row r="254" spans="1:9">
      <c r="A254" s="518"/>
      <c r="B254" s="518"/>
      <c r="D254" s="1281"/>
      <c r="E254" s="1281"/>
      <c r="F254" s="1281"/>
      <c r="I254" s="524"/>
    </row>
    <row r="255" spans="1:9">
      <c r="A255" s="518"/>
      <c r="B255" s="518"/>
      <c r="D255" s="479"/>
      <c r="E255" s="479"/>
      <c r="F255" s="479"/>
      <c r="I255" s="524"/>
    </row>
    <row r="256" spans="1:9">
      <c r="A256" s="518"/>
      <c r="B256" s="519" t="s">
        <v>2801</v>
      </c>
      <c r="D256" s="423" t="s">
        <v>2367</v>
      </c>
      <c r="E256" s="479"/>
      <c r="F256" s="479"/>
      <c r="I256" s="524" t="s">
        <v>2124</v>
      </c>
    </row>
    <row r="257" spans="1:9">
      <c r="A257" s="518"/>
      <c r="B257" s="518"/>
      <c r="E257" s="1071" t="s">
        <v>2195</v>
      </c>
      <c r="I257" s="524"/>
    </row>
    <row r="258" spans="1:9">
      <c r="D258" s="480"/>
      <c r="E258" s="480"/>
      <c r="F258" s="480"/>
      <c r="I258" s="524"/>
    </row>
    <row r="259" spans="1:9">
      <c r="A259" s="518"/>
      <c r="B259" s="519" t="s">
        <v>2801</v>
      </c>
      <c r="D259" s="1281" t="s">
        <v>1201</v>
      </c>
      <c r="E259" s="1281"/>
      <c r="F259" s="1281"/>
      <c r="I259" s="524"/>
    </row>
    <row r="260" spans="1:9">
      <c r="A260" s="518"/>
      <c r="B260" s="518"/>
      <c r="D260" s="1281"/>
      <c r="E260" s="1281"/>
      <c r="F260" s="1281"/>
      <c r="I260" s="524"/>
    </row>
    <row r="261" spans="1:9">
      <c r="D261" s="525"/>
      <c r="I261" s="524"/>
    </row>
    <row r="262" spans="1:9">
      <c r="A262" s="1287" t="s">
        <v>1075</v>
      </c>
      <c r="B262" s="1287"/>
      <c r="C262" s="1287"/>
      <c r="D262" s="1287"/>
      <c r="E262" s="1287"/>
      <c r="F262" s="1287"/>
      <c r="G262" s="1287"/>
      <c r="H262" s="1063"/>
      <c r="I262" s="1256"/>
    </row>
    <row r="263" spans="1:9">
      <c r="D263" s="525"/>
      <c r="I263" s="524"/>
    </row>
    <row r="264" spans="1:9">
      <c r="C264" s="520"/>
      <c r="D264" s="1279" t="s">
        <v>1204</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2126</v>
      </c>
    </row>
    <row r="267" spans="1:9" ht="14.5" customHeight="1">
      <c r="A267" s="518"/>
      <c r="B267" s="519" t="s">
        <v>2801</v>
      </c>
      <c r="D267" s="1281" t="s">
        <v>1302</v>
      </c>
      <c r="E267" s="1281"/>
      <c r="F267" s="1281"/>
      <c r="I267" s="524"/>
    </row>
    <row r="268" spans="1:9">
      <c r="D268" s="1281"/>
      <c r="E268" s="1281"/>
      <c r="F268" s="1281"/>
      <c r="I268" s="524"/>
    </row>
    <row r="269" spans="1:9">
      <c r="E269" s="1071" t="s">
        <v>2196</v>
      </c>
      <c r="I269" s="524"/>
    </row>
    <row r="270" spans="1:9">
      <c r="D270" s="480"/>
      <c r="E270" s="480"/>
      <c r="F270" s="480"/>
      <c r="I270" s="524"/>
    </row>
    <row r="271" spans="1:9" ht="14.5" customHeight="1">
      <c r="A271" s="518"/>
      <c r="B271" s="519" t="s">
        <v>2802</v>
      </c>
      <c r="D271" s="1281" t="s">
        <v>2368</v>
      </c>
      <c r="E271" s="1281"/>
      <c r="F271" s="1281"/>
      <c r="I271" s="524" t="s">
        <v>2144</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c r="A278" s="518"/>
      <c r="B278" s="519" t="s">
        <v>2802</v>
      </c>
      <c r="D278" s="1281" t="s">
        <v>1207</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1076</v>
      </c>
      <c r="B282" s="1287"/>
      <c r="C282" s="1287"/>
      <c r="D282" s="1287"/>
      <c r="E282" s="1287"/>
      <c r="F282" s="1287"/>
      <c r="G282" s="1287"/>
      <c r="H282" s="1063"/>
      <c r="I282" s="1256"/>
    </row>
    <row r="283" spans="1:9">
      <c r="D283" s="526"/>
      <c r="E283" s="480"/>
      <c r="F283" s="480"/>
      <c r="I283" s="524"/>
    </row>
    <row r="284" spans="1:9">
      <c r="C284" s="516"/>
      <c r="D284" s="1309" t="s">
        <v>1209</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1210</v>
      </c>
      <c r="E288" s="1334"/>
      <c r="F288" s="1334"/>
      <c r="I288" s="524"/>
    </row>
    <row r="289" spans="1:9">
      <c r="E289" s="480"/>
      <c r="F289" s="480"/>
      <c r="I289" s="524"/>
    </row>
    <row r="290" spans="1:9">
      <c r="A290" s="518"/>
      <c r="B290" s="519" t="s">
        <v>2802</v>
      </c>
      <c r="D290" s="1281" t="s">
        <v>1211</v>
      </c>
      <c r="E290" s="1281"/>
      <c r="F290" s="1281"/>
      <c r="I290" s="524" t="s">
        <v>2088</v>
      </c>
    </row>
    <row r="291" spans="1:9">
      <c r="A291" s="518"/>
      <c r="B291" s="518"/>
      <c r="D291" s="1281"/>
      <c r="E291" s="1281"/>
      <c r="F291" s="1281"/>
      <c r="I291" s="524"/>
    </row>
    <row r="292" spans="1:9">
      <c r="D292" s="480"/>
      <c r="E292" s="480"/>
      <c r="F292" s="480"/>
      <c r="I292" s="524"/>
    </row>
    <row r="293" spans="1:9">
      <c r="A293" s="518"/>
      <c r="B293" s="519" t="s">
        <v>2802</v>
      </c>
      <c r="D293" s="1281" t="s">
        <v>1212</v>
      </c>
      <c r="E293" s="1281"/>
      <c r="F293" s="1281"/>
      <c r="I293" s="524" t="s">
        <v>2088</v>
      </c>
    </row>
    <row r="294" spans="1:9">
      <c r="A294" s="518"/>
      <c r="B294" s="518"/>
      <c r="D294" s="1281"/>
      <c r="E294" s="1281"/>
      <c r="F294" s="1281"/>
      <c r="I294" s="524"/>
    </row>
    <row r="295" spans="1:9">
      <c r="A295" s="518"/>
      <c r="B295" s="518"/>
      <c r="D295" s="1281"/>
      <c r="E295" s="1281"/>
      <c r="F295" s="1281"/>
      <c r="I295" s="524"/>
    </row>
    <row r="296" spans="1:9">
      <c r="D296" s="480"/>
      <c r="E296" s="480"/>
      <c r="F296" s="480"/>
      <c r="I296" s="524"/>
    </row>
    <row r="297" spans="1:9">
      <c r="A297" s="518"/>
      <c r="B297" s="519" t="s">
        <v>2802</v>
      </c>
      <c r="D297" s="1281" t="s">
        <v>1213</v>
      </c>
      <c r="E297" s="1281"/>
      <c r="F297" s="1281"/>
      <c r="I297" s="524" t="s">
        <v>2088</v>
      </c>
    </row>
    <row r="298" spans="1:9">
      <c r="A298" s="518"/>
      <c r="B298" s="518"/>
      <c r="D298" s="1281"/>
      <c r="E298" s="1281"/>
      <c r="F298" s="1281"/>
      <c r="I298" s="524"/>
    </row>
    <row r="299" spans="1:9">
      <c r="A299" s="524"/>
      <c r="B299" s="524"/>
      <c r="E299" s="480"/>
      <c r="F299" s="480"/>
      <c r="I299" s="524"/>
    </row>
    <row r="300" spans="1:9">
      <c r="A300" s="1287" t="s">
        <v>1077</v>
      </c>
      <c r="B300" s="1287"/>
      <c r="C300" s="1287"/>
      <c r="D300" s="1287"/>
      <c r="E300" s="1287"/>
      <c r="F300" s="1287"/>
      <c r="G300" s="1287"/>
      <c r="H300" s="1063"/>
      <c r="I300" s="1256"/>
    </row>
    <row r="301" spans="1:9">
      <c r="A301" s="524"/>
      <c r="B301" s="524"/>
      <c r="D301" s="480"/>
      <c r="E301" s="480"/>
      <c r="F301" s="480"/>
      <c r="I301" s="524"/>
    </row>
    <row r="302" spans="1:9">
      <c r="C302" s="524"/>
      <c r="D302" s="1279" t="s">
        <v>690</v>
      </c>
      <c r="E302" s="1279"/>
      <c r="F302" s="1279"/>
      <c r="I302" s="524"/>
    </row>
    <row r="303" spans="1:9">
      <c r="C303" s="524"/>
      <c r="D303" s="1310" t="s">
        <v>1214</v>
      </c>
      <c r="E303" s="1310"/>
      <c r="F303" s="1310"/>
      <c r="I303" s="524"/>
    </row>
    <row r="304" spans="1:9">
      <c r="C304" s="524"/>
      <c r="D304" s="527"/>
      <c r="I304" s="524"/>
    </row>
    <row r="305" spans="1:9">
      <c r="B305" s="519" t="s">
        <v>2802</v>
      </c>
      <c r="D305" s="1310" t="s">
        <v>1215</v>
      </c>
      <c r="E305" s="1310"/>
      <c r="F305" s="1310"/>
      <c r="I305" s="524" t="s">
        <v>2089</v>
      </c>
    </row>
    <row r="306" spans="1:9">
      <c r="A306" s="518"/>
      <c r="B306" s="518"/>
      <c r="D306" s="528"/>
      <c r="E306" s="529"/>
      <c r="F306" s="529"/>
      <c r="I306" s="524"/>
    </row>
    <row r="307" spans="1:9" ht="13.75" customHeight="1">
      <c r="B307" s="519" t="s">
        <v>2802</v>
      </c>
      <c r="D307" s="1331" t="s">
        <v>1325</v>
      </c>
      <c r="E307" s="1331"/>
      <c r="F307" s="1331"/>
      <c r="I307" s="524" t="s">
        <v>2089</v>
      </c>
    </row>
    <row r="308" spans="1:9">
      <c r="A308" s="518"/>
      <c r="B308" s="518"/>
      <c r="D308" s="1331"/>
      <c r="E308" s="1331"/>
      <c r="F308" s="1331"/>
      <c r="I308" s="524"/>
    </row>
    <row r="309" spans="1:9">
      <c r="A309" s="518"/>
      <c r="B309" s="518"/>
      <c r="D309" s="1331"/>
      <c r="E309" s="1331"/>
      <c r="F309" s="1331"/>
      <c r="I309" s="524"/>
    </row>
    <row r="310" spans="1:9">
      <c r="A310" s="518"/>
      <c r="B310" s="518"/>
      <c r="D310" s="1331"/>
      <c r="E310" s="1331"/>
      <c r="F310" s="1331"/>
      <c r="I310" s="524"/>
    </row>
    <row r="311" spans="1:9">
      <c r="A311" s="518"/>
      <c r="B311" s="518"/>
      <c r="D311" s="1331"/>
      <c r="E311" s="1331"/>
      <c r="F311" s="1331"/>
      <c r="I311" s="524"/>
    </row>
    <row r="312" spans="1:9">
      <c r="A312" s="518"/>
      <c r="B312" s="518"/>
      <c r="D312" s="528"/>
      <c r="E312" s="529"/>
      <c r="F312" s="529"/>
      <c r="I312" s="524"/>
    </row>
    <row r="313" spans="1:9" ht="13.75" customHeight="1">
      <c r="B313" s="519" t="s">
        <v>2802</v>
      </c>
      <c r="D313" s="1331" t="s">
        <v>1217</v>
      </c>
      <c r="E313" s="1331"/>
      <c r="F313" s="1331"/>
      <c r="I313" s="524" t="s">
        <v>2089</v>
      </c>
    </row>
    <row r="314" spans="1:9">
      <c r="D314" s="1331"/>
      <c r="E314" s="1331"/>
      <c r="F314" s="1331"/>
      <c r="I314" s="524"/>
    </row>
    <row r="315" spans="1:9">
      <c r="A315" s="518"/>
      <c r="B315" s="518"/>
      <c r="D315" s="528"/>
      <c r="E315" s="529"/>
      <c r="F315" s="529"/>
      <c r="I315" s="524"/>
    </row>
    <row r="316" spans="1:9">
      <c r="B316" s="519" t="s">
        <v>2802</v>
      </c>
      <c r="D316" s="1310" t="s">
        <v>1218</v>
      </c>
      <c r="E316" s="1310"/>
      <c r="F316" s="1310"/>
      <c r="I316" s="524" t="s">
        <v>2075</v>
      </c>
    </row>
    <row r="317" spans="1:9">
      <c r="E317" s="480"/>
      <c r="F317" s="480"/>
      <c r="I317" s="524"/>
    </row>
    <row r="318" spans="1:9">
      <c r="A318" s="518"/>
      <c r="B318" s="519" t="s">
        <v>2802</v>
      </c>
      <c r="D318" s="1281" t="s">
        <v>2387</v>
      </c>
      <c r="E318" s="1281"/>
      <c r="F318" s="1281"/>
      <c r="I318" s="524" t="s">
        <v>2090</v>
      </c>
    </row>
    <row r="319" spans="1:9">
      <c r="A319" s="518"/>
      <c r="B319" s="518"/>
      <c r="D319" s="1281"/>
      <c r="E319" s="1281"/>
      <c r="F319" s="1281"/>
      <c r="I319" s="524"/>
    </row>
    <row r="320" spans="1:9">
      <c r="A320" s="518"/>
      <c r="B320" s="518"/>
      <c r="D320" s="1281"/>
      <c r="E320" s="1281"/>
      <c r="F320" s="1281"/>
      <c r="I320" s="524"/>
    </row>
    <row r="321" spans="1:9">
      <c r="A321" s="518"/>
      <c r="B321" s="518"/>
      <c r="D321" s="1281"/>
      <c r="E321" s="1281"/>
      <c r="F321" s="1281"/>
      <c r="I321" s="524"/>
    </row>
    <row r="322" spans="1:9">
      <c r="A322" s="518"/>
      <c r="B322" s="518"/>
      <c r="D322" s="1281"/>
      <c r="E322" s="1281"/>
      <c r="F322" s="1281"/>
      <c r="I322" s="524"/>
    </row>
    <row r="323" spans="1:9">
      <c r="A323" s="518"/>
      <c r="B323" s="518"/>
      <c r="D323" s="1281"/>
      <c r="E323" s="1281"/>
      <c r="F323" s="1281"/>
      <c r="I323" s="524"/>
    </row>
    <row r="324" spans="1:9">
      <c r="A324" s="518"/>
      <c r="B324" s="518"/>
      <c r="D324" s="1281"/>
      <c r="E324" s="1281"/>
      <c r="F324" s="1281"/>
      <c r="I324" s="524"/>
    </row>
    <row r="325" spans="1:9">
      <c r="A325" s="518"/>
      <c r="B325" s="518"/>
      <c r="D325" s="1281"/>
      <c r="E325" s="1281"/>
      <c r="F325" s="1281"/>
      <c r="I325" s="524"/>
    </row>
    <row r="326" spans="1:9">
      <c r="A326" s="518"/>
      <c r="B326" s="518"/>
      <c r="D326" s="1281"/>
      <c r="E326" s="1281"/>
      <c r="F326" s="1281"/>
      <c r="I326" s="524"/>
    </row>
    <row r="327" spans="1:9">
      <c r="A327" s="518"/>
      <c r="B327" s="518"/>
      <c r="D327" s="1281"/>
      <c r="E327" s="1281"/>
      <c r="F327" s="1281"/>
      <c r="I327" s="524"/>
    </row>
    <row r="328" spans="1:9">
      <c r="A328" s="518"/>
      <c r="B328" s="518"/>
      <c r="D328" s="1281"/>
      <c r="E328" s="1281"/>
      <c r="F328" s="1281"/>
      <c r="I328" s="524"/>
    </row>
    <row r="329" spans="1:9">
      <c r="A329" s="518"/>
      <c r="B329" s="518"/>
      <c r="D329" s="1281"/>
      <c r="E329" s="1281"/>
      <c r="F329" s="1281"/>
      <c r="I329" s="524"/>
    </row>
    <row r="330" spans="1:9">
      <c r="A330" s="518"/>
      <c r="B330" s="518"/>
      <c r="D330" s="1281"/>
      <c r="E330" s="1281"/>
      <c r="F330" s="1281"/>
      <c r="I330" s="524"/>
    </row>
    <row r="331" spans="1:9">
      <c r="A331" s="518"/>
      <c r="B331" s="518"/>
      <c r="D331" s="1281"/>
      <c r="E331" s="1281"/>
      <c r="F331" s="1281"/>
      <c r="I331" s="524"/>
    </row>
    <row r="332" spans="1:9">
      <c r="A332" s="518"/>
      <c r="B332" s="518"/>
      <c r="D332" s="1281"/>
      <c r="E332" s="1281"/>
      <c r="F332" s="1281"/>
      <c r="I332" s="524"/>
    </row>
    <row r="333" spans="1:9">
      <c r="D333" s="480"/>
      <c r="E333" s="480"/>
      <c r="F333" s="480"/>
      <c r="I333" s="524"/>
    </row>
    <row r="334" spans="1:9">
      <c r="A334" s="518"/>
      <c r="B334" s="519" t="s">
        <v>2802</v>
      </c>
      <c r="D334" s="1281" t="s">
        <v>1220</v>
      </c>
      <c r="E334" s="1281"/>
      <c r="F334" s="1281"/>
      <c r="I334" s="524" t="s">
        <v>2090</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2802</v>
      </c>
      <c r="D344" s="1281" t="s">
        <v>2201</v>
      </c>
      <c r="E344" s="1281"/>
      <c r="F344" s="1281"/>
      <c r="I344" s="524" t="s">
        <v>2127</v>
      </c>
    </row>
    <row r="345" spans="1:9">
      <c r="D345" s="1281"/>
      <c r="E345" s="1281"/>
      <c r="F345" s="1281"/>
      <c r="I345" s="524"/>
    </row>
    <row r="346" spans="1:9">
      <c r="D346" s="1281"/>
      <c r="E346" s="1281"/>
      <c r="F346" s="1281"/>
      <c r="I346" s="524"/>
    </row>
    <row r="347" spans="1:9">
      <c r="D347" s="1281"/>
      <c r="E347" s="1281"/>
      <c r="F347" s="1281"/>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6" t="s">
        <v>998</v>
      </c>
      <c r="E351" s="1336"/>
      <c r="F351" s="1336"/>
      <c r="G351" s="1062"/>
      <c r="H351" s="1062"/>
      <c r="I351" s="1259"/>
    </row>
    <row r="352" spans="1:9" ht="13.5" thickTop="1">
      <c r="D352" s="1332" t="s">
        <v>1222</v>
      </c>
      <c r="E352" s="1332"/>
      <c r="F352" s="1332"/>
      <c r="I352" s="524"/>
    </row>
    <row r="353" spans="1:9">
      <c r="D353" s="480"/>
      <c r="E353" s="480"/>
      <c r="F353" s="480"/>
      <c r="I353" s="524"/>
    </row>
    <row r="354" spans="1:9">
      <c r="A354" s="510"/>
      <c r="B354" s="510"/>
      <c r="C354" s="510"/>
      <c r="D354" s="481"/>
      <c r="E354" s="481"/>
      <c r="F354" s="480"/>
      <c r="I354" s="524" t="s">
        <v>2091</v>
      </c>
    </row>
    <row r="355" spans="1:9">
      <c r="A355" s="518"/>
      <c r="B355" s="519" t="s">
        <v>2802</v>
      </c>
      <c r="C355" s="521"/>
      <c r="D355" s="1310" t="s">
        <v>2199</v>
      </c>
      <c r="E355" s="1310"/>
      <c r="F355" s="1310"/>
      <c r="I355" s="1328" t="s">
        <v>2141</v>
      </c>
    </row>
    <row r="356" spans="1:9" ht="12.75" customHeight="1">
      <c r="D356" s="1072"/>
      <c r="E356" s="96" t="s">
        <v>2198</v>
      </c>
      <c r="F356" s="1072"/>
      <c r="I356" s="1329"/>
    </row>
    <row r="357" spans="1:9" ht="12.5">
      <c r="D357" s="1281" t="s">
        <v>1346</v>
      </c>
      <c r="E357" s="1281"/>
      <c r="F357" s="1281"/>
      <c r="I357" s="1329"/>
    </row>
    <row r="358" spans="1:9" ht="12.5">
      <c r="D358" s="1281"/>
      <c r="E358" s="1281"/>
      <c r="F358" s="1281"/>
      <c r="I358" s="1329"/>
    </row>
    <row r="359" spans="1:9" ht="12.5">
      <c r="D359" s="1281"/>
      <c r="E359" s="1281"/>
      <c r="F359" s="1281"/>
      <c r="I359" s="1330"/>
    </row>
    <row r="360" spans="1:9">
      <c r="A360" s="518"/>
      <c r="B360" s="519" t="s">
        <v>2802</v>
      </c>
      <c r="C360" s="510"/>
      <c r="D360" s="1314" t="s">
        <v>2369</v>
      </c>
      <c r="E360" s="1314"/>
      <c r="F360" s="1314"/>
      <c r="I360" s="514"/>
    </row>
    <row r="361" spans="1:9">
      <c r="A361" s="510"/>
      <c r="B361" s="510"/>
      <c r="C361" s="510"/>
      <c r="D361" s="481"/>
      <c r="E361" s="481"/>
      <c r="F361" s="480"/>
      <c r="I361" s="524"/>
    </row>
    <row r="362" spans="1:9">
      <c r="A362" s="510"/>
      <c r="B362" s="519" t="s">
        <v>2802</v>
      </c>
      <c r="C362" s="510"/>
      <c r="D362" s="1269" t="s">
        <v>2370</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4" customHeight="1">
      <c r="A375" s="510"/>
      <c r="B375" s="519" t="s">
        <v>2802</v>
      </c>
      <c r="C375" s="510"/>
      <c r="D375" s="1325" t="s">
        <v>1327</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2802</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c r="A387" s="518"/>
      <c r="B387" s="519" t="s">
        <v>2802</v>
      </c>
      <c r="C387" s="510"/>
      <c r="D387" s="1269" t="s">
        <v>1225</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1226</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5" customHeight="1">
      <c r="A401" s="510"/>
      <c r="B401" s="510"/>
      <c r="C401" s="510"/>
      <c r="D401" s="1269" t="s">
        <v>1227</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2802</v>
      </c>
      <c r="C420" s="510"/>
      <c r="D420" s="1269" t="s">
        <v>1228</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5" customHeight="1">
      <c r="A423" s="518"/>
      <c r="B423" s="519" t="s">
        <v>2802</v>
      </c>
      <c r="D423" s="1269" t="s">
        <v>2128</v>
      </c>
      <c r="E423" s="1269"/>
      <c r="F423" s="1269"/>
      <c r="I423" s="524"/>
    </row>
    <row r="424" spans="1:9" ht="14.5" customHeight="1">
      <c r="A424" s="518"/>
      <c r="D424" s="1269"/>
      <c r="E424" s="1269"/>
      <c r="F424" s="1269"/>
      <c r="I424" s="524"/>
    </row>
    <row r="425" spans="1:9" ht="14.5" customHeight="1">
      <c r="A425" s="518"/>
      <c r="D425" s="1269"/>
      <c r="E425" s="1269"/>
      <c r="F425" s="1269"/>
      <c r="I425" s="524"/>
    </row>
    <row r="426" spans="1:9" ht="14.5" customHeight="1">
      <c r="A426" s="518"/>
      <c r="D426" s="1269"/>
      <c r="E426" s="1269"/>
      <c r="F426" s="1269"/>
      <c r="I426" s="524"/>
    </row>
    <row r="427" spans="1:9" ht="14.5" customHeight="1">
      <c r="A427" s="518"/>
      <c r="D427" s="1269"/>
      <c r="E427" s="1269"/>
      <c r="F427" s="1269"/>
      <c r="I427" s="524"/>
    </row>
    <row r="428" spans="1:9" ht="14.5" customHeight="1">
      <c r="A428" s="518"/>
      <c r="D428" s="416"/>
      <c r="E428" s="416"/>
      <c r="F428" s="416"/>
      <c r="I428" s="524"/>
    </row>
    <row r="429" spans="1:9" ht="13.75" customHeight="1">
      <c r="A429" s="518"/>
      <c r="B429" s="519" t="s">
        <v>2802</v>
      </c>
      <c r="C429" s="510"/>
      <c r="D429" s="1269" t="s">
        <v>1347</v>
      </c>
      <c r="E429" s="1269"/>
      <c r="F429" s="1269"/>
      <c r="I429" s="524"/>
    </row>
    <row r="430" spans="1:9">
      <c r="A430" s="531"/>
      <c r="B430" s="531"/>
      <c r="C430" s="510"/>
      <c r="D430" s="1269"/>
      <c r="E430" s="1269"/>
      <c r="F430" s="1269"/>
      <c r="I430" s="524"/>
    </row>
    <row r="431" spans="1:9">
      <c r="A431" s="531"/>
      <c r="B431" s="531"/>
      <c r="C431" s="510"/>
      <c r="D431" s="1269"/>
      <c r="E431" s="1269"/>
      <c r="F431" s="1269"/>
      <c r="I431" s="524"/>
    </row>
    <row r="432" spans="1:9">
      <c r="A432" s="531"/>
      <c r="B432" s="531"/>
      <c r="C432" s="510"/>
      <c r="D432" s="1269"/>
      <c r="E432" s="1269"/>
      <c r="F432" s="1269"/>
      <c r="I432" s="524"/>
    </row>
    <row r="433" spans="1:9" ht="15.75" customHeight="1">
      <c r="A433" s="531"/>
      <c r="B433" s="531"/>
      <c r="C433" s="510"/>
      <c r="D433" s="1333" t="s">
        <v>2388</v>
      </c>
      <c r="E433" s="1269"/>
      <c r="F433" s="1269"/>
      <c r="I433" s="524"/>
    </row>
    <row r="434" spans="1:9">
      <c r="D434" s="480"/>
      <c r="E434" s="480"/>
      <c r="F434" s="480"/>
      <c r="I434" s="524"/>
    </row>
    <row r="435" spans="1:9">
      <c r="A435" s="518"/>
      <c r="B435" s="519" t="s">
        <v>2802</v>
      </c>
      <c r="C435" s="521"/>
      <c r="D435" s="1281" t="s">
        <v>2371</v>
      </c>
      <c r="E435" s="1281"/>
      <c r="F435" s="1281"/>
      <c r="I435" s="524"/>
    </row>
    <row r="436" spans="1:9">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5" customHeight="1">
      <c r="D465" s="1281"/>
      <c r="E465" s="1281"/>
      <c r="F465" s="1281"/>
      <c r="I465" s="524"/>
    </row>
    <row r="466" spans="1:9">
      <c r="D466" s="480"/>
      <c r="E466" s="480"/>
      <c r="F466" s="480"/>
      <c r="I466" s="524"/>
    </row>
    <row r="467" spans="1:9">
      <c r="A467" s="518"/>
      <c r="B467" s="519" t="s">
        <v>2802</v>
      </c>
      <c r="C467" s="521"/>
      <c r="D467" s="1281" t="s">
        <v>1233</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c r="B471" s="519" t="s">
        <v>2802</v>
      </c>
      <c r="C471" s="518"/>
      <c r="D471" s="1281" t="s">
        <v>1303</v>
      </c>
      <c r="E471" s="1281"/>
      <c r="F471" s="1281"/>
      <c r="I471" s="524"/>
    </row>
    <row r="472" spans="1:9">
      <c r="D472" s="1281"/>
      <c r="E472" s="1281"/>
      <c r="F472" s="1281"/>
      <c r="I472" s="524"/>
    </row>
    <row r="473" spans="1:9">
      <c r="D473" s="480"/>
      <c r="E473" s="480"/>
      <c r="F473" s="480"/>
      <c r="I473" s="524"/>
    </row>
    <row r="474" spans="1:9">
      <c r="B474" s="519" t="s">
        <v>2802</v>
      </c>
      <c r="C474" s="518"/>
      <c r="D474" s="1281" t="s">
        <v>1235</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2802</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2802</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2802</v>
      </c>
      <c r="C486" s="433"/>
      <c r="D486" s="1281"/>
      <c r="E486" s="1281"/>
      <c r="F486" s="1281"/>
      <c r="I486" s="524"/>
    </row>
    <row r="487" spans="1:9">
      <c r="A487" s="433"/>
      <c r="C487" s="433"/>
      <c r="D487" s="1281"/>
      <c r="E487" s="1281"/>
      <c r="F487" s="1281"/>
      <c r="I487" s="524"/>
    </row>
    <row r="488" spans="1:9">
      <c r="A488" s="433"/>
      <c r="B488" s="519" t="s">
        <v>2802</v>
      </c>
      <c r="C488" s="433"/>
      <c r="D488" s="1281" t="s">
        <v>1236</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2802</v>
      </c>
      <c r="D494" s="1310" t="s">
        <v>1237</v>
      </c>
      <c r="E494" s="1310"/>
      <c r="F494" s="1310"/>
      <c r="I494" s="524"/>
    </row>
    <row r="495" spans="1:9">
      <c r="A495" s="480"/>
      <c r="B495" s="480"/>
      <c r="I495" s="524"/>
    </row>
    <row r="496" spans="1:9">
      <c r="A496" s="1287" t="s">
        <v>1078</v>
      </c>
      <c r="B496" s="1287"/>
      <c r="C496" s="1287"/>
      <c r="D496" s="1287"/>
      <c r="E496" s="1287"/>
      <c r="F496" s="1287"/>
      <c r="G496" s="1287"/>
      <c r="H496" s="1063"/>
      <c r="I496" s="1256"/>
    </row>
    <row r="497" spans="1:9">
      <c r="A497" s="480"/>
      <c r="B497" s="480"/>
      <c r="I497" s="524"/>
    </row>
    <row r="498" spans="1:9">
      <c r="D498" s="1317" t="s">
        <v>895</v>
      </c>
      <c r="E498" s="1317"/>
      <c r="F498" s="1317"/>
      <c r="I498" s="524"/>
    </row>
    <row r="499" spans="1:9">
      <c r="A499" s="518"/>
      <c r="B499" s="518"/>
      <c r="D499" s="1314" t="s">
        <v>1238</v>
      </c>
      <c r="E499" s="1314"/>
      <c r="F499" s="1314"/>
      <c r="I499" s="524"/>
    </row>
    <row r="500" spans="1:9">
      <c r="A500" s="518"/>
      <c r="B500" s="518"/>
      <c r="D500" s="481"/>
      <c r="I500" s="524"/>
    </row>
    <row r="501" spans="1:9">
      <c r="A501" s="518"/>
      <c r="B501" s="519" t="s">
        <v>2802</v>
      </c>
      <c r="D501" s="1269" t="s">
        <v>1239</v>
      </c>
      <c r="E501" s="1269"/>
      <c r="F501" s="1269"/>
      <c r="I501" s="524" t="s">
        <v>2092</v>
      </c>
    </row>
    <row r="502" spans="1:9">
      <c r="A502" s="518"/>
      <c r="B502" s="518"/>
      <c r="D502" s="1269"/>
      <c r="E502" s="1269"/>
      <c r="F502" s="1269"/>
      <c r="I502" s="524"/>
    </row>
    <row r="503" spans="1:9">
      <c r="A503" s="518"/>
      <c r="B503" s="518"/>
      <c r="D503" s="480"/>
      <c r="I503" s="524"/>
    </row>
    <row r="504" spans="1:9" ht="12.75" customHeight="1">
      <c r="B504" s="519" t="s">
        <v>2802</v>
      </c>
      <c r="D504" s="1303" t="s">
        <v>1381</v>
      </c>
      <c r="E504" s="1303"/>
      <c r="F504" s="1303"/>
      <c r="I504" s="524" t="s">
        <v>2093</v>
      </c>
    </row>
    <row r="505" spans="1:9">
      <c r="A505" s="518"/>
      <c r="D505" s="1303"/>
      <c r="E505" s="1303"/>
      <c r="F505" s="1303"/>
      <c r="I505" s="524"/>
    </row>
    <row r="506" spans="1:9">
      <c r="A506" s="518"/>
      <c r="B506" s="518"/>
      <c r="D506" s="1303"/>
      <c r="E506" s="1303"/>
      <c r="F506" s="1303"/>
      <c r="I506" s="524"/>
    </row>
    <row r="507" spans="1:9">
      <c r="A507" s="518"/>
      <c r="B507" s="518"/>
      <c r="D507" s="1303"/>
      <c r="E507" s="1303"/>
      <c r="F507" s="1303"/>
      <c r="I507" s="524"/>
    </row>
    <row r="508" spans="1:9">
      <c r="A508" s="518"/>
      <c r="D508" s="554"/>
      <c r="E508" s="554"/>
      <c r="F508" s="554"/>
      <c r="I508" s="524"/>
    </row>
    <row r="509" spans="1:9">
      <c r="A509" s="518"/>
      <c r="B509" s="519" t="s">
        <v>2802</v>
      </c>
      <c r="D509" s="1310" t="s">
        <v>1242</v>
      </c>
      <c r="E509" s="1310"/>
      <c r="F509" s="1310"/>
      <c r="I509" s="524" t="s">
        <v>2094</v>
      </c>
    </row>
    <row r="510" spans="1:9">
      <c r="A510" s="518"/>
      <c r="B510" s="518"/>
      <c r="D510" s="480"/>
      <c r="I510" s="524"/>
    </row>
    <row r="511" spans="1:9">
      <c r="A511" s="518"/>
      <c r="B511" s="519" t="s">
        <v>2802</v>
      </c>
      <c r="D511" s="1281" t="s">
        <v>1243</v>
      </c>
      <c r="E511" s="1281"/>
      <c r="F511" s="1281"/>
      <c r="I511" s="524" t="s">
        <v>2094</v>
      </c>
    </row>
    <row r="512" spans="1:9">
      <c r="A512" s="518"/>
      <c r="D512" s="1281"/>
      <c r="E512" s="1281"/>
      <c r="F512" s="1281"/>
      <c r="I512" s="524"/>
    </row>
    <row r="513" spans="1:9">
      <c r="A513" s="524"/>
      <c r="B513" s="524"/>
      <c r="D513" s="481"/>
      <c r="I513" s="524"/>
    </row>
    <row r="514" spans="1:9">
      <c r="A514" s="524"/>
      <c r="B514" s="519" t="s">
        <v>2802</v>
      </c>
      <c r="D514" s="1310" t="s">
        <v>1244</v>
      </c>
      <c r="E514" s="1310"/>
      <c r="F514" s="1310"/>
      <c r="I514" s="524" t="s">
        <v>2147</v>
      </c>
    </row>
    <row r="515" spans="1:9">
      <c r="A515" s="518"/>
      <c r="B515" s="518"/>
      <c r="D515" s="480"/>
      <c r="I515" s="524"/>
    </row>
    <row r="516" spans="1:9">
      <c r="A516" s="1287" t="s">
        <v>1079</v>
      </c>
      <c r="B516" s="1287"/>
      <c r="C516" s="1287"/>
      <c r="D516" s="1287"/>
      <c r="E516" s="1287"/>
      <c r="F516" s="1287"/>
      <c r="G516" s="1287"/>
      <c r="H516" s="1063"/>
      <c r="I516" s="1256"/>
    </row>
    <row r="517" spans="1:9" ht="12" customHeight="1">
      <c r="A517" s="518"/>
      <c r="B517" s="518"/>
      <c r="D517" s="480"/>
      <c r="I517" s="524"/>
    </row>
    <row r="518" spans="1:9">
      <c r="C518" s="516"/>
      <c r="D518" s="1279" t="s">
        <v>802</v>
      </c>
      <c r="E518" s="1279"/>
      <c r="F518" s="1279"/>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2801</v>
      </c>
      <c r="C522" s="517"/>
      <c r="D522" s="1269" t="s">
        <v>2372</v>
      </c>
      <c r="E522" s="1269"/>
      <c r="F522" s="1269"/>
      <c r="I522" s="524" t="s">
        <v>2129</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2801</v>
      </c>
      <c r="D525" s="417" t="s">
        <v>2202</v>
      </c>
      <c r="E525" s="416"/>
      <c r="F525" s="416"/>
      <c r="I525" s="524" t="s">
        <v>2095</v>
      </c>
    </row>
    <row r="526" spans="1:9">
      <c r="A526" s="517"/>
      <c r="B526" s="517"/>
      <c r="C526" s="517"/>
      <c r="D526" s="416"/>
      <c r="E526" s="96" t="s">
        <v>2203</v>
      </c>
      <c r="I526" s="524"/>
    </row>
    <row r="527" spans="1:9">
      <c r="A527" s="517"/>
      <c r="B527" s="517"/>
      <c r="D527" s="1325" t="s">
        <v>2373</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15" customHeight="1">
      <c r="A531" s="517"/>
      <c r="B531" s="519" t="s">
        <v>2802</v>
      </c>
      <c r="C531" s="517"/>
      <c r="D531" s="1281" t="s">
        <v>2374</v>
      </c>
      <c r="E531" s="1281"/>
      <c r="F531" s="1281"/>
      <c r="I531" s="524" t="s">
        <v>2095</v>
      </c>
    </row>
    <row r="532" spans="1:9">
      <c r="A532" s="517"/>
      <c r="B532" s="517"/>
      <c r="C532" s="517"/>
      <c r="D532" s="1281"/>
      <c r="E532" s="1281"/>
      <c r="F532" s="1281"/>
      <c r="I532" s="524"/>
    </row>
    <row r="533" spans="1:9" ht="12" customHeight="1">
      <c r="A533" s="480"/>
      <c r="B533" s="480"/>
      <c r="C533" s="521"/>
      <c r="D533" s="480"/>
      <c r="F533" s="482"/>
      <c r="I533" s="524"/>
    </row>
    <row r="534" spans="1:9">
      <c r="A534" s="1287" t="s">
        <v>1080</v>
      </c>
      <c r="B534" s="1287"/>
      <c r="C534" s="1287"/>
      <c r="D534" s="1287"/>
      <c r="E534" s="1287"/>
      <c r="F534" s="1287"/>
      <c r="G534" s="1287"/>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288" t="s">
        <v>1081</v>
      </c>
      <c r="B538" s="1288"/>
      <c r="C538" s="1288"/>
      <c r="D538" s="1288"/>
      <c r="E538" s="1288"/>
      <c r="F538" s="1288"/>
      <c r="G538" s="1288"/>
      <c r="H538" s="1063"/>
      <c r="I538" s="1256"/>
    </row>
    <row r="539" spans="1:9">
      <c r="A539" s="480"/>
      <c r="B539" s="480"/>
      <c r="C539" s="521"/>
      <c r="D539" s="480"/>
      <c r="F539" s="480"/>
      <c r="I539" s="524"/>
    </row>
    <row r="540" spans="1:9">
      <c r="C540" s="521"/>
      <c r="D540" s="1279" t="s">
        <v>691</v>
      </c>
      <c r="E540" s="1279"/>
      <c r="F540" s="1279"/>
      <c r="I540" s="524"/>
    </row>
    <row r="541" spans="1:9">
      <c r="C541" s="521"/>
      <c r="D541" s="1310" t="s">
        <v>1138</v>
      </c>
      <c r="E541" s="1310"/>
      <c r="F541" s="1310"/>
      <c r="I541" s="524"/>
    </row>
    <row r="542" spans="1:9">
      <c r="C542" s="521"/>
      <c r="D542" s="480"/>
      <c r="E542" s="480"/>
      <c r="F542" s="480"/>
      <c r="I542" s="524"/>
    </row>
    <row r="543" spans="1:9" ht="13.75" customHeight="1">
      <c r="A543" s="518"/>
      <c r="B543" s="519" t="s">
        <v>2801</v>
      </c>
      <c r="C543" s="521"/>
      <c r="D543" s="1310" t="s">
        <v>896</v>
      </c>
      <c r="E543" s="1310"/>
      <c r="F543" s="1310"/>
      <c r="I543" s="524" t="s">
        <v>2145</v>
      </c>
    </row>
    <row r="544" spans="1:9" ht="13.75" customHeight="1">
      <c r="A544" s="521"/>
      <c r="B544" s="521"/>
      <c r="C544" s="521"/>
      <c r="D544" s="480"/>
      <c r="I544" s="524"/>
    </row>
    <row r="545" spans="1:9">
      <c r="A545" s="518"/>
      <c r="B545" s="519" t="s">
        <v>2801</v>
      </c>
      <c r="C545" s="521"/>
      <c r="D545" s="1281" t="s">
        <v>1139</v>
      </c>
      <c r="E545" s="1281"/>
      <c r="F545" s="1281"/>
      <c r="I545" s="524" t="s">
        <v>2145</v>
      </c>
    </row>
    <row r="546" spans="1:9">
      <c r="A546" s="521"/>
      <c r="B546" s="521"/>
      <c r="C546" s="521"/>
      <c r="D546" s="1281"/>
      <c r="E546" s="1281"/>
      <c r="F546" s="1281"/>
      <c r="I546" s="524"/>
    </row>
    <row r="547" spans="1:9">
      <c r="A547" s="521"/>
      <c r="B547" s="521"/>
      <c r="C547" s="521"/>
      <c r="D547" s="480"/>
      <c r="E547" s="480"/>
      <c r="F547" s="480"/>
      <c r="I547" s="524"/>
    </row>
    <row r="548" spans="1:9">
      <c r="A548" s="518"/>
      <c r="B548" s="519" t="s">
        <v>2801</v>
      </c>
      <c r="C548" s="521"/>
      <c r="D548" s="1281" t="s">
        <v>1140</v>
      </c>
      <c r="E548" s="1281"/>
      <c r="F548" s="1281"/>
      <c r="I548" s="524" t="s">
        <v>2096</v>
      </c>
    </row>
    <row r="549" spans="1:9">
      <c r="A549" s="521"/>
      <c r="B549" s="521"/>
      <c r="C549" s="521"/>
      <c r="D549" s="1281"/>
      <c r="E549" s="1281"/>
      <c r="F549" s="1281"/>
      <c r="I549" s="524"/>
    </row>
    <row r="550" spans="1:9">
      <c r="A550" s="521"/>
      <c r="B550" s="521"/>
      <c r="C550" s="521"/>
      <c r="D550" s="480"/>
      <c r="E550" s="480"/>
      <c r="F550" s="480"/>
      <c r="I550" s="524"/>
    </row>
    <row r="551" spans="1:9">
      <c r="A551" s="518"/>
      <c r="B551" s="519" t="s">
        <v>2801</v>
      </c>
      <c r="C551" s="521"/>
      <c r="D551" s="1281" t="s">
        <v>1141</v>
      </c>
      <c r="E551" s="1281"/>
      <c r="F551" s="1281"/>
      <c r="I551" s="524" t="s">
        <v>2097</v>
      </c>
    </row>
    <row r="552" spans="1:9">
      <c r="A552" s="521"/>
      <c r="B552" s="521"/>
      <c r="C552" s="521"/>
      <c r="D552" s="1281"/>
      <c r="E552" s="1281"/>
      <c r="F552" s="1281"/>
      <c r="I552" s="524"/>
    </row>
    <row r="553" spans="1:9">
      <c r="A553" s="521"/>
      <c r="B553" s="521"/>
      <c r="C553" s="521"/>
      <c r="D553" s="480"/>
      <c r="E553" s="480"/>
      <c r="F553" s="480"/>
      <c r="I553" s="524"/>
    </row>
    <row r="554" spans="1:9">
      <c r="A554" s="518"/>
      <c r="B554" s="519" t="s">
        <v>2801</v>
      </c>
      <c r="C554" s="521"/>
      <c r="D554" s="1281" t="s">
        <v>1142</v>
      </c>
      <c r="E554" s="1281"/>
      <c r="F554" s="1281"/>
      <c r="I554" s="524" t="s">
        <v>2146</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c r="A558" s="518"/>
      <c r="B558" s="519" t="s">
        <v>2802</v>
      </c>
      <c r="C558" s="521"/>
      <c r="D558" s="1281" t="s">
        <v>1260</v>
      </c>
      <c r="E558" s="1281"/>
      <c r="F558" s="1281"/>
      <c r="I558" s="524" t="s">
        <v>2145</v>
      </c>
    </row>
    <row r="559" spans="1:9">
      <c r="A559" s="521"/>
      <c r="B559" s="521"/>
      <c r="C559" s="521"/>
      <c r="D559" s="1281"/>
      <c r="E559" s="1281"/>
      <c r="F559" s="1281"/>
      <c r="I559" s="524"/>
    </row>
    <row r="560" spans="1:9">
      <c r="A560" s="521"/>
      <c r="B560" s="521"/>
      <c r="C560" s="521"/>
      <c r="D560" s="480"/>
      <c r="E560" s="480"/>
      <c r="F560" s="480"/>
      <c r="I560" s="524"/>
    </row>
    <row r="561" spans="1:9">
      <c r="A561" s="518"/>
      <c r="B561" s="519" t="s">
        <v>2801</v>
      </c>
      <c r="C561" s="521"/>
      <c r="D561" s="1281" t="s">
        <v>1144</v>
      </c>
      <c r="E561" s="1281"/>
      <c r="F561" s="1281"/>
      <c r="I561" s="524" t="s">
        <v>2145</v>
      </c>
    </row>
    <row r="562" spans="1:9">
      <c r="A562" s="521"/>
      <c r="B562" s="521"/>
      <c r="C562" s="521"/>
      <c r="D562" s="1281"/>
      <c r="E562" s="1281"/>
      <c r="F562" s="1281"/>
      <c r="I562" s="524"/>
    </row>
    <row r="563" spans="1:9">
      <c r="A563" s="521"/>
      <c r="B563" s="521"/>
      <c r="C563" s="521"/>
      <c r="D563" s="480"/>
      <c r="E563" s="480"/>
      <c r="F563" s="480"/>
      <c r="I563" s="524"/>
    </row>
    <row r="564" spans="1:9">
      <c r="A564" s="518"/>
      <c r="B564" s="519" t="s">
        <v>2801</v>
      </c>
      <c r="C564" s="521"/>
      <c r="D564" s="1310" t="s">
        <v>1145</v>
      </c>
      <c r="E564" s="1310"/>
      <c r="F564" s="1310"/>
      <c r="I564" s="524" t="s">
        <v>2148</v>
      </c>
    </row>
    <row r="565" spans="1:9">
      <c r="A565" s="524"/>
      <c r="B565" s="524"/>
      <c r="C565" s="521"/>
      <c r="D565" s="1310" t="s">
        <v>2205</v>
      </c>
      <c r="E565" s="1310"/>
      <c r="F565" s="1310"/>
      <c r="I565" s="524"/>
    </row>
    <row r="566" spans="1:9">
      <c r="A566" s="524"/>
      <c r="B566" s="524"/>
      <c r="C566" s="521"/>
      <c r="E566" s="96" t="s">
        <v>2204</v>
      </c>
      <c r="F566" s="435"/>
      <c r="I566" s="524"/>
    </row>
    <row r="567" spans="1:9">
      <c r="A567" s="518"/>
      <c r="B567" s="518"/>
      <c r="C567" s="521"/>
      <c r="E567" s="480"/>
      <c r="F567" s="480"/>
      <c r="I567" s="524"/>
    </row>
    <row r="568" spans="1:9">
      <c r="A568" s="518"/>
      <c r="B568" s="519" t="s">
        <v>2801</v>
      </c>
      <c r="C568" s="521"/>
      <c r="D568" s="1310" t="s">
        <v>1147</v>
      </c>
      <c r="E568" s="1310"/>
      <c r="F568" s="1310"/>
      <c r="I568" s="524" t="s">
        <v>2098</v>
      </c>
    </row>
    <row r="569" spans="1:9">
      <c r="C569" s="521"/>
      <c r="D569" s="1281" t="s">
        <v>1148</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c r="A573" s="518"/>
      <c r="B573" s="519" t="s">
        <v>2801</v>
      </c>
      <c r="C573" s="521"/>
      <c r="D573" s="1281" t="s">
        <v>2375</v>
      </c>
      <c r="E573" s="1281"/>
      <c r="F573" s="1281"/>
      <c r="I573" s="524" t="s">
        <v>2099</v>
      </c>
    </row>
    <row r="574" spans="1:9">
      <c r="A574" s="518"/>
      <c r="B574" s="518"/>
      <c r="C574" s="521"/>
      <c r="D574" s="1281"/>
      <c r="E574" s="1281"/>
      <c r="F574" s="1281"/>
      <c r="I574" s="524"/>
    </row>
    <row r="575" spans="1:9">
      <c r="A575" s="518"/>
      <c r="B575" s="518"/>
      <c r="C575" s="521"/>
      <c r="D575" s="1281"/>
      <c r="E575" s="1281"/>
      <c r="F575" s="1281"/>
      <c r="I575" s="524"/>
    </row>
    <row r="576" spans="1:9">
      <c r="A576" s="518"/>
      <c r="B576" s="518"/>
      <c r="C576" s="521"/>
      <c r="D576" s="1281"/>
      <c r="E576" s="1281"/>
      <c r="F576" s="1281"/>
      <c r="I576" s="524"/>
    </row>
    <row r="577" spans="1:9">
      <c r="A577" s="518"/>
      <c r="B577" s="518"/>
      <c r="C577" s="521"/>
      <c r="D577" s="480"/>
      <c r="E577" s="480"/>
      <c r="F577" s="480"/>
      <c r="I577" s="524"/>
    </row>
    <row r="578" spans="1:9">
      <c r="A578" s="1287" t="s">
        <v>1082</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1098</v>
      </c>
      <c r="E581" s="1303"/>
      <c r="F581" s="1303"/>
      <c r="I581" s="524"/>
    </row>
    <row r="582" spans="1:9">
      <c r="A582" s="433"/>
      <c r="B582" s="433"/>
      <c r="C582" s="517"/>
      <c r="D582" s="533"/>
      <c r="I582" s="524" t="s">
        <v>2100</v>
      </c>
    </row>
    <row r="583" spans="1:9">
      <c r="A583" s="517"/>
      <c r="B583" s="519" t="s">
        <v>2801</v>
      </c>
      <c r="D583" s="1303" t="s">
        <v>902</v>
      </c>
      <c r="E583" s="1303"/>
      <c r="F583" s="1303"/>
      <c r="I583" s="524"/>
    </row>
    <row r="584" spans="1:9">
      <c r="A584" s="524"/>
      <c r="B584" s="524"/>
      <c r="D584" s="510"/>
      <c r="I584" s="524"/>
    </row>
    <row r="585" spans="1:9">
      <c r="A585" s="524"/>
      <c r="B585" s="519" t="s">
        <v>2801</v>
      </c>
      <c r="D585" s="1303" t="s">
        <v>2376</v>
      </c>
      <c r="E585" s="1303"/>
      <c r="F585" s="1303"/>
      <c r="I585" s="524" t="s">
        <v>2102</v>
      </c>
    </row>
    <row r="586" spans="1:9">
      <c r="A586" s="524"/>
      <c r="B586" s="524"/>
      <c r="D586" s="1303"/>
      <c r="E586" s="1303"/>
      <c r="F586" s="1303"/>
      <c r="I586" s="524" t="s">
        <v>2101</v>
      </c>
    </row>
    <row r="587" spans="1:9">
      <c r="A587" s="524"/>
      <c r="B587" s="524"/>
      <c r="D587" s="1303"/>
      <c r="E587" s="1303"/>
      <c r="F587" s="1303"/>
      <c r="I587" s="524"/>
    </row>
    <row r="588" spans="1:9">
      <c r="A588" s="524"/>
      <c r="B588" s="524"/>
      <c r="D588" s="1303"/>
      <c r="E588" s="1303"/>
      <c r="F588" s="1303"/>
      <c r="I588" s="524"/>
    </row>
    <row r="589" spans="1:9">
      <c r="A589" s="524"/>
      <c r="B589" s="519" t="s">
        <v>2802</v>
      </c>
      <c r="D589" s="1303" t="s">
        <v>1100</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2801</v>
      </c>
      <c r="D594" s="1303" t="s">
        <v>2377</v>
      </c>
      <c r="E594" s="1303"/>
      <c r="F594" s="1303"/>
      <c r="I594" s="524"/>
    </row>
    <row r="595" spans="1:9">
      <c r="A595" s="524"/>
      <c r="B595" s="524"/>
      <c r="D595" s="1303"/>
      <c r="E595" s="1303"/>
      <c r="F595" s="1303"/>
      <c r="I595" s="524"/>
    </row>
    <row r="596" spans="1:9">
      <c r="A596" s="524"/>
      <c r="B596" s="524"/>
      <c r="D596" s="533"/>
      <c r="I596" s="524"/>
    </row>
    <row r="597" spans="1:9">
      <c r="A597" s="524"/>
      <c r="B597" s="519" t="s">
        <v>2802</v>
      </c>
      <c r="D597" s="1303" t="s">
        <v>1102</v>
      </c>
      <c r="E597" s="1303"/>
      <c r="F597" s="1303"/>
      <c r="I597" s="524" t="s">
        <v>2149</v>
      </c>
    </row>
    <row r="598" spans="1:9">
      <c r="A598" s="524"/>
      <c r="B598" s="524"/>
      <c r="D598" s="1303"/>
      <c r="E598" s="1303"/>
      <c r="F598" s="1303"/>
      <c r="I598" s="524"/>
    </row>
    <row r="599" spans="1:9">
      <c r="A599" s="518"/>
      <c r="B599" s="518"/>
      <c r="D599" s="533"/>
      <c r="I599" s="524"/>
    </row>
    <row r="600" spans="1:9">
      <c r="A600" s="1287" t="s">
        <v>1083</v>
      </c>
      <c r="B600" s="1287"/>
      <c r="C600" s="1287"/>
      <c r="D600" s="1287"/>
      <c r="E600" s="1287"/>
      <c r="F600" s="1287"/>
      <c r="G600" s="1287"/>
      <c r="H600" s="1063"/>
      <c r="I600" s="1256"/>
    </row>
    <row r="601" spans="1:9">
      <c r="I601" s="524"/>
    </row>
    <row r="602" spans="1:9">
      <c r="D602" s="1279" t="s">
        <v>1183</v>
      </c>
      <c r="E602" s="1279"/>
      <c r="F602" s="1279"/>
      <c r="I602" s="524"/>
    </row>
    <row r="603" spans="1:9">
      <c r="D603" s="1280" t="s">
        <v>1184</v>
      </c>
      <c r="E603" s="1280"/>
      <c r="F603" s="1280"/>
      <c r="I603" s="524"/>
    </row>
    <row r="604" spans="1:9">
      <c r="D604" s="478"/>
      <c r="I604" s="524"/>
    </row>
    <row r="605" spans="1:9" ht="14.25" customHeight="1">
      <c r="A605" s="518"/>
      <c r="B605" s="519" t="s">
        <v>2801</v>
      </c>
      <c r="D605" s="1344" t="s">
        <v>2206</v>
      </c>
      <c r="E605" s="1344"/>
      <c r="F605" s="1344"/>
      <c r="I605" s="524" t="s">
        <v>2130</v>
      </c>
    </row>
    <row r="606" spans="1:9">
      <c r="D606" s="1344"/>
      <c r="E606" s="1344"/>
      <c r="F606" s="1344"/>
      <c r="I606" s="524"/>
    </row>
    <row r="607" spans="1:9">
      <c r="D607" s="416"/>
      <c r="E607" s="1071" t="s">
        <v>2207</v>
      </c>
      <c r="F607" s="416"/>
      <c r="I607" s="524"/>
    </row>
    <row r="608" spans="1:9">
      <c r="I608" s="524"/>
    </row>
    <row r="609" spans="1:9">
      <c r="A609" s="1287" t="s">
        <v>1084</v>
      </c>
      <c r="B609" s="1287"/>
      <c r="C609" s="1287"/>
      <c r="D609" s="1287"/>
      <c r="E609" s="1287"/>
      <c r="F609" s="1287"/>
      <c r="G609" s="1287"/>
      <c r="H609" s="1063"/>
      <c r="I609" s="1256"/>
    </row>
    <row r="610" spans="1:9">
      <c r="A610" s="480"/>
      <c r="B610" s="480"/>
      <c r="I610" s="524"/>
    </row>
    <row r="611" spans="1:9">
      <c r="A611" s="516"/>
      <c r="B611" s="516"/>
      <c r="C611" s="516"/>
      <c r="D611" s="1282" t="s">
        <v>1186</v>
      </c>
      <c r="E611" s="1282"/>
      <c r="F611" s="1282"/>
      <c r="I611" s="524"/>
    </row>
    <row r="612" spans="1:9">
      <c r="A612" s="516"/>
      <c r="B612" s="516"/>
      <c r="C612" s="516"/>
      <c r="D612" s="1282"/>
      <c r="E612" s="1282"/>
      <c r="F612" s="1282"/>
      <c r="I612" s="524"/>
    </row>
    <row r="613" spans="1:9">
      <c r="C613" s="517"/>
      <c r="D613" s="1280" t="s">
        <v>1187</v>
      </c>
      <c r="E613" s="1280"/>
      <c r="F613" s="1280"/>
      <c r="I613" s="524"/>
    </row>
    <row r="614" spans="1:9">
      <c r="C614" s="517"/>
      <c r="D614" s="478"/>
      <c r="E614" s="478"/>
      <c r="F614" s="478"/>
      <c r="I614" s="524"/>
    </row>
    <row r="615" spans="1:9" ht="12.75" customHeight="1">
      <c r="A615" s="524"/>
      <c r="B615" s="519" t="s">
        <v>2801</v>
      </c>
      <c r="D615" s="1283" t="s">
        <v>1188</v>
      </c>
      <c r="E615" s="1283"/>
      <c r="F615" s="1283"/>
      <c r="I615" s="524" t="s">
        <v>2150</v>
      </c>
    </row>
    <row r="616" spans="1:9">
      <c r="D616" s="1283"/>
      <c r="E616" s="1283"/>
      <c r="F616" s="1283"/>
      <c r="I616" s="524"/>
    </row>
    <row r="617" spans="1:9">
      <c r="I617" s="524"/>
    </row>
    <row r="618" spans="1:9">
      <c r="B618" s="519" t="s">
        <v>2801</v>
      </c>
      <c r="D618" s="1283" t="s">
        <v>1189</v>
      </c>
      <c r="E618" s="1283"/>
      <c r="F618" s="1283"/>
      <c r="I618" s="524" t="s">
        <v>2103</v>
      </c>
    </row>
    <row r="619" spans="1:9">
      <c r="C619" s="534"/>
      <c r="D619" s="1283"/>
      <c r="E619" s="1283"/>
      <c r="F619" s="1283"/>
      <c r="I619" s="524"/>
    </row>
    <row r="620" spans="1:9">
      <c r="C620" s="534"/>
      <c r="I620" s="524"/>
    </row>
    <row r="621" spans="1:9">
      <c r="B621" s="519" t="s">
        <v>2802</v>
      </c>
      <c r="C621" s="534"/>
      <c r="D621" s="1283" t="s">
        <v>1190</v>
      </c>
      <c r="E621" s="1283"/>
      <c r="F621" s="1283"/>
      <c r="I621" s="524" t="s">
        <v>2151</v>
      </c>
    </row>
    <row r="622" spans="1:9">
      <c r="C622" s="534"/>
      <c r="D622" s="1283"/>
      <c r="E622" s="1283"/>
      <c r="F622" s="1283"/>
      <c r="I622" s="534" t="s">
        <v>2152</v>
      </c>
    </row>
    <row r="623" spans="1:9">
      <c r="C623" s="534"/>
      <c r="I623" s="524"/>
    </row>
    <row r="624" spans="1:9">
      <c r="A624" s="1287" t="s">
        <v>1085</v>
      </c>
      <c r="B624" s="1287"/>
      <c r="C624" s="1287"/>
      <c r="D624" s="1287"/>
      <c r="E624" s="1287"/>
      <c r="F624" s="1287"/>
      <c r="G624" s="1287"/>
      <c r="H624" s="1063"/>
      <c r="I624" s="1256"/>
    </row>
    <row r="625" spans="1:9">
      <c r="A625" s="516"/>
      <c r="B625" s="516"/>
      <c r="C625" s="516"/>
      <c r="I625" s="524"/>
    </row>
    <row r="626" spans="1:9">
      <c r="C626" s="524"/>
      <c r="D626" s="1279" t="s">
        <v>1191</v>
      </c>
      <c r="E626" s="1279"/>
      <c r="F626" s="1279"/>
      <c r="I626" s="524"/>
    </row>
    <row r="627" spans="1:9">
      <c r="A627" s="524"/>
      <c r="B627" s="524"/>
      <c r="D627" s="435"/>
      <c r="I627" s="524"/>
    </row>
    <row r="628" spans="1:9" ht="14.25" customHeight="1">
      <c r="A628" s="518"/>
      <c r="B628" s="519" t="s">
        <v>2801</v>
      </c>
      <c r="D628" s="1344" t="s">
        <v>2378</v>
      </c>
      <c r="E628" s="1344"/>
      <c r="F628" s="1344"/>
      <c r="I628" s="524" t="s">
        <v>2131</v>
      </c>
    </row>
    <row r="629" spans="1:9">
      <c r="D629" s="1344"/>
      <c r="E629" s="1344"/>
      <c r="F629" s="1344"/>
      <c r="I629" s="524"/>
    </row>
    <row r="630" spans="1:9">
      <c r="D630" s="416"/>
      <c r="E630" s="1071" t="s">
        <v>2209</v>
      </c>
      <c r="F630" s="416"/>
      <c r="I630" s="524"/>
    </row>
    <row r="631" spans="1:9">
      <c r="D631" s="1281" t="s">
        <v>2208</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c r="A635" s="518"/>
      <c r="B635" s="519" t="s">
        <v>2801</v>
      </c>
      <c r="D635" s="1281" t="s">
        <v>1193</v>
      </c>
      <c r="E635" s="1281"/>
      <c r="F635" s="1281"/>
      <c r="I635" s="524" t="s">
        <v>2153</v>
      </c>
    </row>
    <row r="636" spans="1:9">
      <c r="A636" s="521"/>
      <c r="B636" s="521"/>
      <c r="C636" s="521"/>
      <c r="D636" s="1281"/>
      <c r="E636" s="1281"/>
      <c r="F636" s="1281"/>
      <c r="I636" s="524"/>
    </row>
    <row r="637" spans="1:9">
      <c r="A637" s="521"/>
      <c r="B637" s="521"/>
      <c r="C637" s="521"/>
      <c r="D637" s="480"/>
      <c r="E637" s="480"/>
      <c r="F637" s="480"/>
      <c r="I637" s="524"/>
    </row>
    <row r="638" spans="1:9">
      <c r="A638" s="518"/>
      <c r="B638" s="519" t="s">
        <v>2802</v>
      </c>
      <c r="C638" s="521"/>
      <c r="D638" s="1281" t="s">
        <v>1332</v>
      </c>
      <c r="E638" s="1281"/>
      <c r="F638" s="1281"/>
      <c r="I638" s="524" t="s">
        <v>2104</v>
      </c>
    </row>
    <row r="639" spans="1:9">
      <c r="A639" s="518"/>
      <c r="B639" s="518"/>
      <c r="C639" s="521"/>
      <c r="D639" s="1281"/>
      <c r="E639" s="1281"/>
      <c r="F639" s="1281"/>
      <c r="I639" s="524"/>
    </row>
    <row r="640" spans="1:9">
      <c r="A640" s="518"/>
      <c r="B640" s="518"/>
      <c r="C640" s="521"/>
      <c r="D640" s="1281"/>
      <c r="E640" s="1281"/>
      <c r="F640" s="1281"/>
      <c r="I640" s="524"/>
    </row>
    <row r="641" spans="1:9">
      <c r="A641" s="521"/>
      <c r="B641" s="519" t="s">
        <v>2802</v>
      </c>
      <c r="C641" s="521"/>
      <c r="D641" s="1310" t="s">
        <v>1195</v>
      </c>
      <c r="E641" s="1310"/>
      <c r="F641" s="1310"/>
      <c r="I641" s="524" t="s">
        <v>2104</v>
      </c>
    </row>
    <row r="642" spans="1:9">
      <c r="A642" s="521"/>
      <c r="B642" s="521"/>
      <c r="C642" s="521"/>
      <c r="D642" s="480"/>
      <c r="E642" s="480"/>
      <c r="F642" s="480"/>
      <c r="I642" s="524"/>
    </row>
    <row r="643" spans="1:9">
      <c r="A643" s="1287" t="s">
        <v>1086</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1245</v>
      </c>
      <c r="E645" s="1279"/>
      <c r="F645" s="1279"/>
      <c r="I645" s="524"/>
    </row>
    <row r="646" spans="1:9">
      <c r="A646" s="517"/>
      <c r="B646" s="517"/>
      <c r="C646" s="517"/>
      <c r="D646" s="1310" t="s">
        <v>1246</v>
      </c>
      <c r="E646" s="1310"/>
      <c r="F646" s="1310"/>
      <c r="I646" s="524"/>
    </row>
    <row r="647" spans="1:9">
      <c r="A647" s="517"/>
      <c r="B647" s="517"/>
      <c r="C647" s="517"/>
      <c r="D647" s="480"/>
      <c r="E647" s="480"/>
      <c r="F647" s="480"/>
      <c r="I647" s="524"/>
    </row>
    <row r="648" spans="1:9" ht="12.75" customHeight="1">
      <c r="B648" s="519" t="s">
        <v>2802</v>
      </c>
      <c r="C648" s="521"/>
      <c r="D648" s="1281" t="s">
        <v>1389</v>
      </c>
      <c r="E648" s="1281"/>
      <c r="F648" s="1281"/>
      <c r="I648" s="524" t="s">
        <v>2156</v>
      </c>
    </row>
    <row r="649" spans="1:9">
      <c r="D649" s="1281"/>
      <c r="E649" s="1281"/>
      <c r="F649" s="1281"/>
      <c r="I649" s="524"/>
    </row>
    <row r="650" spans="1:9">
      <c r="D650" s="1281"/>
      <c r="E650" s="1281"/>
      <c r="F650" s="1281"/>
      <c r="I650" s="524"/>
    </row>
    <row r="651" spans="1:9">
      <c r="D651" s="1281"/>
      <c r="E651" s="1281"/>
      <c r="F651" s="1281"/>
      <c r="I651" s="524"/>
    </row>
    <row r="652" spans="1:9" ht="14.5" customHeight="1">
      <c r="A652" s="518"/>
      <c r="B652" s="518"/>
      <c r="C652" s="521"/>
      <c r="D652" s="416"/>
      <c r="E652" s="416"/>
      <c r="F652" s="416"/>
      <c r="I652" s="524"/>
    </row>
    <row r="653" spans="1:9" ht="12.75" customHeight="1">
      <c r="A653" s="517"/>
      <c r="B653" s="519" t="s">
        <v>2801</v>
      </c>
      <c r="C653" s="521"/>
      <c r="D653" s="1281" t="s">
        <v>1391</v>
      </c>
      <c r="E653" s="1281"/>
      <c r="F653" s="1281"/>
      <c r="I653" s="524" t="s">
        <v>2156</v>
      </c>
    </row>
    <row r="654" spans="1:9">
      <c r="A654" s="517"/>
      <c r="B654" s="518"/>
      <c r="C654" s="521"/>
      <c r="D654" s="1281"/>
      <c r="E654" s="1281"/>
      <c r="F654" s="1281"/>
      <c r="I654" s="524"/>
    </row>
    <row r="655" spans="1:9">
      <c r="A655" s="517"/>
      <c r="B655" s="518"/>
      <c r="C655" s="521"/>
      <c r="D655" s="1281"/>
      <c r="E655" s="1281"/>
      <c r="F655" s="1281"/>
      <c r="I655" s="524"/>
    </row>
    <row r="656" spans="1:9">
      <c r="A656" s="517"/>
      <c r="B656" s="518"/>
      <c r="C656" s="521"/>
      <c r="D656" s="1281"/>
      <c r="E656" s="1281"/>
      <c r="F656" s="1281"/>
      <c r="I656" s="524"/>
    </row>
    <row r="657" spans="1:9">
      <c r="A657" s="517"/>
      <c r="B657" s="518"/>
      <c r="C657" s="521"/>
      <c r="D657" s="1281"/>
      <c r="E657" s="1281"/>
      <c r="F657" s="1281"/>
      <c r="I657" s="524"/>
    </row>
    <row r="658" spans="1:9" ht="14.25" customHeight="1">
      <c r="A658" s="517"/>
      <c r="B658" s="518"/>
      <c r="C658" s="521"/>
      <c r="F658" s="417"/>
      <c r="I658" s="524"/>
    </row>
    <row r="659" spans="1:9" ht="12.75" customHeight="1">
      <c r="A659" s="517"/>
      <c r="B659" s="519" t="s">
        <v>2802</v>
      </c>
      <c r="C659" s="521"/>
      <c r="D659" s="1281" t="s">
        <v>1390</v>
      </c>
      <c r="E659" s="1281"/>
      <c r="F659" s="1281"/>
      <c r="I659" s="524" t="s">
        <v>2156</v>
      </c>
    </row>
    <row r="660" spans="1:9">
      <c r="A660" s="517"/>
      <c r="B660" s="518"/>
      <c r="C660" s="521"/>
      <c r="D660" s="1281"/>
      <c r="E660" s="1281"/>
      <c r="F660" s="1281"/>
      <c r="I660" s="524"/>
    </row>
    <row r="661" spans="1:9">
      <c r="A661" s="518"/>
      <c r="B661" s="518"/>
      <c r="C661" s="521"/>
      <c r="D661" s="1281"/>
      <c r="E661" s="1281"/>
      <c r="F661" s="1281"/>
      <c r="I661" s="524"/>
    </row>
    <row r="662" spans="1:9">
      <c r="A662" s="518"/>
      <c r="B662" s="518"/>
      <c r="C662" s="521"/>
      <c r="D662" s="1281"/>
      <c r="E662" s="1281"/>
      <c r="F662" s="1281"/>
      <c r="I662" s="524"/>
    </row>
    <row r="663" spans="1:9">
      <c r="A663" s="518"/>
      <c r="B663" s="518"/>
      <c r="C663" s="521"/>
      <c r="D663" s="479"/>
      <c r="E663" s="479"/>
      <c r="F663" s="479"/>
      <c r="I663" s="524"/>
    </row>
    <row r="664" spans="1:9" ht="12.75" customHeight="1">
      <c r="A664" s="517"/>
      <c r="B664" s="519" t="s">
        <v>2802</v>
      </c>
      <c r="C664" s="521"/>
      <c r="D664" s="1281" t="s">
        <v>2379</v>
      </c>
      <c r="E664" s="1281"/>
      <c r="F664" s="1281"/>
      <c r="I664" s="524" t="s">
        <v>2156</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1087</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1123</v>
      </c>
      <c r="E678" s="1310"/>
      <c r="F678" s="1310"/>
      <c r="H678" s="535"/>
      <c r="I678" s="517"/>
      <c r="J678" s="535"/>
      <c r="K678" s="535"/>
    </row>
    <row r="679" spans="1:11">
      <c r="A679" s="517"/>
      <c r="B679" s="517"/>
      <c r="C679" s="517"/>
      <c r="H679" s="535"/>
      <c r="I679" s="517"/>
      <c r="J679" s="535"/>
      <c r="K679" s="535"/>
    </row>
    <row r="680" spans="1:11">
      <c r="A680" s="518"/>
      <c r="B680" s="519" t="s">
        <v>2801</v>
      </c>
      <c r="C680" s="517"/>
      <c r="D680" s="1310" t="s">
        <v>898</v>
      </c>
      <c r="E680" s="1310"/>
      <c r="F680" s="1310"/>
      <c r="H680" s="535"/>
      <c r="I680" s="517" t="s">
        <v>2132</v>
      </c>
      <c r="J680" s="535"/>
      <c r="K680" s="535"/>
    </row>
    <row r="681" spans="1:11">
      <c r="A681" s="517"/>
      <c r="B681" s="517"/>
      <c r="C681" s="517"/>
      <c r="D681" s="1310" t="s">
        <v>908</v>
      </c>
      <c r="E681" s="1310"/>
      <c r="F681" s="1310"/>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c r="A685" s="518"/>
      <c r="B685" s="519" t="s">
        <v>2802</v>
      </c>
      <c r="C685" s="517"/>
      <c r="D685" s="1281" t="s">
        <v>2380</v>
      </c>
      <c r="E685" s="1281"/>
      <c r="F685" s="1281"/>
      <c r="H685" s="535"/>
      <c r="I685" s="517" t="s">
        <v>2154</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2133</v>
      </c>
      <c r="J688" s="535"/>
      <c r="K688" s="535"/>
    </row>
    <row r="689" spans="1:11">
      <c r="A689" s="518"/>
      <c r="B689" s="519" t="s">
        <v>2801</v>
      </c>
      <c r="C689" s="517"/>
      <c r="D689" s="1310" t="s">
        <v>936</v>
      </c>
      <c r="E689" s="1310"/>
      <c r="F689" s="1310"/>
      <c r="H689" s="535"/>
      <c r="I689" s="517"/>
      <c r="J689" s="535"/>
      <c r="K689" s="535"/>
    </row>
    <row r="690" spans="1:11">
      <c r="A690" s="518"/>
      <c r="B690" s="518"/>
      <c r="C690" s="517"/>
      <c r="D690" s="1310" t="s">
        <v>908</v>
      </c>
      <c r="E690" s="1310"/>
      <c r="F690" s="1310"/>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c r="A693" s="518"/>
      <c r="B693" s="519" t="s">
        <v>2801</v>
      </c>
      <c r="C693" s="517"/>
      <c r="D693" s="1281" t="s">
        <v>1136</v>
      </c>
      <c r="E693" s="1281"/>
      <c r="F693" s="1281"/>
      <c r="H693" s="535"/>
      <c r="I693" s="517" t="s">
        <v>2105</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2802</v>
      </c>
      <c r="C700" s="517"/>
      <c r="D700" s="1281" t="s">
        <v>1307</v>
      </c>
      <c r="E700" s="1281"/>
      <c r="F700" s="1281"/>
      <c r="H700" s="535"/>
      <c r="I700" s="517" t="s">
        <v>2105</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c r="A703" s="518"/>
      <c r="B703" s="519" t="s">
        <v>2802</v>
      </c>
      <c r="C703" s="517"/>
      <c r="D703" s="1281" t="s">
        <v>1127</v>
      </c>
      <c r="E703" s="1281"/>
      <c r="F703" s="1281"/>
      <c r="H703" s="535"/>
      <c r="I703" s="517" t="s">
        <v>2105</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2802</v>
      </c>
      <c r="C716" s="517"/>
      <c r="D716" s="1281" t="s">
        <v>1134</v>
      </c>
      <c r="E716" s="1281"/>
      <c r="F716" s="1281"/>
      <c r="H716" s="535"/>
      <c r="I716" s="517" t="s">
        <v>2155</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2802</v>
      </c>
      <c r="C719" s="517"/>
      <c r="D719" s="1281" t="s">
        <v>1128</v>
      </c>
      <c r="E719" s="1281"/>
      <c r="F719" s="1281"/>
      <c r="H719" s="535"/>
      <c r="I719" s="517" t="s">
        <v>2155</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2802</v>
      </c>
      <c r="C723" s="517"/>
      <c r="D723" s="1281" t="s">
        <v>1129</v>
      </c>
      <c r="E723" s="1281"/>
      <c r="F723" s="1281"/>
      <c r="H723" s="535"/>
      <c r="I723" s="517" t="s">
        <v>2155</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c r="A727" s="518"/>
      <c r="B727" s="519" t="s">
        <v>2802</v>
      </c>
      <c r="C727" s="517"/>
      <c r="D727" s="1281" t="s">
        <v>1130</v>
      </c>
      <c r="E727" s="1281"/>
      <c r="F727" s="1281"/>
      <c r="H727" s="535"/>
      <c r="I727" s="517" t="s">
        <v>2106</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c r="A732" s="518"/>
      <c r="B732" s="519" t="s">
        <v>2802</v>
      </c>
      <c r="C732" s="517"/>
      <c r="D732" s="1281" t="s">
        <v>2503</v>
      </c>
      <c r="E732" s="1281"/>
      <c r="F732" s="1281"/>
      <c r="H732" s="535"/>
      <c r="I732" s="517" t="s">
        <v>2122</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2389</v>
      </c>
      <c r="E739" s="1293"/>
      <c r="F739" s="1293"/>
      <c r="H739" s="535"/>
      <c r="I739" s="517"/>
      <c r="J739" s="535"/>
      <c r="K739" s="535"/>
    </row>
    <row r="740" spans="1:11">
      <c r="A740" s="517"/>
      <c r="B740" s="517"/>
      <c r="C740" s="517"/>
      <c r="D740" s="369"/>
      <c r="H740" s="535"/>
      <c r="I740" s="517"/>
      <c r="J740" s="535"/>
      <c r="K740" s="535"/>
    </row>
    <row r="741" spans="1:11">
      <c r="A741" s="1288" t="s">
        <v>1088</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5" customHeight="1">
      <c r="C743" s="517"/>
      <c r="D743" s="1309" t="s">
        <v>1104</v>
      </c>
      <c r="E743" s="1309"/>
      <c r="F743" s="1309"/>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c r="A746" s="518"/>
      <c r="B746" s="519" t="s">
        <v>2801</v>
      </c>
      <c r="D746" s="1281" t="s">
        <v>1106</v>
      </c>
      <c r="E746" s="1281"/>
      <c r="F746" s="1281"/>
      <c r="G746" s="535"/>
      <c r="H746" s="535"/>
      <c r="I746" s="517" t="s">
        <v>2107</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65"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c r="A753" s="537"/>
      <c r="B753" s="519" t="s">
        <v>2801</v>
      </c>
      <c r="C753" s="538"/>
      <c r="D753" s="1281" t="s">
        <v>1348</v>
      </c>
      <c r="E753" s="1281"/>
      <c r="F753" s="1281"/>
      <c r="I753" s="1261" t="s">
        <v>2107</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c r="A758" s="518"/>
      <c r="B758" s="519" t="s">
        <v>2802</v>
      </c>
      <c r="C758" s="538"/>
      <c r="D758" s="1283" t="s">
        <v>1349</v>
      </c>
      <c r="E758" s="1283"/>
      <c r="F758" s="1283"/>
      <c r="I758" s="1261" t="s">
        <v>2108</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c r="A762" s="518"/>
      <c r="B762" s="519" t="s">
        <v>2802</v>
      </c>
      <c r="D762" s="1281" t="s">
        <v>1304</v>
      </c>
      <c r="E762" s="1281"/>
      <c r="F762" s="1281"/>
      <c r="G762" s="535"/>
      <c r="H762" s="535"/>
      <c r="I762" s="517" t="s">
        <v>2107</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2802</v>
      </c>
      <c r="D765" s="1281" t="s">
        <v>1321</v>
      </c>
      <c r="E765" s="1281"/>
      <c r="F765" s="1281"/>
      <c r="G765" s="535"/>
      <c r="H765" s="535"/>
      <c r="I765" s="517" t="s">
        <v>2107</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1990</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2044</v>
      </c>
      <c r="E771" s="1345"/>
      <c r="F771" s="1345"/>
      <c r="G771" s="3"/>
      <c r="I771" s="524"/>
    </row>
    <row r="772" spans="1:9">
      <c r="A772" s="57"/>
      <c r="B772" s="57"/>
      <c r="C772" s="385"/>
      <c r="D772" s="1314" t="s">
        <v>1943</v>
      </c>
      <c r="E772" s="1314"/>
      <c r="F772" s="1314"/>
      <c r="G772" s="3"/>
      <c r="I772" s="524"/>
    </row>
    <row r="773" spans="1:9">
      <c r="A773" s="57"/>
      <c r="B773" s="57"/>
      <c r="C773" s="385"/>
      <c r="D773" s="481"/>
      <c r="E773" s="481"/>
      <c r="F773" s="481"/>
      <c r="G773" s="3"/>
      <c r="I773" s="524"/>
    </row>
    <row r="774" spans="1:9">
      <c r="A774" s="57"/>
      <c r="B774" s="519" t="s">
        <v>2801</v>
      </c>
      <c r="C774" s="385"/>
      <c r="D774" s="1299" t="s">
        <v>1944</v>
      </c>
      <c r="E774" s="1299"/>
      <c r="F774" s="1299"/>
      <c r="G774" s="3"/>
      <c r="I774" s="517" t="s">
        <v>2157</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2801</v>
      </c>
      <c r="C778" s="172"/>
      <c r="D778" s="1299" t="s">
        <v>1945</v>
      </c>
      <c r="E778" s="1299"/>
      <c r="F778" s="1299"/>
      <c r="G778" s="3"/>
      <c r="I778" s="517" t="s">
        <v>2157</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c r="A782" s="176"/>
      <c r="B782" s="519" t="s">
        <v>2802</v>
      </c>
      <c r="C782" s="1024"/>
      <c r="D782" s="1299" t="s">
        <v>1946</v>
      </c>
      <c r="E782" s="1299"/>
      <c r="F782" s="1299"/>
      <c r="G782" s="1023"/>
      <c r="I782" s="517" t="s">
        <v>2157</v>
      </c>
    </row>
    <row r="783" spans="1:9">
      <c r="A783" s="176"/>
      <c r="B783" s="176"/>
      <c r="C783" s="1024"/>
      <c r="D783" s="1299"/>
      <c r="E783" s="1299"/>
      <c r="F783" s="1299"/>
      <c r="G783" s="1023"/>
      <c r="I783" s="524"/>
    </row>
    <row r="784" spans="1:9">
      <c r="A784" s="176"/>
      <c r="B784" s="176"/>
      <c r="C784" s="1024"/>
      <c r="D784" s="1299"/>
      <c r="E784" s="1299"/>
      <c r="F784" s="1299"/>
      <c r="G784" s="1023"/>
      <c r="I784" s="524"/>
    </row>
    <row r="785" spans="1:9">
      <c r="A785" s="176"/>
      <c r="B785" s="176"/>
      <c r="C785" s="1024"/>
      <c r="D785" s="118"/>
      <c r="E785" s="3"/>
      <c r="F785" s="3"/>
      <c r="G785" s="1023"/>
      <c r="I785" s="524"/>
    </row>
    <row r="786" spans="1:9">
      <c r="A786" s="176"/>
      <c r="B786" s="519" t="s">
        <v>2802</v>
      </c>
      <c r="C786" s="1024"/>
      <c r="D786" s="1299" t="s">
        <v>1947</v>
      </c>
      <c r="E786" s="1299"/>
      <c r="F786" s="1299"/>
      <c r="G786" s="1023"/>
      <c r="I786" s="517" t="s">
        <v>2157</v>
      </c>
    </row>
    <row r="787" spans="1:9">
      <c r="A787" s="176"/>
      <c r="B787" s="176"/>
      <c r="C787" s="1024"/>
      <c r="D787" s="1299"/>
      <c r="E787" s="1299"/>
      <c r="F787" s="1299"/>
      <c r="G787" s="1023"/>
      <c r="I787" s="524"/>
    </row>
    <row r="788" spans="1:9">
      <c r="A788" s="176"/>
      <c r="B788" s="176"/>
      <c r="C788" s="1024"/>
      <c r="D788" s="1299"/>
      <c r="E788" s="1299"/>
      <c r="F788" s="1299"/>
      <c r="G788" s="1023"/>
      <c r="I788" s="524"/>
    </row>
    <row r="789" spans="1:9">
      <c r="A789" s="176"/>
      <c r="B789" s="176"/>
      <c r="C789" s="1024"/>
      <c r="D789" s="1299"/>
      <c r="E789" s="1299"/>
      <c r="F789" s="1299"/>
      <c r="G789" s="1023"/>
      <c r="I789" s="524"/>
    </row>
    <row r="790" spans="1:9">
      <c r="A790" s="176"/>
      <c r="B790" s="176"/>
      <c r="C790" s="1024"/>
      <c r="D790" s="1299"/>
      <c r="E790" s="1299"/>
      <c r="F790" s="1299"/>
      <c r="G790" s="1023"/>
      <c r="I790" s="524"/>
    </row>
    <row r="791" spans="1:9">
      <c r="A791" s="176"/>
      <c r="B791" s="176"/>
      <c r="C791" s="1024"/>
      <c r="D791" s="1299"/>
      <c r="E791" s="1299"/>
      <c r="F791" s="1299"/>
      <c r="G791" s="1023"/>
      <c r="I791" s="524"/>
    </row>
    <row r="792" spans="1:9">
      <c r="A792" s="176"/>
      <c r="B792" s="176"/>
      <c r="C792" s="1024"/>
      <c r="D792" s="1299" t="s">
        <v>1991</v>
      </c>
      <c r="E792" s="1299"/>
      <c r="F792" s="1299"/>
      <c r="G792" s="1023"/>
      <c r="I792" s="524"/>
    </row>
    <row r="793" spans="1:9">
      <c r="A793" s="176"/>
      <c r="B793" s="176"/>
      <c r="C793" s="1024"/>
      <c r="D793" s="1299"/>
      <c r="E793" s="1299"/>
      <c r="F793" s="1299"/>
      <c r="G793" s="1023"/>
      <c r="I793" s="524"/>
    </row>
    <row r="794" spans="1:9">
      <c r="A794" s="176"/>
      <c r="B794" s="176"/>
      <c r="C794" s="1024"/>
      <c r="D794" s="1299"/>
      <c r="E794" s="1299"/>
      <c r="F794" s="1299"/>
      <c r="G794" s="1023"/>
      <c r="I794" s="524"/>
    </row>
    <row r="795" spans="1:9">
      <c r="A795" s="176"/>
      <c r="B795" s="385"/>
      <c r="C795" s="1024"/>
      <c r="D795" s="1025"/>
      <c r="E795" s="1025"/>
      <c r="F795" s="1025"/>
      <c r="G795" s="1023"/>
      <c r="I795" s="524"/>
    </row>
    <row r="796" spans="1:9">
      <c r="A796" s="176"/>
      <c r="B796" s="519" t="s">
        <v>2802</v>
      </c>
      <c r="C796" s="1024"/>
      <c r="D796" s="1299" t="s">
        <v>1948</v>
      </c>
      <c r="E796" s="1299"/>
      <c r="F796" s="1299"/>
      <c r="G796" s="1023"/>
      <c r="I796" s="517" t="s">
        <v>2157</v>
      </c>
    </row>
    <row r="797" spans="1:9">
      <c r="A797" s="176"/>
      <c r="B797" s="176"/>
      <c r="C797" s="1024"/>
      <c r="D797" s="1299"/>
      <c r="E797" s="1299"/>
      <c r="F797" s="1299"/>
      <c r="G797" s="1023"/>
      <c r="I797" s="524"/>
    </row>
    <row r="798" spans="1:9">
      <c r="A798" s="176"/>
      <c r="B798" s="176"/>
      <c r="C798" s="1024"/>
      <c r="D798" s="1299"/>
      <c r="E798" s="1299"/>
      <c r="F798" s="1299"/>
      <c r="G798" s="1023"/>
      <c r="I798" s="524"/>
    </row>
    <row r="799" spans="1:9">
      <c r="A799" s="176"/>
      <c r="B799" s="176"/>
      <c r="C799" s="1024"/>
      <c r="D799" s="1299"/>
      <c r="E799" s="1299"/>
      <c r="F799" s="1299"/>
      <c r="G799" s="1023"/>
      <c r="I799" s="524"/>
    </row>
    <row r="800" spans="1:9">
      <c r="A800" s="176"/>
      <c r="B800" s="176"/>
      <c r="C800" s="1024"/>
      <c r="D800" s="1299"/>
      <c r="E800" s="1299"/>
      <c r="F800" s="1299"/>
      <c r="G800" s="1023"/>
      <c r="I800" s="524"/>
    </row>
    <row r="801" spans="1:9">
      <c r="A801" s="176"/>
      <c r="B801" s="176"/>
      <c r="C801" s="1024"/>
      <c r="D801" s="1299"/>
      <c r="E801" s="1299"/>
      <c r="F801" s="1299"/>
      <c r="G801" s="1023"/>
      <c r="I801" s="524"/>
    </row>
    <row r="802" spans="1:9">
      <c r="A802" s="176"/>
      <c r="B802" s="176"/>
      <c r="C802" s="1024"/>
      <c r="D802" s="1017"/>
      <c r="E802" s="1017"/>
      <c r="F802" s="1017"/>
      <c r="G802" s="1023"/>
      <c r="I802" s="524"/>
    </row>
    <row r="803" spans="1:9">
      <c r="A803" s="176"/>
      <c r="B803" s="519" t="s">
        <v>2802</v>
      </c>
      <c r="C803" s="1024"/>
      <c r="D803" s="1299" t="s">
        <v>1949</v>
      </c>
      <c r="E803" s="1299"/>
      <c r="F803" s="1299"/>
      <c r="G803" s="1023"/>
      <c r="I803" s="517" t="s">
        <v>2157</v>
      </c>
    </row>
    <row r="804" spans="1:9">
      <c r="A804" s="176"/>
      <c r="B804" s="176"/>
      <c r="C804" s="1024"/>
      <c r="D804" s="1299"/>
      <c r="E804" s="1299"/>
      <c r="F804" s="1299"/>
      <c r="G804" s="1023"/>
      <c r="I804" s="524"/>
    </row>
    <row r="805" spans="1:9">
      <c r="A805" s="176"/>
      <c r="B805" s="176"/>
      <c r="C805" s="1024"/>
      <c r="D805" s="1299"/>
      <c r="E805" s="1299"/>
      <c r="F805" s="1299"/>
      <c r="G805" s="1023"/>
      <c r="I805" s="524"/>
    </row>
    <row r="806" spans="1:9">
      <c r="A806" s="176"/>
      <c r="B806" s="176"/>
      <c r="C806" s="1024"/>
      <c r="D806" s="1299"/>
      <c r="E806" s="1299"/>
      <c r="F806" s="1299"/>
      <c r="G806" s="1023"/>
      <c r="I806" s="524"/>
    </row>
    <row r="807" spans="1:9">
      <c r="A807" s="176"/>
      <c r="B807" s="176"/>
      <c r="C807" s="1024"/>
      <c r="D807" s="1299"/>
      <c r="E807" s="1299"/>
      <c r="F807" s="1299"/>
      <c r="G807" s="1023"/>
      <c r="I807" s="524"/>
    </row>
    <row r="808" spans="1:9">
      <c r="A808" s="176"/>
      <c r="B808" s="176"/>
      <c r="C808" s="1024"/>
      <c r="D808" s="1299"/>
      <c r="E808" s="1299"/>
      <c r="F808" s="1299"/>
      <c r="G808" s="1023"/>
      <c r="I808" s="524"/>
    </row>
    <row r="809" spans="1:9">
      <c r="A809" s="176"/>
      <c r="B809" s="176"/>
      <c r="C809" s="1024"/>
      <c r="D809" s="1017"/>
      <c r="E809" s="1017"/>
      <c r="F809" s="1017"/>
      <c r="G809" s="1023"/>
      <c r="I809" s="524"/>
    </row>
    <row r="810" spans="1:9">
      <c r="A810" s="176"/>
      <c r="B810" s="519" t="s">
        <v>2802</v>
      </c>
      <c r="C810" s="1024"/>
      <c r="D810" s="1307" t="s">
        <v>1950</v>
      </c>
      <c r="E810" s="1307"/>
      <c r="F810" s="1307"/>
      <c r="G810" s="1023"/>
      <c r="I810" s="517" t="s">
        <v>2157</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1951</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1992</v>
      </c>
      <c r="E819" s="1298"/>
      <c r="F819" s="1298"/>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2801</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2390</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2801</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2802</v>
      </c>
      <c r="C840" s="1024"/>
      <c r="D840" s="1298" t="s">
        <v>1955</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2802</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2802</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1993</v>
      </c>
      <c r="E860" s="1285"/>
      <c r="F860" s="1285"/>
      <c r="G860" s="1023"/>
      <c r="I860" s="524"/>
    </row>
    <row r="861" spans="1:9" ht="12.75" customHeight="1">
      <c r="A861" s="385"/>
      <c r="B861" s="385"/>
      <c r="C861" s="175"/>
      <c r="D861" s="1342" t="s">
        <v>1960</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2801</v>
      </c>
      <c r="C863" s="385"/>
      <c r="D863" s="1286" t="s">
        <v>1961</v>
      </c>
      <c r="E863" s="1286"/>
      <c r="F863" s="1286"/>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2801</v>
      </c>
      <c r="C866" s="385"/>
      <c r="D866" s="1266" t="s">
        <v>1962</v>
      </c>
      <c r="E866" s="1315"/>
      <c r="F866" s="1315"/>
      <c r="G866" s="3"/>
      <c r="I866" s="524" t="s">
        <v>2144</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2802</v>
      </c>
      <c r="C869" s="385"/>
      <c r="D869" s="1346" t="s">
        <v>1963</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2802</v>
      </c>
      <c r="C878" s="385"/>
      <c r="D878" s="1290" t="s">
        <v>1956</v>
      </c>
      <c r="E878" s="1290"/>
      <c r="F878" s="1290"/>
      <c r="G878" s="1023"/>
      <c r="I878" s="524" t="s">
        <v>2126</v>
      </c>
    </row>
    <row r="879" spans="1:9" ht="12.75" customHeight="1">
      <c r="A879" s="176"/>
      <c r="B879" s="176"/>
      <c r="C879" s="385"/>
      <c r="D879" s="1290" t="s">
        <v>1957</v>
      </c>
      <c r="E879" s="1290"/>
      <c r="F879" s="1290"/>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2802</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1994</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2000</v>
      </c>
      <c r="E889" s="1300"/>
      <c r="F889" s="1300"/>
      <c r="G889" s="57"/>
      <c r="I889" s="524"/>
    </row>
    <row r="890" spans="1:9" ht="12.75" customHeight="1">
      <c r="A890" s="57"/>
      <c r="B890" s="57"/>
      <c r="C890" s="57"/>
      <c r="D890" s="1016"/>
      <c r="E890" s="1016"/>
      <c r="F890" s="1016"/>
      <c r="G890" s="57"/>
      <c r="I890" s="524"/>
    </row>
    <row r="891" spans="1:9" ht="12.75" customHeight="1">
      <c r="A891" s="57"/>
      <c r="B891" s="519" t="s">
        <v>2801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0" t="s">
        <v>1995</v>
      </c>
      <c r="E893" s="1300"/>
      <c r="F893" s="1300"/>
      <c r="G893" s="1023"/>
      <c r="I893" s="524"/>
    </row>
    <row r="894" spans="1:9" ht="12.75" customHeight="1">
      <c r="A894" s="172"/>
      <c r="B894" s="172"/>
      <c r="C894" s="172"/>
      <c r="D894" s="1286" t="s">
        <v>1964</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2801</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2801</v>
      </c>
      <c r="C901" s="175"/>
      <c r="D901" s="1270" t="s">
        <v>1965</v>
      </c>
      <c r="E901" s="1270"/>
      <c r="F901" s="1270"/>
      <c r="G901" s="1023"/>
      <c r="I901" s="524" t="s">
        <v>2109</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2802</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2802</v>
      </c>
      <c r="C913" s="1024"/>
      <c r="D913" s="1307" t="s">
        <v>1970</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2802</v>
      </c>
      <c r="C918" s="1024"/>
      <c r="D918" s="1286" t="s">
        <v>2382</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2802</v>
      </c>
      <c r="C920" s="1024"/>
      <c r="D920" s="1286" t="s">
        <v>2383</v>
      </c>
      <c r="E920" s="1286"/>
      <c r="F920" s="1286"/>
      <c r="G920" s="1023"/>
      <c r="I920" s="524"/>
    </row>
    <row r="921" spans="1:9" ht="12.75" customHeight="1">
      <c r="A921" s="175"/>
      <c r="B921" s="175"/>
      <c r="C921" s="175"/>
      <c r="D921" s="2"/>
      <c r="E921" s="3"/>
      <c r="F921" s="1023"/>
      <c r="G921" s="1023"/>
      <c r="I921" s="524"/>
    </row>
    <row r="922" spans="1:9" ht="12.75" customHeight="1">
      <c r="A922" s="1032"/>
      <c r="B922" s="519" t="s">
        <v>2801</v>
      </c>
      <c r="C922" s="1033"/>
      <c r="D922" s="1270" t="s">
        <v>1966</v>
      </c>
      <c r="E922" s="1270"/>
      <c r="F922" s="1270"/>
      <c r="G922" s="1034"/>
      <c r="I922" s="524" t="s">
        <v>2159</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2801</v>
      </c>
      <c r="C932" s="175"/>
      <c r="D932" s="1347" t="s">
        <v>2161</v>
      </c>
      <c r="E932" s="1347"/>
      <c r="F932" s="1347"/>
      <c r="G932" s="1023"/>
      <c r="I932" s="524" t="s">
        <v>2159</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2802</v>
      </c>
      <c r="C940" s="175"/>
      <c r="D940" s="1269" t="s">
        <v>2455</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2802</v>
      </c>
      <c r="C947" s="1024"/>
      <c r="D947" s="1307" t="s">
        <v>1971</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2802</v>
      </c>
      <c r="C952" s="175"/>
      <c r="D952" s="1270" t="s">
        <v>2160</v>
      </c>
      <c r="E952" s="1270"/>
      <c r="F952" s="1270"/>
      <c r="G952" s="1023"/>
      <c r="I952" s="524" t="s">
        <v>2159</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1972</v>
      </c>
      <c r="E957" s="1285"/>
      <c r="F957" s="1285"/>
      <c r="G957" s="3"/>
      <c r="I957" s="524"/>
    </row>
    <row r="958" spans="1:9" ht="12.75" customHeight="1">
      <c r="A958" s="176"/>
      <c r="B958" s="519" t="s">
        <v>2802</v>
      </c>
      <c r="C958" s="385"/>
      <c r="D958" s="1286" t="s">
        <v>1996</v>
      </c>
      <c r="E958" s="1286"/>
      <c r="F958" s="1286"/>
      <c r="G958" s="3"/>
      <c r="I958" s="524" t="s">
        <v>2159</v>
      </c>
    </row>
    <row r="959" spans="1:9" ht="12.75" customHeight="1">
      <c r="A959" s="385"/>
      <c r="B959" s="385"/>
      <c r="C959" s="385"/>
      <c r="D959" s="3"/>
      <c r="E959" s="3"/>
      <c r="F959" s="3"/>
      <c r="G959" s="3"/>
      <c r="I959" s="524"/>
    </row>
    <row r="960" spans="1:9" ht="12.75" customHeight="1">
      <c r="A960" s="385"/>
      <c r="B960" s="385"/>
      <c r="C960" s="385"/>
      <c r="D960" s="1285" t="s">
        <v>1973</v>
      </c>
      <c r="E960" s="1285"/>
      <c r="F960" s="1285"/>
      <c r="G960"/>
      <c r="I960" s="524"/>
    </row>
    <row r="961" spans="1:9" ht="12.75" customHeight="1">
      <c r="A961" s="176"/>
      <c r="B961" s="519" t="s">
        <v>2801</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1974</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1997</v>
      </c>
      <c r="E979" s="1285"/>
      <c r="F979" s="1285"/>
      <c r="G979" s="3"/>
      <c r="I979" s="524"/>
    </row>
    <row r="980" spans="1:9" ht="12.75" customHeight="1">
      <c r="A980" s="172"/>
      <c r="B980" s="172"/>
      <c r="C980" s="172"/>
      <c r="D980" s="1286" t="s">
        <v>1975</v>
      </c>
      <c r="E980" s="1286"/>
      <c r="F980" s="1286"/>
      <c r="G980" s="3"/>
      <c r="I980" s="524"/>
    </row>
    <row r="981" spans="1:9" ht="12.75" customHeight="1">
      <c r="A981" s="172"/>
      <c r="B981" s="172"/>
      <c r="C981" s="172"/>
      <c r="D981" s="3"/>
      <c r="E981" s="3"/>
      <c r="F981" s="1023"/>
      <c r="G981"/>
      <c r="I981" s="524"/>
    </row>
    <row r="982" spans="1:9" ht="12.75" customHeight="1">
      <c r="A982" s="385"/>
      <c r="B982" s="519" t="s">
        <v>2801</v>
      </c>
      <c r="C982" s="385"/>
      <c r="D982" s="1349" t="s">
        <v>2214</v>
      </c>
      <c r="E982" s="1349"/>
      <c r="F982" s="1349"/>
      <c r="G982"/>
      <c r="I982" s="524" t="s">
        <v>2139</v>
      </c>
    </row>
    <row r="983" spans="1:9" ht="12.75" customHeight="1">
      <c r="A983" s="385"/>
      <c r="B983" s="385"/>
      <c r="C983" s="385"/>
      <c r="D983" s="1349"/>
      <c r="E983" s="1349"/>
      <c r="F983" s="1349"/>
      <c r="G983"/>
      <c r="I983" s="524"/>
    </row>
    <row r="984" spans="1:9" ht="12.75" customHeight="1">
      <c r="A984" s="385"/>
      <c r="B984" s="385"/>
      <c r="C984" s="385"/>
      <c r="D984" s="1073"/>
      <c r="E984" s="1071" t="s">
        <v>2215</v>
      </c>
      <c r="F984" s="1073"/>
      <c r="G984"/>
      <c r="I984" s="524"/>
    </row>
    <row r="985" spans="1:9" ht="12.75" customHeight="1">
      <c r="A985" s="385"/>
      <c r="B985" s="385"/>
      <c r="C985" s="385"/>
      <c r="D985" s="1272" t="s">
        <v>2213</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2802</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2802</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2801</v>
      </c>
      <c r="C998" s="385"/>
      <c r="D998" s="1286" t="s">
        <v>1978</v>
      </c>
      <c r="E998" s="1286"/>
      <c r="F998" s="1286"/>
      <c r="G998"/>
      <c r="I998" s="524"/>
    </row>
    <row r="999" spans="1:9" ht="12.75" customHeight="1">
      <c r="A999" s="385"/>
      <c r="B999" s="385"/>
      <c r="C999" s="385"/>
      <c r="D999" s="3"/>
      <c r="E999" s="3"/>
      <c r="F999" s="3"/>
      <c r="G999"/>
      <c r="I999" s="524"/>
    </row>
    <row r="1000" spans="1:9" ht="12.75" customHeight="1">
      <c r="A1000" s="176"/>
      <c r="B1000" s="519" t="s">
        <v>2802</v>
      </c>
      <c r="C1000" s="385"/>
      <c r="D1000" s="1286" t="s">
        <v>1979</v>
      </c>
      <c r="E1000" s="1286"/>
      <c r="F1000" s="1286"/>
      <c r="G1000"/>
      <c r="I1000" s="524"/>
    </row>
    <row r="1001" spans="1:9" ht="12.75" customHeight="1">
      <c r="A1001" s="385"/>
      <c r="B1001" s="385"/>
      <c r="C1001" s="385"/>
      <c r="D1001" s="118"/>
      <c r="E1001" s="3"/>
      <c r="F1001" s="3"/>
      <c r="G1001"/>
      <c r="I1001" s="524"/>
    </row>
    <row r="1002" spans="1:9" ht="12.75" customHeight="1">
      <c r="A1002" s="176"/>
      <c r="B1002" s="519" t="s">
        <v>2802</v>
      </c>
      <c r="C1002" s="385"/>
      <c r="D1002" s="1286" t="s">
        <v>1980</v>
      </c>
      <c r="E1002" s="1286"/>
      <c r="F1002" s="1286"/>
      <c r="G1002"/>
      <c r="I1002" s="524"/>
    </row>
    <row r="1003" spans="1:9" ht="12.75" customHeight="1">
      <c r="A1003" s="385"/>
      <c r="B1003" s="385"/>
      <c r="C1003" s="385"/>
      <c r="D1003" s="118"/>
      <c r="E1003" s="3"/>
      <c r="F1003" s="3"/>
      <c r="G1003"/>
      <c r="I1003" s="524"/>
    </row>
    <row r="1004" spans="1:9" ht="12.75" customHeight="1">
      <c r="A1004" s="176"/>
      <c r="B1004" s="519" t="s">
        <v>2802</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2802</v>
      </c>
      <c r="C1007" s="1035"/>
      <c r="D1007" s="1299" t="s">
        <v>1982</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2802</v>
      </c>
      <c r="C1010" s="1035"/>
      <c r="D1010" s="1348" t="s">
        <v>1983</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2801</v>
      </c>
      <c r="C1012" s="385"/>
      <c r="D1012" s="1286" t="s">
        <v>1984</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2802</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1986</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1987</v>
      </c>
      <c r="E1019" s="1300"/>
      <c r="F1019" s="1300"/>
      <c r="G1019" s="3"/>
      <c r="I1019" s="524"/>
    </row>
    <row r="1020" spans="1:9" ht="12.75" customHeight="1">
      <c r="A1020" s="385"/>
      <c r="B1020" s="385"/>
      <c r="C1020" s="385"/>
      <c r="D1020" s="1348" t="s">
        <v>1988</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2002</v>
      </c>
      <c r="E1022" s="1300"/>
      <c r="F1022" s="1300"/>
      <c r="G1022" s="3"/>
      <c r="I1022" s="524" t="s">
        <v>2111</v>
      </c>
    </row>
    <row r="1023" spans="1:9" ht="12.75" customHeight="1">
      <c r="A1023" s="385"/>
      <c r="B1023" s="519" t="s">
        <v>2801</v>
      </c>
      <c r="C1023" s="385"/>
      <c r="D1023" s="1348" t="s">
        <v>1379</v>
      </c>
      <c r="E1023" s="1348"/>
      <c r="F1023" s="1348"/>
      <c r="G1023" s="3"/>
      <c r="I1023" s="524"/>
    </row>
    <row r="1024" spans="1:9" ht="12.75" customHeight="1">
      <c r="A1024" s="385"/>
      <c r="B1024" s="176"/>
      <c r="C1024" s="385"/>
      <c r="D1024" s="1348" t="s">
        <v>1989</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1998</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1380</v>
      </c>
      <c r="E1028" s="1295"/>
      <c r="F1028" s="1295"/>
      <c r="G1028" s="3"/>
      <c r="I1028" s="524"/>
    </row>
    <row r="1029" spans="1:9" ht="12.75" hidden="1" customHeight="1">
      <c r="A1029" s="118"/>
      <c r="B1029" s="519" t="s">
        <v>308</v>
      </c>
      <c r="D1029" s="1280" t="s">
        <v>1379</v>
      </c>
      <c r="E1029" s="1280"/>
      <c r="F1029" s="1280"/>
      <c r="G1029" s="3"/>
      <c r="I1029" s="524"/>
    </row>
    <row r="1030" spans="1:9" ht="12.75" hidden="1" customHeight="1">
      <c r="A1030" s="118"/>
      <c r="B1030" s="433"/>
      <c r="D1030" s="1280" t="s">
        <v>1999</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1095</v>
      </c>
      <c r="E1032" s="1354"/>
      <c r="F1032" s="1354"/>
      <c r="G1032" s="3"/>
      <c r="I1032" s="524" t="s">
        <v>2140</v>
      </c>
    </row>
    <row r="1033" spans="1:9" ht="12.75" customHeight="1">
      <c r="A1033" s="345"/>
      <c r="B1033" s="345"/>
      <c r="C1033" s="345"/>
      <c r="D1033" s="1290" t="s">
        <v>1112</v>
      </c>
      <c r="E1033" s="1290"/>
      <c r="F1033" s="1290"/>
      <c r="G1033" s="98"/>
      <c r="I1033" s="524"/>
    </row>
    <row r="1034" spans="1:9" ht="12.75" customHeight="1">
      <c r="A1034" s="176"/>
      <c r="B1034" s="519" t="s">
        <v>2802</v>
      </c>
      <c r="C1034" s="385"/>
      <c r="D1034" s="1290" t="s">
        <v>1005</v>
      </c>
      <c r="E1034" s="1290"/>
      <c r="F1034" s="1290"/>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4" t="s">
        <v>2019</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2802</v>
      </c>
      <c r="C1042" s="433"/>
      <c r="D1042" s="1351" t="s">
        <v>2003</v>
      </c>
      <c r="E1042" s="1351"/>
      <c r="F1042" s="1351"/>
      <c r="I1042" s="524" t="s">
        <v>2112</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2801</v>
      </c>
      <c r="C1050" s="433"/>
      <c r="D1050" s="433" t="s">
        <v>2001</v>
      </c>
      <c r="I1050" s="524" t="s">
        <v>2113</v>
      </c>
    </row>
    <row r="1051" spans="1:9">
      <c r="A1051" s="433"/>
      <c r="B1051" s="433"/>
      <c r="C1051" s="433"/>
      <c r="I1051" s="524"/>
    </row>
    <row r="1052" spans="1:9">
      <c r="A1052" s="433"/>
      <c r="B1052" s="519" t="s">
        <v>2801</v>
      </c>
      <c r="C1052" s="433"/>
      <c r="D1052" s="1351" t="s">
        <v>2007</v>
      </c>
      <c r="E1052" s="1351"/>
      <c r="F1052" s="1351"/>
      <c r="I1052" s="524" t="s">
        <v>2114</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2008</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2801</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2802</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2802</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2802</v>
      </c>
      <c r="C1075" s="433"/>
      <c r="D1075" s="1350" t="s">
        <v>2010</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2015</v>
      </c>
      <c r="I1080" s="524"/>
    </row>
    <row r="1081" spans="1:9">
      <c r="A1081" s="433"/>
      <c r="B1081" s="433"/>
      <c r="C1081" s="433"/>
      <c r="I1081" s="524"/>
    </row>
    <row r="1082" spans="1:9">
      <c r="A1082" s="1294" t="s">
        <v>2020</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2802</v>
      </c>
      <c r="C1085" s="433"/>
      <c r="D1085" s="1352" t="s">
        <v>2228</v>
      </c>
      <c r="E1085" s="1352"/>
      <c r="F1085" s="1352"/>
      <c r="I1085" s="524" t="s">
        <v>2119</v>
      </c>
    </row>
    <row r="1086" spans="1:9">
      <c r="A1086" s="433"/>
      <c r="B1086" s="433"/>
      <c r="C1086" s="433"/>
      <c r="D1086" s="1352"/>
      <c r="E1086" s="1352"/>
      <c r="F1086" s="1352"/>
      <c r="I1086" s="524"/>
    </row>
    <row r="1087" spans="1:9">
      <c r="A1087" s="433"/>
      <c r="B1087" s="433"/>
      <c r="C1087" s="433"/>
      <c r="D1087" s="1353" t="s">
        <v>2501</v>
      </c>
      <c r="E1087" s="1266"/>
      <c r="F1087" s="1266"/>
      <c r="I1087" s="524"/>
    </row>
    <row r="1088" spans="1:9">
      <c r="A1088" s="433"/>
      <c r="B1088" s="433"/>
      <c r="C1088" s="433"/>
      <c r="D1088" s="561"/>
      <c r="I1088" s="524"/>
    </row>
    <row r="1089" spans="1:9">
      <c r="A1089" s="433"/>
      <c r="B1089" s="519" t="s">
        <v>2802</v>
      </c>
      <c r="C1089" s="433"/>
      <c r="D1089" s="1350" t="s">
        <v>2021</v>
      </c>
      <c r="E1089" s="1350"/>
      <c r="F1089" s="1350"/>
      <c r="I1089" s="524" t="s">
        <v>2120</v>
      </c>
    </row>
    <row r="1090" spans="1:9">
      <c r="A1090" s="433"/>
      <c r="B1090" s="433"/>
      <c r="C1090" s="433"/>
      <c r="D1090" s="1350"/>
      <c r="E1090" s="1350"/>
      <c r="F1090" s="1350"/>
      <c r="I1090" s="524"/>
    </row>
    <row r="1091" spans="1:9">
      <c r="A1091" s="433"/>
      <c r="B1091" s="433"/>
      <c r="C1091" s="433"/>
      <c r="D1091" s="561"/>
      <c r="I1091" s="524"/>
    </row>
    <row r="1092" spans="1:9">
      <c r="A1092" s="433"/>
      <c r="B1092" s="519" t="s">
        <v>2802</v>
      </c>
      <c r="C1092" s="433"/>
      <c r="D1092" s="1350" t="s">
        <v>2164</v>
      </c>
      <c r="E1092" s="1350"/>
      <c r="F1092" s="1350"/>
      <c r="I1092" s="524" t="s">
        <v>2162</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ht="12.5">
      <c r="A1098" s="433"/>
      <c r="B1098" s="433"/>
      <c r="C1098" s="433"/>
      <c r="D1098" s="561" t="s">
        <v>2163</v>
      </c>
      <c r="I1098" s="514"/>
    </row>
    <row r="1099" spans="1:9">
      <c r="A1099" s="433"/>
      <c r="B1099" s="519" t="s">
        <v>2802</v>
      </c>
      <c r="C1099" s="433"/>
      <c r="D1099" s="1350" t="s">
        <v>2022</v>
      </c>
      <c r="E1099" s="1350"/>
      <c r="F1099" s="1350"/>
      <c r="I1099" s="524" t="s">
        <v>2121</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2801</v>
      </c>
      <c r="C1103" s="433"/>
      <c r="D1103" s="1272" t="s">
        <v>2165</v>
      </c>
      <c r="E1103" s="1272"/>
      <c r="F1103" s="1272"/>
      <c r="I1103" s="524" t="s">
        <v>2122</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2801</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O718" sqref="O718:S718"/>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9" t="s">
        <v>100</v>
      </c>
      <c r="B8" s="1849"/>
      <c r="C8" s="1849"/>
      <c r="D8" s="1849"/>
      <c r="E8" s="1849"/>
      <c r="F8" s="1849"/>
      <c r="G8" s="1849"/>
      <c r="H8" s="1849"/>
      <c r="I8" s="1849"/>
      <c r="J8" s="1849"/>
      <c r="K8" s="1849"/>
      <c r="L8" s="1849"/>
      <c r="M8" s="1849"/>
      <c r="N8" s="1849"/>
      <c r="O8" s="1849"/>
      <c r="P8" s="1849"/>
      <c r="Q8" s="1849"/>
      <c r="R8" s="1849"/>
      <c r="S8" s="1849"/>
      <c r="T8" s="1849"/>
      <c r="U8" s="1849"/>
      <c r="V8" s="1849"/>
      <c r="W8" s="1849"/>
      <c r="X8" s="1849"/>
      <c r="Y8" s="1849"/>
      <c r="Z8" s="1849"/>
      <c r="AA8" s="1849"/>
      <c r="AB8" s="1849"/>
      <c r="AC8" s="1849"/>
      <c r="AD8" s="1849"/>
      <c r="AE8" s="1849"/>
      <c r="AF8" s="1849"/>
      <c r="AG8" s="1849"/>
      <c r="AH8" s="1849"/>
      <c r="AI8" s="1849"/>
      <c r="AJ8" s="1849"/>
      <c r="AK8" s="1849"/>
      <c r="AL8" s="1849"/>
      <c r="AM8" s="1849"/>
      <c r="AN8" s="1849"/>
      <c r="AO8" s="1849"/>
      <c r="AP8" s="1849"/>
      <c r="AQ8" s="1849"/>
      <c r="AR8" s="1849"/>
      <c r="AS8" s="1849"/>
      <c r="AT8" s="1849"/>
      <c r="AU8" s="933"/>
      <c r="AV8" s="933"/>
      <c r="AW8" s="933"/>
      <c r="AX8" s="933"/>
      <c r="AY8" s="933"/>
    </row>
    <row r="9" spans="1:51" ht="13" customHeight="1">
      <c r="A9" s="1306" t="s">
        <v>2391</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2580</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1769</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850" t="s">
        <v>2639</v>
      </c>
      <c r="B12" s="1850"/>
      <c r="C12" s="1850"/>
      <c r="D12" s="1850"/>
      <c r="E12" s="1850"/>
      <c r="F12" s="1850"/>
      <c r="G12" s="1850"/>
      <c r="H12" s="1850"/>
      <c r="I12" s="1850"/>
      <c r="J12" s="1850"/>
      <c r="K12" s="1850"/>
      <c r="L12" s="1850"/>
      <c r="M12" s="1850"/>
      <c r="N12" s="1850"/>
      <c r="O12" s="1850"/>
      <c r="P12" s="1850"/>
      <c r="Q12" s="1850"/>
      <c r="R12" s="1850"/>
      <c r="S12" s="1850"/>
      <c r="T12" s="1850"/>
      <c r="U12" s="1850"/>
      <c r="V12" s="1850"/>
      <c r="W12" s="1850"/>
      <c r="X12" s="1850"/>
      <c r="Y12" s="1850"/>
      <c r="Z12" s="1850"/>
      <c r="AA12" s="1850"/>
      <c r="AB12" s="1850"/>
      <c r="AC12" s="1850"/>
      <c r="AD12" s="1850"/>
      <c r="AE12" s="1850"/>
      <c r="AF12" s="1850"/>
      <c r="AG12" s="1850"/>
      <c r="AH12" s="1850"/>
      <c r="AI12" s="1850"/>
      <c r="AJ12" s="1850"/>
      <c r="AK12" s="1850"/>
      <c r="AL12" s="1850"/>
      <c r="AM12" s="1850"/>
      <c r="AN12" s="1850"/>
      <c r="AO12" s="1850"/>
      <c r="AP12" s="1850"/>
      <c r="AQ12" s="1850"/>
      <c r="AR12" s="1850"/>
      <c r="AS12" s="1850"/>
      <c r="AT12" s="1850"/>
      <c r="AU12" s="6"/>
      <c r="AV12" s="6"/>
      <c r="AW12" s="6"/>
      <c r="AX12" s="6"/>
      <c r="AY12" s="6"/>
    </row>
    <row r="13" spans="1:51" ht="13" customHeight="1">
      <c r="A13" s="1276" t="s">
        <v>2392</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3"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2393</v>
      </c>
      <c r="C16" s="4"/>
      <c r="D16" s="4"/>
      <c r="E16" s="4"/>
      <c r="F16" s="4"/>
      <c r="G16" s="4"/>
      <c r="H16" s="1854" t="s">
        <v>2641</v>
      </c>
      <c r="I16" s="1854"/>
      <c r="J16" s="1854"/>
      <c r="K16" s="1854"/>
      <c r="L16" s="1854"/>
      <c r="M16" s="1854"/>
      <c r="N16" s="1854"/>
      <c r="O16" s="1854"/>
      <c r="P16" s="1854"/>
      <c r="Q16" s="1854"/>
      <c r="R16" s="1854"/>
      <c r="S16" s="1854"/>
      <c r="T16" s="1854"/>
      <c r="U16" s="1854"/>
      <c r="V16" s="1854"/>
      <c r="W16" s="1854"/>
      <c r="X16" s="1854"/>
      <c r="Y16" s="1854"/>
      <c r="Z16" s="1854"/>
      <c r="AA16" s="1854"/>
      <c r="AB16" s="1854"/>
      <c r="AC16" s="1854"/>
      <c r="AD16" s="1854"/>
      <c r="AE16" s="1854"/>
      <c r="AF16" s="1854"/>
      <c r="AG16" s="1854"/>
      <c r="AH16" s="1854"/>
      <c r="AI16" s="1854"/>
      <c r="AJ16" s="1854"/>
    </row>
    <row r="17" spans="1:52" ht="13" customHeight="1"/>
    <row r="18" spans="1:52" ht="13" customHeight="1">
      <c r="A18" s="57" t="s">
        <v>101</v>
      </c>
      <c r="C18" s="4"/>
      <c r="D18" s="4"/>
      <c r="E18" s="4"/>
      <c r="F18" s="4"/>
      <c r="G18" s="4"/>
      <c r="H18" s="1472" t="s">
        <v>2642</v>
      </c>
      <c r="I18" s="1472"/>
      <c r="J18" s="1472"/>
      <c r="K18" s="1472"/>
      <c r="L18" s="1472"/>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row>
    <row r="19" spans="1:52" ht="13" customHeight="1"/>
    <row r="20" spans="1:52" ht="13" customHeight="1">
      <c r="A20" s="1851" t="s">
        <v>884</v>
      </c>
      <c r="B20" s="1851"/>
      <c r="C20" s="1851"/>
      <c r="D20" s="1851"/>
      <c r="E20" s="1851"/>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1"/>
      <c r="AK20" s="1851"/>
      <c r="AL20" s="1851"/>
      <c r="AM20" s="1851"/>
      <c r="AN20" s="1851"/>
      <c r="AO20" s="1851"/>
      <c r="AP20" s="1851"/>
      <c r="AQ20" s="1851"/>
      <c r="AR20" s="1851"/>
      <c r="AS20" s="1851"/>
      <c r="AT20" s="1851"/>
      <c r="AU20" s="935"/>
      <c r="AV20" s="935"/>
      <c r="AW20" s="935"/>
      <c r="AX20" s="935"/>
      <c r="AY20" s="935"/>
    </row>
    <row r="21" spans="1:52" ht="13" customHeight="1">
      <c r="A21" s="1566" t="s">
        <v>1033</v>
      </c>
      <c r="B21" s="1566"/>
      <c r="C21" s="1566"/>
      <c r="D21" s="1566"/>
      <c r="E21" s="1566"/>
      <c r="F21" s="1566"/>
      <c r="G21" s="1566"/>
      <c r="H21" s="1566"/>
      <c r="I21" s="1566"/>
      <c r="J21" s="1566"/>
      <c r="K21" s="1566"/>
      <c r="L21" s="1566"/>
      <c r="M21" s="1566"/>
      <c r="N21" s="1566"/>
      <c r="O21" s="1566"/>
      <c r="P21" s="1566"/>
      <c r="Q21" s="1566"/>
      <c r="R21" s="1566"/>
      <c r="S21" s="1566"/>
      <c r="T21" s="1566"/>
      <c r="U21" s="1566"/>
      <c r="V21" s="1566"/>
      <c r="W21" s="1566"/>
      <c r="X21" s="1566"/>
      <c r="Y21" s="1566"/>
      <c r="Z21" s="1566"/>
      <c r="AA21" s="1566"/>
      <c r="AB21" s="1566"/>
      <c r="AC21" s="1566"/>
      <c r="AD21" s="1566"/>
      <c r="AE21" s="1566"/>
      <c r="AF21" s="1566"/>
      <c r="AG21" s="1566"/>
      <c r="AH21" s="1566"/>
      <c r="AI21" s="1566"/>
      <c r="AJ21" s="1566"/>
      <c r="AK21" s="1566"/>
      <c r="AL21" s="1566"/>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2" t="s">
        <v>2505</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3"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565">
        <f ca="1">'Basis &amp; Credits'!AB56</f>
        <v>1382786</v>
      </c>
      <c r="N26" s="1565"/>
      <c r="O26" s="1565"/>
      <c r="P26" s="1565"/>
      <c r="Q26" s="1565"/>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9">
        <f ca="1">'Basis &amp; Credits'!AB78</f>
        <v>9200000</v>
      </c>
      <c r="N27" s="1359"/>
      <c r="O27" s="1359"/>
      <c r="P27" s="1359"/>
      <c r="Q27" s="1359"/>
      <c r="R27" s="3" t="s">
        <v>1375</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52" t="s">
        <v>2506</v>
      </c>
      <c r="B29" s="1852"/>
      <c r="C29" s="1852"/>
      <c r="D29" s="1852"/>
      <c r="E29" s="1852"/>
      <c r="F29" s="1852"/>
      <c r="G29" s="1852"/>
      <c r="H29" s="1852"/>
      <c r="I29" s="1852"/>
      <c r="J29" s="1852"/>
      <c r="K29" s="1852"/>
      <c r="L29" s="1852"/>
      <c r="M29" s="1852"/>
      <c r="N29" s="1852"/>
      <c r="O29" s="1852"/>
      <c r="P29" s="1852"/>
      <c r="Q29" s="1852"/>
      <c r="R29" s="1852"/>
      <c r="S29" s="1852"/>
      <c r="T29" s="1852"/>
      <c r="U29" s="1852"/>
      <c r="V29" s="1852"/>
      <c r="W29" s="1852"/>
      <c r="X29" s="1852"/>
      <c r="Y29" s="1852"/>
      <c r="Z29" s="1852"/>
      <c r="AA29" s="1852"/>
      <c r="AB29" s="1852"/>
      <c r="AC29" s="1852"/>
      <c r="AD29" s="1852"/>
      <c r="AE29" s="1852"/>
      <c r="AF29" s="1852"/>
      <c r="AG29" s="1852"/>
      <c r="AH29" s="1852"/>
      <c r="AI29" s="1852"/>
      <c r="AJ29" s="1852"/>
      <c r="AK29" s="1852"/>
      <c r="AL29" s="1852"/>
      <c r="AM29" s="1852"/>
      <c r="AN29" s="1852"/>
      <c r="AO29" s="1852"/>
      <c r="AP29" s="1852"/>
      <c r="AQ29" s="1852"/>
      <c r="AR29" s="1852"/>
      <c r="AS29" s="1852"/>
      <c r="AT29" s="1852"/>
    </row>
    <row r="30" spans="1:52" ht="13" customHeight="1">
      <c r="A30" s="1852"/>
      <c r="B30" s="1852"/>
      <c r="C30" s="1852"/>
      <c r="D30" s="1852"/>
      <c r="E30" s="1852"/>
      <c r="F30" s="1852"/>
      <c r="G30" s="1852"/>
      <c r="H30" s="1852"/>
      <c r="I30" s="1852"/>
      <c r="J30" s="1852"/>
      <c r="K30" s="1852"/>
      <c r="L30" s="1852"/>
      <c r="M30" s="1852"/>
      <c r="N30" s="1852"/>
      <c r="O30" s="1852"/>
      <c r="P30" s="1852"/>
      <c r="Q30" s="1852"/>
      <c r="R30" s="1852"/>
      <c r="S30" s="1852"/>
      <c r="T30" s="1852"/>
      <c r="U30" s="1852"/>
      <c r="V30" s="1852"/>
      <c r="W30" s="1852"/>
      <c r="X30" s="1852"/>
      <c r="Y30" s="1852"/>
      <c r="Z30" s="1852"/>
      <c r="AA30" s="1852"/>
      <c r="AB30" s="1852"/>
      <c r="AC30" s="1852"/>
      <c r="AD30" s="1852"/>
      <c r="AE30" s="1852"/>
      <c r="AF30" s="1852"/>
      <c r="AG30" s="1852"/>
      <c r="AH30" s="1852"/>
      <c r="AI30" s="1852"/>
      <c r="AJ30" s="1852"/>
      <c r="AK30" s="1852"/>
      <c r="AL30" s="1852"/>
      <c r="AM30" s="1852"/>
      <c r="AN30" s="1852"/>
      <c r="AO30" s="1852"/>
      <c r="AP30" s="1852"/>
      <c r="AQ30" s="1852"/>
      <c r="AR30" s="1852"/>
      <c r="AS30" s="1852"/>
      <c r="AT30" s="1852"/>
      <c r="AZ30" s="20"/>
    </row>
    <row r="31" spans="1:52" ht="13" customHeight="1">
      <c r="A31" s="1852"/>
      <c r="B31" s="1852"/>
      <c r="C31" s="1852"/>
      <c r="D31" s="1852"/>
      <c r="E31" s="1852"/>
      <c r="F31" s="1852"/>
      <c r="G31" s="1852"/>
      <c r="H31" s="1852"/>
      <c r="I31" s="1852"/>
      <c r="J31" s="1852"/>
      <c r="K31" s="1852"/>
      <c r="L31" s="1852"/>
      <c r="M31" s="1852"/>
      <c r="N31" s="1852"/>
      <c r="O31" s="1852"/>
      <c r="P31" s="1852"/>
      <c r="Q31" s="1852"/>
      <c r="R31" s="1852"/>
      <c r="S31" s="1852"/>
      <c r="T31" s="1852"/>
      <c r="U31" s="1852"/>
      <c r="V31" s="1852"/>
      <c r="W31" s="1852"/>
      <c r="X31" s="1852"/>
      <c r="Y31" s="1852"/>
      <c r="Z31" s="1852"/>
      <c r="AA31" s="1852"/>
      <c r="AB31" s="1852"/>
      <c r="AC31" s="1852"/>
      <c r="AD31" s="1852"/>
      <c r="AE31" s="1852"/>
      <c r="AF31" s="1852"/>
      <c r="AG31" s="1852"/>
      <c r="AH31" s="1852"/>
      <c r="AI31" s="1852"/>
      <c r="AJ31" s="1852"/>
      <c r="AK31" s="1852"/>
      <c r="AL31" s="1852"/>
      <c r="AM31" s="1852"/>
      <c r="AN31" s="1852"/>
      <c r="AO31" s="1852"/>
      <c r="AP31" s="1852"/>
      <c r="AQ31" s="1852"/>
      <c r="AR31" s="1852"/>
      <c r="AS31" s="1852"/>
      <c r="AT31" s="1852"/>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1386</v>
      </c>
      <c r="C33" s="553"/>
      <c r="D33" s="553"/>
      <c r="E33" s="553"/>
      <c r="F33" s="553"/>
      <c r="G33" s="553"/>
      <c r="H33" s="553"/>
      <c r="I33" s="553"/>
      <c r="J33" s="553"/>
      <c r="K33" s="553"/>
      <c r="L33" s="553"/>
      <c r="M33" s="553"/>
      <c r="N33" s="553"/>
      <c r="O33" s="1437" t="s">
        <v>553</v>
      </c>
      <c r="P33" s="1437"/>
      <c r="Q33" s="1853" t="s">
        <v>2507</v>
      </c>
      <c r="R33" s="1853"/>
      <c r="S33" s="1853"/>
      <c r="T33" s="1853"/>
      <c r="U33" s="1853"/>
      <c r="V33" s="1853"/>
      <c r="W33" s="1853"/>
      <c r="X33" s="1853"/>
      <c r="Y33" s="1853"/>
      <c r="Z33" s="1853"/>
      <c r="AA33" s="1853"/>
      <c r="AB33" s="1853"/>
      <c r="AC33" s="1853"/>
      <c r="AD33" s="1853"/>
      <c r="AE33" s="1853"/>
      <c r="AF33" s="1853"/>
      <c r="AG33" s="1853"/>
      <c r="AH33" s="1853"/>
      <c r="AI33" s="1853"/>
      <c r="AJ33" s="1853"/>
      <c r="AK33" s="1853"/>
      <c r="AL33" s="1853"/>
      <c r="AM33" s="1853"/>
      <c r="AN33" s="1853"/>
      <c r="AO33" s="1853"/>
      <c r="AP33" s="1853"/>
      <c r="AQ33" s="1853"/>
      <c r="AR33" s="1853"/>
      <c r="AS33" s="1853"/>
      <c r="AT33" s="1853"/>
      <c r="AU33" s="20"/>
      <c r="AV33" s="20"/>
      <c r="AW33" s="20"/>
      <c r="AX33" s="20"/>
      <c r="AY33" s="20"/>
    </row>
    <row r="34" spans="1:52" ht="13" customHeight="1">
      <c r="A34" s="1852" t="s">
        <v>2508</v>
      </c>
      <c r="B34" s="1852"/>
      <c r="C34" s="1852"/>
      <c r="D34" s="1852"/>
      <c r="E34" s="1852"/>
      <c r="F34" s="1852"/>
      <c r="G34" s="1852"/>
      <c r="H34" s="1852"/>
      <c r="I34" s="1852"/>
      <c r="J34" s="1852"/>
      <c r="K34" s="1852"/>
      <c r="L34" s="1852"/>
      <c r="M34" s="1852"/>
      <c r="N34" s="1852"/>
      <c r="O34" s="1852"/>
      <c r="P34" s="1852"/>
      <c r="Q34" s="1852"/>
      <c r="R34" s="1852"/>
      <c r="S34" s="1852"/>
      <c r="T34" s="1852"/>
      <c r="U34" s="1852"/>
      <c r="V34" s="1852"/>
      <c r="W34" s="1852"/>
      <c r="X34" s="1852"/>
      <c r="Y34" s="1852"/>
      <c r="Z34" s="1852"/>
      <c r="AA34" s="1852"/>
      <c r="AB34" s="1852"/>
      <c r="AC34" s="1852"/>
      <c r="AD34" s="1852"/>
      <c r="AE34" s="1852"/>
      <c r="AF34" s="1852"/>
      <c r="AG34" s="1852"/>
      <c r="AH34" s="1852"/>
      <c r="AI34" s="1852"/>
      <c r="AJ34" s="1852"/>
      <c r="AK34" s="1852"/>
      <c r="AL34" s="1852"/>
      <c r="AM34" s="1852"/>
      <c r="AN34" s="1852"/>
      <c r="AO34" s="1852"/>
      <c r="AP34" s="1852"/>
      <c r="AQ34" s="1852"/>
      <c r="AR34" s="1852"/>
      <c r="AS34" s="1852"/>
      <c r="AT34" s="1852"/>
      <c r="AU34" s="20"/>
      <c r="AV34" s="20"/>
      <c r="AW34" s="20"/>
      <c r="AX34" s="20"/>
      <c r="AY34" s="20"/>
      <c r="AZ34" s="20"/>
    </row>
    <row r="35" spans="1:52" ht="13" customHeight="1">
      <c r="A35" s="1852"/>
      <c r="B35" s="1852"/>
      <c r="C35" s="1852"/>
      <c r="D35" s="1852"/>
      <c r="E35" s="1852"/>
      <c r="F35" s="1852"/>
      <c r="G35" s="1852"/>
      <c r="H35" s="1852"/>
      <c r="I35" s="1852"/>
      <c r="J35" s="1852"/>
      <c r="K35" s="1852"/>
      <c r="L35" s="1852"/>
      <c r="M35" s="1852"/>
      <c r="N35" s="1852"/>
      <c r="O35" s="1852"/>
      <c r="P35" s="1852"/>
      <c r="Q35" s="1852"/>
      <c r="R35" s="1852"/>
      <c r="S35" s="1852"/>
      <c r="T35" s="1852"/>
      <c r="U35" s="1852"/>
      <c r="V35" s="1852"/>
      <c r="W35" s="1852"/>
      <c r="X35" s="1852"/>
      <c r="Y35" s="1852"/>
      <c r="Z35" s="1852"/>
      <c r="AA35" s="1852"/>
      <c r="AB35" s="1852"/>
      <c r="AC35" s="1852"/>
      <c r="AD35" s="1852"/>
      <c r="AE35" s="1852"/>
      <c r="AF35" s="1852"/>
      <c r="AG35" s="1852"/>
      <c r="AH35" s="1852"/>
      <c r="AI35" s="1852"/>
      <c r="AJ35" s="1852"/>
      <c r="AK35" s="1852"/>
      <c r="AL35" s="1852"/>
      <c r="AM35" s="1852"/>
      <c r="AN35" s="1852"/>
      <c r="AO35" s="1852"/>
      <c r="AP35" s="1852"/>
      <c r="AQ35" s="1852"/>
      <c r="AR35" s="1852"/>
      <c r="AS35" s="1852"/>
      <c r="AT35" s="1852"/>
      <c r="AU35" s="20"/>
      <c r="AV35" s="20"/>
      <c r="AW35" s="20"/>
      <c r="AX35" s="20"/>
      <c r="AY35" s="20"/>
      <c r="AZ35" s="20"/>
    </row>
    <row r="36" spans="1:52" ht="13" customHeight="1">
      <c r="A36" s="1852"/>
      <c r="B36" s="1852"/>
      <c r="C36" s="1852"/>
      <c r="D36" s="1852"/>
      <c r="E36" s="1852"/>
      <c r="F36" s="1852"/>
      <c r="G36" s="1852"/>
      <c r="H36" s="1852"/>
      <c r="I36" s="1852"/>
      <c r="J36" s="1852"/>
      <c r="K36" s="1852"/>
      <c r="L36" s="1852"/>
      <c r="M36" s="1852"/>
      <c r="N36" s="1852"/>
      <c r="O36" s="1852"/>
      <c r="P36" s="1852"/>
      <c r="Q36" s="1852"/>
      <c r="R36" s="1852"/>
      <c r="S36" s="1852"/>
      <c r="T36" s="1852"/>
      <c r="U36" s="1852"/>
      <c r="V36" s="1852"/>
      <c r="W36" s="1852"/>
      <c r="X36" s="1852"/>
      <c r="Y36" s="1852"/>
      <c r="Z36" s="1852"/>
      <c r="AA36" s="1852"/>
      <c r="AB36" s="1852"/>
      <c r="AC36" s="1852"/>
      <c r="AD36" s="1852"/>
      <c r="AE36" s="1852"/>
      <c r="AF36" s="1852"/>
      <c r="AG36" s="1852"/>
      <c r="AH36" s="1852"/>
      <c r="AI36" s="1852"/>
      <c r="AJ36" s="1852"/>
      <c r="AK36" s="1852"/>
      <c r="AL36" s="1852"/>
      <c r="AM36" s="1852"/>
      <c r="AN36" s="1852"/>
      <c r="AO36" s="1852"/>
      <c r="AP36" s="1852"/>
      <c r="AQ36" s="1852"/>
      <c r="AR36" s="1852"/>
      <c r="AS36" s="1852"/>
      <c r="AT36" s="1852"/>
      <c r="AU36" s="20"/>
      <c r="AV36" s="20"/>
      <c r="AW36" s="20"/>
      <c r="AX36" s="20"/>
      <c r="AY36" s="20"/>
      <c r="AZ36" s="20"/>
    </row>
    <row r="37" spans="1:52" ht="13" customHeight="1">
      <c r="A37" s="1852"/>
      <c r="B37" s="1852"/>
      <c r="C37" s="1852"/>
      <c r="D37" s="1852"/>
      <c r="E37" s="1852"/>
      <c r="F37" s="1852"/>
      <c r="G37" s="1852"/>
      <c r="H37" s="1852"/>
      <c r="I37" s="1852"/>
      <c r="J37" s="1852"/>
      <c r="K37" s="1852"/>
      <c r="L37" s="1852"/>
      <c r="M37" s="1852"/>
      <c r="N37" s="1852"/>
      <c r="O37" s="1852"/>
      <c r="P37" s="1852"/>
      <c r="Q37" s="1852"/>
      <c r="R37" s="1852"/>
      <c r="S37" s="1852"/>
      <c r="T37" s="1852"/>
      <c r="U37" s="1852"/>
      <c r="V37" s="1852"/>
      <c r="W37" s="1852"/>
      <c r="X37" s="1852"/>
      <c r="Y37" s="1852"/>
      <c r="Z37" s="1852"/>
      <c r="AA37" s="1852"/>
      <c r="AB37" s="1852"/>
      <c r="AC37" s="1852"/>
      <c r="AD37" s="1852"/>
      <c r="AE37" s="1852"/>
      <c r="AF37" s="1852"/>
      <c r="AG37" s="1852"/>
      <c r="AH37" s="1852"/>
      <c r="AI37" s="1852"/>
      <c r="AJ37" s="1852"/>
      <c r="AK37" s="1852"/>
      <c r="AL37" s="1852"/>
      <c r="AM37" s="1852"/>
      <c r="AN37" s="1852"/>
      <c r="AO37" s="1852"/>
      <c r="AP37" s="1852"/>
      <c r="AQ37" s="1852"/>
      <c r="AR37" s="1852"/>
      <c r="AS37" s="1852"/>
      <c r="AT37" s="1852"/>
      <c r="AZ37" s="20"/>
    </row>
    <row r="38" spans="1:52" ht="13" customHeight="1">
      <c r="A38" s="3"/>
      <c r="AZ38" s="20"/>
    </row>
    <row r="39" spans="1:52" ht="13"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2" t="s">
        <v>2510</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3"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3"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3"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2515</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2516</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52" t="s">
        <v>2517</v>
      </c>
      <c r="B72" s="1852"/>
      <c r="C72" s="1852"/>
      <c r="D72" s="1852"/>
      <c r="E72" s="1852"/>
      <c r="F72" s="1852"/>
      <c r="G72" s="1852"/>
      <c r="H72" s="1852"/>
      <c r="I72" s="1852"/>
      <c r="J72" s="1852"/>
      <c r="K72" s="1852"/>
      <c r="L72" s="1852"/>
      <c r="M72" s="1852"/>
      <c r="N72" s="1852"/>
      <c r="O72" s="1852"/>
      <c r="P72" s="1852"/>
      <c r="Q72" s="1852"/>
      <c r="R72" s="1852"/>
      <c r="S72" s="1852"/>
      <c r="T72" s="1852"/>
      <c r="U72" s="1852"/>
      <c r="V72" s="1852"/>
      <c r="W72" s="1852"/>
      <c r="X72" s="1852"/>
      <c r="Y72" s="1852"/>
      <c r="Z72" s="1852"/>
      <c r="AA72" s="1852"/>
      <c r="AB72" s="1852"/>
      <c r="AC72" s="1852"/>
      <c r="AD72" s="1852"/>
      <c r="AE72" s="1852"/>
      <c r="AF72" s="1852"/>
      <c r="AG72" s="1852"/>
      <c r="AH72" s="1852"/>
      <c r="AI72" s="1852"/>
      <c r="AJ72" s="1852"/>
      <c r="AK72" s="1852"/>
      <c r="AL72" s="1852"/>
      <c r="AM72" s="1852"/>
      <c r="AN72" s="1852"/>
      <c r="AO72" s="1852"/>
      <c r="AP72" s="1852"/>
      <c r="AQ72" s="1852"/>
      <c r="AR72" s="1852"/>
      <c r="AS72" s="1852"/>
      <c r="AT72" s="1852"/>
      <c r="AU72" s="20"/>
      <c r="AV72" s="20"/>
      <c r="AW72" s="20"/>
      <c r="AX72" s="20"/>
      <c r="AY72" s="20"/>
      <c r="AZ72" s="20"/>
    </row>
    <row r="73" spans="1:52" ht="13" customHeight="1">
      <c r="A73" s="1852"/>
      <c r="B73" s="1852"/>
      <c r="C73" s="1852"/>
      <c r="D73" s="1852"/>
      <c r="E73" s="1852"/>
      <c r="F73" s="1852"/>
      <c r="G73" s="1852"/>
      <c r="H73" s="1852"/>
      <c r="I73" s="1852"/>
      <c r="J73" s="1852"/>
      <c r="K73" s="1852"/>
      <c r="L73" s="1852"/>
      <c r="M73" s="1852"/>
      <c r="N73" s="1852"/>
      <c r="O73" s="1852"/>
      <c r="P73" s="1852"/>
      <c r="Q73" s="1852"/>
      <c r="R73" s="1852"/>
      <c r="S73" s="1852"/>
      <c r="T73" s="1852"/>
      <c r="U73" s="1852"/>
      <c r="V73" s="1852"/>
      <c r="W73" s="1852"/>
      <c r="X73" s="1852"/>
      <c r="Y73" s="1852"/>
      <c r="Z73" s="1852"/>
      <c r="AA73" s="1852"/>
      <c r="AB73" s="1852"/>
      <c r="AC73" s="1852"/>
      <c r="AD73" s="1852"/>
      <c r="AE73" s="1852"/>
      <c r="AF73" s="1852"/>
      <c r="AG73" s="1852"/>
      <c r="AH73" s="1852"/>
      <c r="AI73" s="1852"/>
      <c r="AJ73" s="1852"/>
      <c r="AK73" s="1852"/>
      <c r="AL73" s="1852"/>
      <c r="AM73" s="1852"/>
      <c r="AN73" s="1852"/>
      <c r="AO73" s="1852"/>
      <c r="AP73" s="1852"/>
      <c r="AQ73" s="1852"/>
      <c r="AR73" s="1852"/>
      <c r="AS73" s="1852"/>
      <c r="AT73" s="1852"/>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2518</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2519</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1" t="s">
        <v>2522</v>
      </c>
      <c r="B89" s="1561"/>
      <c r="C89" s="1561"/>
      <c r="D89" s="1561"/>
      <c r="E89" s="1561"/>
      <c r="F89" s="1561"/>
      <c r="G89" s="1561"/>
      <c r="H89" s="1561"/>
      <c r="I89" s="1561"/>
      <c r="J89" s="1561"/>
      <c r="K89" s="1561"/>
      <c r="L89" s="1561"/>
      <c r="M89" s="1561"/>
      <c r="N89" s="1561"/>
      <c r="O89" s="1561"/>
      <c r="P89" s="1561"/>
      <c r="Q89" s="1561"/>
      <c r="R89" s="1561"/>
      <c r="S89" s="1561"/>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7"/>
      <c r="AV89" s="17"/>
      <c r="AW89" s="17"/>
      <c r="AX89" s="17"/>
      <c r="AY89" s="17"/>
      <c r="AZ89" s="20"/>
    </row>
    <row r="90" spans="1:52" ht="13" customHeight="1">
      <c r="A90" s="1561"/>
      <c r="B90" s="1561"/>
      <c r="C90" s="1561"/>
      <c r="D90" s="1561"/>
      <c r="E90" s="1561"/>
      <c r="F90" s="1561"/>
      <c r="G90" s="1561"/>
      <c r="H90" s="1561"/>
      <c r="I90" s="1561"/>
      <c r="J90" s="1561"/>
      <c r="K90" s="1561"/>
      <c r="L90" s="1561"/>
      <c r="M90" s="1561"/>
      <c r="N90" s="1561"/>
      <c r="O90" s="1561"/>
      <c r="P90" s="1561"/>
      <c r="Q90" s="1561"/>
      <c r="R90" s="1561"/>
      <c r="S90" s="1561"/>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2523</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2" t="s">
        <v>2524</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3"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3"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3"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2" t="s">
        <v>2525</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3"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1">
        <v>21</v>
      </c>
      <c r="H113" s="1551"/>
      <c r="I113" s="3" t="s">
        <v>182</v>
      </c>
      <c r="L113" s="1551" t="s">
        <v>2763</v>
      </c>
      <c r="M113" s="1551"/>
      <c r="N113" s="1551"/>
      <c r="O113" s="1551"/>
      <c r="P113" s="1571" t="s">
        <v>2527</v>
      </c>
      <c r="Q113" s="1571"/>
      <c r="R113" s="1571"/>
      <c r="S113" s="157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2" t="s">
        <v>484</v>
      </c>
      <c r="D115" s="1552"/>
      <c r="E115" s="1552"/>
      <c r="F115" s="1552"/>
      <c r="G115" s="1552"/>
      <c r="H115" s="1552"/>
      <c r="I115" s="1552"/>
      <c r="J115" s="1552"/>
      <c r="K115" s="155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551"/>
      <c r="Z117" s="1551"/>
      <c r="AA117" s="1551"/>
      <c r="AB117" s="1551"/>
      <c r="AC117" s="1551"/>
      <c r="AD117" s="1551"/>
      <c r="AE117" s="1551"/>
      <c r="AF117" s="1551"/>
      <c r="AG117" s="1551"/>
      <c r="AH117" s="1551"/>
      <c r="AI117" s="1551"/>
      <c r="AJ117" s="1551"/>
      <c r="AK117" s="1551"/>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1" t="s">
        <v>2654</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1" t="s">
        <v>2764</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72" t="s">
        <v>2643</v>
      </c>
      <c r="P153" s="1472"/>
      <c r="Q153" s="1472"/>
      <c r="R153" s="1472"/>
      <c r="S153" s="1472"/>
      <c r="T153" s="1472"/>
      <c r="U153" s="1472"/>
      <c r="V153" s="1472"/>
      <c r="W153" s="1472"/>
      <c r="X153" s="1472"/>
      <c r="Y153" s="1472"/>
      <c r="Z153" s="1472"/>
      <c r="AA153" s="1472"/>
      <c r="AB153" s="1472"/>
      <c r="AC153" s="1472"/>
      <c r="AD153" s="1472"/>
      <c r="AE153" s="1472"/>
      <c r="AF153" s="1472"/>
      <c r="AG153" s="1472"/>
      <c r="AH153" s="1472"/>
    </row>
    <row r="154" spans="1:72" ht="13" customHeight="1">
      <c r="D154" s="325" t="s">
        <v>441</v>
      </c>
      <c r="O154" s="1484" t="s">
        <v>2644</v>
      </c>
      <c r="P154" s="1484"/>
      <c r="Q154" s="1484"/>
      <c r="R154" s="1484"/>
      <c r="S154" s="1484"/>
      <c r="T154" s="1484"/>
      <c r="U154" s="1484"/>
      <c r="V154" s="1484"/>
      <c r="W154" s="1484"/>
      <c r="X154" s="1484"/>
      <c r="Y154" s="1484"/>
      <c r="Z154" s="1484"/>
      <c r="AA154" s="1484"/>
      <c r="AB154" s="1484"/>
      <c r="AC154" s="1484"/>
      <c r="AD154" s="1484"/>
      <c r="AE154" s="1484"/>
      <c r="AF154" s="1484"/>
      <c r="AG154" s="1484"/>
      <c r="AH154" s="1484"/>
    </row>
    <row r="155" spans="1:72" ht="13" customHeight="1">
      <c r="D155" s="8" t="s">
        <v>443</v>
      </c>
      <c r="F155" s="8"/>
      <c r="G155" s="8"/>
      <c r="H155" s="8"/>
      <c r="I155" s="8"/>
      <c r="J155" s="8"/>
      <c r="K155" s="8"/>
      <c r="L155" s="8"/>
      <c r="M155" s="8"/>
      <c r="N155" s="8"/>
      <c r="O155" s="1568" t="s">
        <v>442</v>
      </c>
      <c r="P155" s="1568"/>
      <c r="Q155" s="1568"/>
      <c r="R155" s="1568"/>
      <c r="S155" s="1568"/>
      <c r="T155" s="1568"/>
      <c r="U155" s="1568"/>
      <c r="V155" s="1568"/>
      <c r="W155" s="1568"/>
      <c r="X155" s="1568"/>
      <c r="Y155" s="1568"/>
      <c r="Z155" s="1568"/>
      <c r="AA155" s="1568"/>
      <c r="AB155" s="1568"/>
      <c r="AC155" s="1568"/>
      <c r="AD155" s="1568"/>
      <c r="AE155" s="1568"/>
      <c r="AF155" s="1568"/>
      <c r="AG155" s="1568"/>
      <c r="AH155" s="1568"/>
    </row>
    <row r="156" spans="1:72" ht="13" customHeight="1">
      <c r="D156" t="s">
        <v>314</v>
      </c>
      <c r="O156" s="1460" t="s">
        <v>2645</v>
      </c>
      <c r="P156" s="1460"/>
      <c r="Q156" s="1460"/>
      <c r="R156" s="1460"/>
      <c r="S156" s="1460"/>
      <c r="T156" s="1460"/>
      <c r="U156" s="1460"/>
      <c r="V156" s="1460"/>
      <c r="W156" s="1460"/>
      <c r="X156" s="1460"/>
      <c r="Y156" s="1460"/>
      <c r="Z156" s="1460"/>
      <c r="AA156" s="1460"/>
      <c r="AB156" s="1460"/>
      <c r="AC156" s="1460"/>
      <c r="AD156" s="1460"/>
      <c r="AE156" s="1460"/>
      <c r="AF156" s="1460"/>
      <c r="AG156" s="1460"/>
      <c r="AH156" s="1460"/>
      <c r="BT156" t="s">
        <v>308</v>
      </c>
    </row>
    <row r="157" spans="1:72" ht="13" customHeight="1">
      <c r="D157" t="s">
        <v>315</v>
      </c>
      <c r="O157" s="1472" t="s">
        <v>484</v>
      </c>
      <c r="P157" s="1459"/>
      <c r="Q157" s="1459"/>
      <c r="R157" s="1459"/>
      <c r="S157" s="1459"/>
      <c r="T157" s="1459"/>
      <c r="U157" s="1459"/>
      <c r="V157" s="1459"/>
      <c r="W157" s="1459"/>
      <c r="X157" s="1459"/>
      <c r="Y157" s="8"/>
      <c r="Z157" s="8"/>
      <c r="AA157" s="8"/>
      <c r="AB157" s="8"/>
      <c r="AC157" s="8"/>
      <c r="AD157" s="8"/>
      <c r="AE157" s="8"/>
      <c r="AF157" s="8"/>
      <c r="BN157" s="23" t="s">
        <v>644</v>
      </c>
      <c r="BT157" t="s">
        <v>484</v>
      </c>
    </row>
    <row r="158" spans="1:72" ht="13" customHeight="1">
      <c r="D158" t="s">
        <v>316</v>
      </c>
      <c r="O158" s="1569">
        <v>94501</v>
      </c>
      <c r="P158" s="1569"/>
      <c r="Q158" s="1569"/>
      <c r="R158" s="1569"/>
      <c r="S158" s="9"/>
      <c r="T158" s="9"/>
      <c r="U158" s="9"/>
      <c r="V158" s="9"/>
      <c r="W158" s="9"/>
      <c r="X158" s="9"/>
      <c r="Y158" s="9"/>
      <c r="Z158" s="9"/>
      <c r="AA158" s="9"/>
      <c r="AB158" s="9"/>
      <c r="AC158" s="9"/>
      <c r="AD158" s="9"/>
      <c r="AE158" s="9"/>
      <c r="AF158" s="9"/>
      <c r="BN158" s="23" t="s">
        <v>645</v>
      </c>
      <c r="BT158" t="s">
        <v>485</v>
      </c>
    </row>
    <row r="159" spans="1:72" ht="13" customHeight="1">
      <c r="D159" t="s">
        <v>317</v>
      </c>
      <c r="O159" s="1557" t="s">
        <v>2646</v>
      </c>
      <c r="P159" s="1557"/>
      <c r="Q159" s="1557"/>
      <c r="R159" s="1557"/>
      <c r="S159" s="1557"/>
      <c r="T159" s="1557"/>
      <c r="V159" s="97" t="s">
        <v>272</v>
      </c>
      <c r="W159" s="1570"/>
      <c r="X159" s="1570"/>
      <c r="Y159" s="10"/>
      <c r="Z159" s="10"/>
      <c r="AA159" s="10"/>
      <c r="AB159" s="10"/>
      <c r="AC159" s="10"/>
      <c r="AD159" s="10"/>
      <c r="AE159" s="10"/>
      <c r="AF159" s="10"/>
      <c r="BN159" s="23" t="s">
        <v>339</v>
      </c>
      <c r="BT159" t="s">
        <v>486</v>
      </c>
    </row>
    <row r="160" spans="1:72" ht="13" customHeight="1">
      <c r="D160" t="s">
        <v>318</v>
      </c>
      <c r="O160" s="1557"/>
      <c r="P160" s="1557"/>
      <c r="Q160" s="1557"/>
      <c r="R160" s="1557"/>
      <c r="S160" s="1557"/>
      <c r="T160" s="1557"/>
      <c r="U160" s="10"/>
      <c r="V160" s="10"/>
      <c r="W160" s="10"/>
      <c r="X160" s="10"/>
      <c r="Y160" s="10"/>
      <c r="Z160" s="10"/>
      <c r="AA160" s="10"/>
      <c r="AB160" s="10"/>
      <c r="AC160" s="10"/>
      <c r="AD160" s="10"/>
      <c r="AE160" s="10"/>
      <c r="AF160" s="10"/>
      <c r="BN160" s="23" t="s">
        <v>668</v>
      </c>
      <c r="BT160" t="s">
        <v>487</v>
      </c>
    </row>
    <row r="161" spans="1:72" ht="13" customHeight="1">
      <c r="D161" t="s">
        <v>319</v>
      </c>
      <c r="O161" s="1540" t="s">
        <v>2647</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553" t="s">
        <v>2622</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735" t="s">
        <v>547</v>
      </c>
      <c r="B169" s="1735"/>
      <c r="C169" s="1735"/>
      <c r="D169" s="1735"/>
      <c r="E169" s="1735"/>
      <c r="F169" s="1735"/>
      <c r="G169" s="1735"/>
      <c r="H169" s="1735"/>
      <c r="I169" s="1735"/>
      <c r="J169" s="1735"/>
      <c r="K169" s="1735"/>
      <c r="L169" s="1735"/>
      <c r="M169" s="1735"/>
      <c r="N169" s="1735"/>
      <c r="O169" s="1735"/>
      <c r="P169" s="1735"/>
      <c r="Q169" s="1735"/>
      <c r="R169" s="1735"/>
      <c r="S169" s="1735"/>
      <c r="T169" s="1735"/>
      <c r="U169" s="1735"/>
      <c r="V169" s="1735"/>
      <c r="W169" s="1735"/>
      <c r="X169" s="1735"/>
      <c r="Y169" s="1735"/>
      <c r="Z169" s="1735"/>
      <c r="AA169" s="1735"/>
      <c r="AB169" s="1735"/>
      <c r="AC169" s="1735"/>
      <c r="AD169" s="1735"/>
      <c r="AE169" s="1735"/>
      <c r="AF169" s="1735"/>
      <c r="AG169" s="1735"/>
      <c r="AH169" s="1735"/>
      <c r="AI169" s="1735"/>
      <c r="AJ169" s="1735"/>
      <c r="AK169" s="1735"/>
      <c r="AL169" s="1735"/>
      <c r="AM169" s="1735"/>
      <c r="AN169" s="1735"/>
      <c r="AO169" s="1735"/>
      <c r="AP169" s="1735"/>
      <c r="AQ169" s="1735"/>
      <c r="AR169" s="1735"/>
      <c r="AS169" s="1735"/>
      <c r="AT169" s="1735"/>
      <c r="AU169" s="95"/>
      <c r="AV169" s="95"/>
      <c r="AW169" s="95"/>
      <c r="AX169" s="95"/>
      <c r="AY169" s="95"/>
      <c r="BN169" s="23" t="s">
        <v>681</v>
      </c>
      <c r="BT169" t="s">
        <v>496</v>
      </c>
    </row>
    <row r="170" spans="1:72" ht="13" customHeight="1">
      <c r="A170" s="1735"/>
      <c r="B170" s="1735"/>
      <c r="C170" s="1735"/>
      <c r="D170" s="1735"/>
      <c r="E170" s="1735"/>
      <c r="F170" s="1735"/>
      <c r="G170" s="1735"/>
      <c r="H170" s="1735"/>
      <c r="I170" s="1735"/>
      <c r="J170" s="1735"/>
      <c r="K170" s="1735"/>
      <c r="L170" s="1735"/>
      <c r="M170" s="1735"/>
      <c r="N170" s="1735"/>
      <c r="O170" s="1735"/>
      <c r="P170" s="1735"/>
      <c r="Q170" s="1735"/>
      <c r="R170" s="1735"/>
      <c r="S170" s="1735"/>
      <c r="T170" s="1735"/>
      <c r="U170" s="1735"/>
      <c r="V170" s="1735"/>
      <c r="W170" s="1735"/>
      <c r="X170" s="1735"/>
      <c r="Y170" s="1735"/>
      <c r="Z170" s="1735"/>
      <c r="AA170" s="1735"/>
      <c r="AB170" s="1735"/>
      <c r="AC170" s="1735"/>
      <c r="AD170" s="1735"/>
      <c r="AE170" s="1735"/>
      <c r="AF170" s="1735"/>
      <c r="AG170" s="1735"/>
      <c r="AH170" s="1735"/>
      <c r="AI170" s="1735"/>
      <c r="AJ170" s="1735"/>
      <c r="AK170" s="1735"/>
      <c r="AL170" s="1735"/>
      <c r="AM170" s="1735"/>
      <c r="AN170" s="1735"/>
      <c r="AO170" s="1735"/>
      <c r="AP170" s="1735"/>
      <c r="AQ170" s="1735"/>
      <c r="AR170" s="1735"/>
      <c r="AS170" s="1735"/>
      <c r="AT170" s="1735"/>
      <c r="AU170" s="95"/>
      <c r="AV170" s="95"/>
      <c r="AW170" s="95"/>
      <c r="AX170" s="95"/>
      <c r="AY170" s="95"/>
      <c r="BN170" s="23" t="s">
        <v>682</v>
      </c>
      <c r="BT170" t="s">
        <v>497</v>
      </c>
    </row>
    <row r="171" spans="1:72" ht="13" customHeight="1">
      <c r="BN171" s="23" t="s">
        <v>212</v>
      </c>
      <c r="BT171" t="s">
        <v>498</v>
      </c>
    </row>
    <row r="172" spans="1:72" ht="13" customHeight="1">
      <c r="A172" s="2" t="s">
        <v>320</v>
      </c>
      <c r="C172" s="2" t="s">
        <v>321</v>
      </c>
      <c r="BN172" s="23" t="s">
        <v>214</v>
      </c>
      <c r="BT172" t="s">
        <v>499</v>
      </c>
    </row>
    <row r="173" spans="1:72" ht="13" customHeight="1">
      <c r="C173" s="24"/>
      <c r="D173" t="s">
        <v>322</v>
      </c>
      <c r="J173" s="1567" t="s">
        <v>371</v>
      </c>
      <c r="K173" s="1567"/>
      <c r="L173" s="1567"/>
      <c r="M173" s="1567"/>
      <c r="N173" s="1567"/>
      <c r="O173" s="1567"/>
      <c r="P173" s="1567"/>
      <c r="Q173" s="1567"/>
      <c r="R173" s="1567"/>
      <c r="S173" s="1567"/>
      <c r="U173" s="25"/>
      <c r="X173" s="25"/>
      <c r="BB173" s="3" t="s">
        <v>308</v>
      </c>
      <c r="BN173" s="23" t="s">
        <v>215</v>
      </c>
      <c r="BT173" t="s">
        <v>500</v>
      </c>
    </row>
    <row r="174" spans="1:72" ht="13" customHeight="1">
      <c r="C174" s="24"/>
      <c r="D174" s="3" t="s">
        <v>1308</v>
      </c>
      <c r="J174" s="1460" t="s">
        <v>2419</v>
      </c>
      <c r="K174" s="1460"/>
      <c r="L174" s="1460"/>
      <c r="M174" s="1460"/>
      <c r="N174" s="1460"/>
      <c r="O174" s="1460"/>
      <c r="P174" s="1460"/>
      <c r="Q174" s="1460"/>
      <c r="R174" s="1460"/>
      <c r="S174" s="1460"/>
      <c r="T174" s="1460"/>
      <c r="U174" s="1460"/>
      <c r="V174" s="1460"/>
      <c r="W174" s="1460"/>
      <c r="X174" s="1460"/>
      <c r="Y174" s="1460"/>
      <c r="Z174" s="1460"/>
      <c r="AA174" s="1460"/>
      <c r="AB174" s="1460"/>
      <c r="BB174" t="s">
        <v>2272</v>
      </c>
      <c r="BN174" s="23" t="s">
        <v>217</v>
      </c>
      <c r="BT174" t="s">
        <v>501</v>
      </c>
    </row>
    <row r="175" spans="1:72" ht="13" customHeight="1">
      <c r="C175" s="8"/>
      <c r="D175" s="3" t="s">
        <v>323</v>
      </c>
      <c r="O175" s="27"/>
      <c r="U175" s="1437" t="s">
        <v>553</v>
      </c>
      <c r="V175" s="1437"/>
      <c r="BB175" t="s">
        <v>2236</v>
      </c>
      <c r="BN175" s="23" t="s">
        <v>218</v>
      </c>
      <c r="BT175" t="s">
        <v>502</v>
      </c>
    </row>
    <row r="176" spans="1:72" ht="13" customHeight="1">
      <c r="C176" s="8"/>
      <c r="D176" s="26"/>
      <c r="E176" t="s">
        <v>305</v>
      </c>
      <c r="O176" s="27"/>
      <c r="P176" t="s">
        <v>2394</v>
      </c>
      <c r="T176" s="27" t="s">
        <v>306</v>
      </c>
      <c r="U176" s="1556">
        <v>24</v>
      </c>
      <c r="V176" s="1556"/>
      <c r="W176" s="1" t="s">
        <v>307</v>
      </c>
      <c r="X176" s="1562">
        <v>446</v>
      </c>
      <c r="Y176" s="1562"/>
      <c r="BB176" t="s">
        <v>2273</v>
      </c>
      <c r="BN176" s="23" t="s">
        <v>220</v>
      </c>
      <c r="BT176" t="s">
        <v>503</v>
      </c>
    </row>
    <row r="177" spans="1:72" ht="13" customHeight="1">
      <c r="C177" s="24"/>
      <c r="D177" t="s">
        <v>250</v>
      </c>
      <c r="R177" s="1437" t="s">
        <v>677</v>
      </c>
      <c r="S177" s="1437"/>
      <c r="BB177" t="s">
        <v>2576</v>
      </c>
      <c r="BN177" s="23" t="s">
        <v>221</v>
      </c>
      <c r="BT177" t="s">
        <v>504</v>
      </c>
    </row>
    <row r="178" spans="1:72" ht="13" customHeight="1">
      <c r="C178" s="24"/>
      <c r="D178" s="3" t="s">
        <v>1309</v>
      </c>
      <c r="AA178" t="s">
        <v>2394</v>
      </c>
      <c r="AE178" s="27" t="s">
        <v>306</v>
      </c>
      <c r="AF178" s="1573"/>
      <c r="AG178" s="1573"/>
      <c r="AH178" s="1" t="s">
        <v>307</v>
      </c>
      <c r="AI178" s="1537"/>
      <c r="AJ178" s="1537"/>
      <c r="AK178" s="1537"/>
      <c r="BB178" t="s">
        <v>2577</v>
      </c>
      <c r="BN178" s="23" t="s">
        <v>222</v>
      </c>
      <c r="BT178" t="s">
        <v>53</v>
      </c>
    </row>
    <row r="179" spans="1:72" ht="13" customHeight="1">
      <c r="C179" s="24"/>
      <c r="BN179" s="23" t="s">
        <v>223</v>
      </c>
      <c r="BT179" t="s">
        <v>54</v>
      </c>
    </row>
    <row r="180" spans="1:72" ht="13" customHeight="1">
      <c r="C180" s="24"/>
      <c r="D180" t="s">
        <v>2395</v>
      </c>
      <c r="X180" s="1437" t="s">
        <v>677</v>
      </c>
      <c r="Y180" s="1437"/>
      <c r="BN180" s="23" t="s">
        <v>225</v>
      </c>
      <c r="BT180" t="s">
        <v>55</v>
      </c>
    </row>
    <row r="181" spans="1:72" ht="13" customHeight="1">
      <c r="C181" s="8"/>
      <c r="E181" s="4" t="s">
        <v>995</v>
      </c>
      <c r="BN181" s="23" t="s">
        <v>226</v>
      </c>
      <c r="BT181" t="s">
        <v>56</v>
      </c>
    </row>
    <row r="182" spans="1:72" ht="13" customHeight="1">
      <c r="C182" s="564"/>
      <c r="BN182" s="23" t="s">
        <v>227</v>
      </c>
      <c r="BT182" t="s">
        <v>60</v>
      </c>
    </row>
    <row r="183" spans="1:72" ht="13" customHeight="1">
      <c r="A183" s="2" t="s">
        <v>584</v>
      </c>
      <c r="C183" s="2" t="s">
        <v>585</v>
      </c>
      <c r="BN183" s="23" t="s">
        <v>229</v>
      </c>
      <c r="BT183" t="s">
        <v>61</v>
      </c>
    </row>
    <row r="184" spans="1:72" ht="13" customHeight="1">
      <c r="C184" s="21"/>
      <c r="D184" t="s">
        <v>586</v>
      </c>
      <c r="I184" s="1516" t="str">
        <f>H18</f>
        <v>North Housing PSH II</v>
      </c>
      <c r="J184" s="1516"/>
      <c r="K184" s="1516"/>
      <c r="L184" s="1516"/>
      <c r="M184" s="1516"/>
      <c r="N184" s="1516"/>
      <c r="O184" s="1516"/>
      <c r="P184" s="1516"/>
      <c r="Q184" s="1516"/>
      <c r="R184" s="1516"/>
      <c r="S184" s="1516"/>
      <c r="T184" s="1516"/>
      <c r="U184" s="1516"/>
      <c r="V184" s="1516"/>
      <c r="W184" s="1516"/>
      <c r="X184" s="1516"/>
      <c r="Y184" s="1516"/>
      <c r="Z184" s="1516"/>
      <c r="AA184" s="1516"/>
      <c r="AB184" s="1516"/>
      <c r="AC184" s="1516"/>
      <c r="AD184" s="1516"/>
      <c r="AE184" s="1516"/>
      <c r="BC184" t="s">
        <v>595</v>
      </c>
      <c r="BN184" s="23" t="s">
        <v>231</v>
      </c>
      <c r="BT184" t="s">
        <v>62</v>
      </c>
    </row>
    <row r="185" spans="1:72" ht="13" customHeight="1">
      <c r="C185" s="21"/>
      <c r="D185" t="s">
        <v>587</v>
      </c>
      <c r="I185" s="1443" t="s">
        <v>2649</v>
      </c>
      <c r="J185" s="1443"/>
      <c r="K185" s="1443"/>
      <c r="L185" s="1443"/>
      <c r="M185" s="1443"/>
      <c r="N185" s="1443"/>
      <c r="O185" s="1443"/>
      <c r="P185" s="1443"/>
      <c r="Q185" s="1443"/>
      <c r="R185" s="1443"/>
      <c r="S185" s="1443"/>
      <c r="T185" s="1443"/>
      <c r="U185" s="1443"/>
      <c r="V185" s="1443"/>
      <c r="W185" s="1443"/>
      <c r="X185" s="1443"/>
      <c r="Y185" s="1443"/>
      <c r="Z185" s="1443"/>
      <c r="AA185" s="1443"/>
      <c r="AB185" s="1443"/>
      <c r="AC185" s="1443"/>
      <c r="AD185" s="1443"/>
      <c r="AE185" s="1443"/>
      <c r="BC185" t="s">
        <v>596</v>
      </c>
      <c r="BN185" s="23" t="s">
        <v>232</v>
      </c>
      <c r="BT185" t="s">
        <v>63</v>
      </c>
    </row>
    <row r="186" spans="1:72" ht="13" customHeight="1">
      <c r="C186" s="21"/>
      <c r="E186" t="s">
        <v>168</v>
      </c>
      <c r="BN186" s="23" t="s">
        <v>233</v>
      </c>
      <c r="BT186" t="s">
        <v>64</v>
      </c>
    </row>
    <row r="187" spans="1:72" ht="13" customHeight="1">
      <c r="C187" s="21"/>
      <c r="E187" s="1479" t="s">
        <v>2648</v>
      </c>
      <c r="F187" s="1479"/>
      <c r="G187" s="1479"/>
      <c r="H187" s="1479"/>
      <c r="I187" s="1479"/>
      <c r="J187" s="1479"/>
      <c r="K187" s="1479"/>
      <c r="L187" s="1479"/>
      <c r="M187" s="1479"/>
      <c r="N187" s="1479"/>
      <c r="O187" s="1479"/>
      <c r="P187" s="1479"/>
      <c r="Q187" s="1479"/>
      <c r="R187" s="1479"/>
      <c r="S187" s="1479"/>
      <c r="T187" s="1479"/>
      <c r="U187" s="1479"/>
      <c r="V187" s="1479"/>
      <c r="W187" s="1479"/>
      <c r="X187" s="1479"/>
      <c r="Y187" s="1479"/>
      <c r="Z187" s="1479"/>
      <c r="AA187" s="1479"/>
      <c r="AB187" s="1479"/>
      <c r="AC187" s="1479"/>
      <c r="AD187" s="1479"/>
      <c r="AE187" s="1479"/>
      <c r="BN187" s="23" t="s">
        <v>234</v>
      </c>
      <c r="BT187" t="s">
        <v>65</v>
      </c>
    </row>
    <row r="188" spans="1:72" ht="13" customHeight="1">
      <c r="C188" s="21"/>
      <c r="E188" s="1480"/>
      <c r="F188" s="1480"/>
      <c r="G188" s="1480"/>
      <c r="H188" s="1480"/>
      <c r="I188" s="1480"/>
      <c r="J188" s="1480"/>
      <c r="K188" s="1480"/>
      <c r="L188" s="1480"/>
      <c r="M188" s="1480"/>
      <c r="N188" s="1480"/>
      <c r="O188" s="1480"/>
      <c r="P188" s="1480"/>
      <c r="Q188" s="1480"/>
      <c r="R188" s="1480"/>
      <c r="S188" s="1480"/>
      <c r="T188" s="1480"/>
      <c r="U188" s="1480"/>
      <c r="V188" s="1480"/>
      <c r="W188" s="1480"/>
      <c r="X188" s="1480"/>
      <c r="Y188" s="1480"/>
      <c r="Z188" s="1480"/>
      <c r="AA188" s="1480"/>
      <c r="AB188" s="1480"/>
      <c r="AC188" s="1480"/>
      <c r="AD188" s="1480"/>
      <c r="AE188" s="1480"/>
      <c r="BN188" s="23" t="s">
        <v>236</v>
      </c>
      <c r="BT188" t="s">
        <v>66</v>
      </c>
    </row>
    <row r="189" spans="1:72" ht="13" customHeight="1">
      <c r="C189" s="21"/>
      <c r="D189" t="s">
        <v>588</v>
      </c>
      <c r="I189" s="1460" t="s">
        <v>484</v>
      </c>
      <c r="J189" s="1460"/>
      <c r="K189" s="1460"/>
      <c r="L189" s="1460"/>
      <c r="M189" s="1460"/>
      <c r="N189" s="1460"/>
      <c r="O189" s="1460"/>
      <c r="P189" s="1460"/>
      <c r="Q189" t="s">
        <v>590</v>
      </c>
      <c r="T189" s="1460" t="s">
        <v>484</v>
      </c>
      <c r="U189" s="1460"/>
      <c r="V189" s="1460"/>
      <c r="W189" s="1460"/>
      <c r="X189" s="1460"/>
      <c r="Y189" s="1460"/>
      <c r="Z189" s="1460"/>
      <c r="AA189" s="1460"/>
      <c r="AB189" s="1460"/>
      <c r="AC189" s="1460"/>
      <c r="AD189" s="1460"/>
      <c r="AE189" s="1460"/>
      <c r="BC189" t="s">
        <v>308</v>
      </c>
      <c r="BH189" s="3" t="s">
        <v>599</v>
      </c>
      <c r="BN189" s="23" t="s">
        <v>237</v>
      </c>
      <c r="BT189" t="s">
        <v>67</v>
      </c>
    </row>
    <row r="190" spans="1:72" ht="13" customHeight="1">
      <c r="C190" s="21"/>
      <c r="D190" t="s">
        <v>591</v>
      </c>
      <c r="I190" s="1443">
        <v>94501</v>
      </c>
      <c r="J190" s="1443"/>
      <c r="K190" s="1443"/>
      <c r="L190" s="1443"/>
      <c r="M190" s="1443"/>
      <c r="N190" s="1443"/>
      <c r="O190" t="s">
        <v>593</v>
      </c>
      <c r="T190" s="1574">
        <v>4287</v>
      </c>
      <c r="U190" s="1574"/>
      <c r="V190" s="1574"/>
      <c r="W190" s="1574"/>
      <c r="X190" s="1574"/>
      <c r="Y190" s="1574"/>
      <c r="Z190" s="1574"/>
      <c r="AA190" s="1574"/>
      <c r="AB190" s="1574"/>
      <c r="AC190" s="1574"/>
      <c r="AD190" s="1574"/>
      <c r="AE190" s="1574"/>
      <c r="BC190" t="s">
        <v>1065</v>
      </c>
      <c r="BH190" t="s">
        <v>1065</v>
      </c>
      <c r="BN190" s="23" t="s">
        <v>643</v>
      </c>
      <c r="BT190" t="s">
        <v>68</v>
      </c>
    </row>
    <row r="191" spans="1:72" ht="13" customHeight="1">
      <c r="C191" s="21"/>
      <c r="D191" t="s">
        <v>470</v>
      </c>
      <c r="N191" s="1479" t="s">
        <v>2650</v>
      </c>
      <c r="O191" s="1479"/>
      <c r="P191" s="1479"/>
      <c r="Q191" s="1479"/>
      <c r="R191" s="1479"/>
      <c r="S191" s="1479"/>
      <c r="T191" s="1479"/>
      <c r="U191" s="1479"/>
      <c r="V191" s="1479"/>
      <c r="W191" s="1479"/>
      <c r="X191" s="1479"/>
      <c r="Y191" s="1479"/>
      <c r="Z191" s="1479"/>
      <c r="AA191" s="1479"/>
      <c r="AB191" s="1479"/>
      <c r="AC191" s="1479"/>
      <c r="AD191" s="1479"/>
      <c r="AE191" s="1479"/>
      <c r="BC191" t="s">
        <v>1064</v>
      </c>
      <c r="BH191" t="s">
        <v>1064</v>
      </c>
      <c r="BN191" s="23" t="s">
        <v>697</v>
      </c>
      <c r="BT191" t="s">
        <v>736</v>
      </c>
    </row>
    <row r="192" spans="1:72" ht="13" customHeight="1">
      <c r="C192" s="21"/>
      <c r="M192" s="40"/>
      <c r="N192" s="1480"/>
      <c r="O192" s="1480"/>
      <c r="P192" s="1480"/>
      <c r="Q192" s="1480"/>
      <c r="R192" s="1480"/>
      <c r="S192" s="1480"/>
      <c r="T192" s="1480"/>
      <c r="U192" s="1480"/>
      <c r="V192" s="1480"/>
      <c r="W192" s="1480"/>
      <c r="X192" s="1480"/>
      <c r="Y192" s="1480"/>
      <c r="Z192" s="1480"/>
      <c r="AA192" s="1480"/>
      <c r="AB192" s="1480"/>
      <c r="AC192" s="1480"/>
      <c r="AD192" s="1480"/>
      <c r="AE192" s="1480"/>
      <c r="BC192" t="s">
        <v>1067</v>
      </c>
      <c r="BH192" s="3" t="s">
        <v>1473</v>
      </c>
      <c r="BN192" s="23" t="s">
        <v>698</v>
      </c>
      <c r="BT192" t="s">
        <v>737</v>
      </c>
    </row>
    <row r="193" spans="1:74" ht="13" customHeight="1">
      <c r="C193" s="21"/>
      <c r="D193" t="s">
        <v>2396</v>
      </c>
      <c r="M193" s="40"/>
      <c r="N193" s="928"/>
      <c r="O193" s="928"/>
      <c r="P193" s="928"/>
      <c r="Q193" s="928"/>
      <c r="R193" s="928"/>
      <c r="S193" s="928"/>
      <c r="T193" s="1560" t="s">
        <v>2236</v>
      </c>
      <c r="U193" s="1560"/>
      <c r="V193" s="1560"/>
      <c r="W193" s="1560"/>
      <c r="X193" s="1560"/>
      <c r="Y193" s="1560"/>
      <c r="Z193" s="1560"/>
      <c r="AA193" s="1560"/>
      <c r="AB193" s="1560"/>
      <c r="AC193" s="1560"/>
      <c r="AD193" s="1560"/>
      <c r="AE193" s="1560"/>
      <c r="AF193" s="1560"/>
      <c r="AG193" s="1560"/>
      <c r="AH193" s="1560"/>
      <c r="AI193" s="1560"/>
      <c r="BC193" t="s">
        <v>1066</v>
      </c>
      <c r="BH193" s="3" t="s">
        <v>1740</v>
      </c>
      <c r="BN193" s="23" t="s">
        <v>699</v>
      </c>
      <c r="BT193" t="s">
        <v>738</v>
      </c>
    </row>
    <row r="194" spans="1:74" ht="13" customHeight="1">
      <c r="C194" s="21"/>
      <c r="D194" s="3" t="s">
        <v>2578</v>
      </c>
      <c r="M194" s="40"/>
      <c r="N194" s="928"/>
      <c r="O194" s="928"/>
      <c r="P194" s="928"/>
      <c r="Q194" s="928"/>
      <c r="R194" s="928"/>
      <c r="S194" s="928"/>
      <c r="AH194" s="1437" t="s">
        <v>677</v>
      </c>
      <c r="AI194" s="1437"/>
      <c r="BC194" t="s">
        <v>1473</v>
      </c>
      <c r="BN194" s="23" t="s">
        <v>700</v>
      </c>
      <c r="BT194" t="s">
        <v>739</v>
      </c>
    </row>
    <row r="195" spans="1:74" ht="13" customHeight="1">
      <c r="C195" s="21"/>
      <c r="D195" t="s">
        <v>332</v>
      </c>
      <c r="T195" s="1437" t="s">
        <v>677</v>
      </c>
      <c r="U195" s="1437"/>
      <c r="W195" t="s">
        <v>693</v>
      </c>
      <c r="AH195" s="1437">
        <v>13</v>
      </c>
      <c r="AI195" s="1437"/>
      <c r="BC195" t="s">
        <v>2046</v>
      </c>
      <c r="BN195" s="23" t="s">
        <v>243</v>
      </c>
      <c r="BT195" t="s">
        <v>740</v>
      </c>
    </row>
    <row r="196" spans="1:74" ht="13" customHeight="1">
      <c r="C196" s="21"/>
      <c r="D196" t="s">
        <v>386</v>
      </c>
      <c r="T196" s="1420" t="s">
        <v>677</v>
      </c>
      <c r="U196" s="1420"/>
      <c r="W196" t="s">
        <v>694</v>
      </c>
      <c r="AH196" s="1437">
        <v>18</v>
      </c>
      <c r="AI196" s="1437"/>
      <c r="BN196" s="23" t="s">
        <v>244</v>
      </c>
      <c r="BT196" t="s">
        <v>69</v>
      </c>
    </row>
    <row r="197" spans="1:74" ht="13" customHeight="1">
      <c r="C197" s="21"/>
      <c r="D197" s="3" t="s">
        <v>169</v>
      </c>
      <c r="T197" s="1420" t="s">
        <v>677</v>
      </c>
      <c r="U197" s="1420"/>
      <c r="W197" t="s">
        <v>695</v>
      </c>
      <c r="AH197" s="1437">
        <v>9</v>
      </c>
      <c r="AI197" s="1437"/>
      <c r="BC197" t="s">
        <v>308</v>
      </c>
      <c r="BN197" s="23" t="s">
        <v>245</v>
      </c>
      <c r="BT197" t="s">
        <v>70</v>
      </c>
    </row>
    <row r="198" spans="1:74" s="14" customFormat="1" ht="13" customHeight="1">
      <c r="A198"/>
      <c r="B198"/>
      <c r="C198" s="21"/>
      <c r="D198" s="3" t="s">
        <v>1763</v>
      </c>
      <c r="E198"/>
      <c r="F198"/>
      <c r="G198"/>
      <c r="H198"/>
      <c r="I198"/>
      <c r="J198"/>
      <c r="K198"/>
      <c r="L198"/>
      <c r="M198"/>
      <c r="N198"/>
      <c r="O198"/>
      <c r="P198"/>
      <c r="Q198"/>
      <c r="R198"/>
      <c r="S198"/>
      <c r="T198" s="1420" t="s">
        <v>599</v>
      </c>
      <c r="U198" s="142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 customHeight="1">
      <c r="A199"/>
      <c r="B199"/>
      <c r="C199" s="21"/>
      <c r="D199" s="118" t="s">
        <v>2528</v>
      </c>
      <c r="E199"/>
      <c r="F199"/>
      <c r="G199"/>
      <c r="H199"/>
      <c r="I199"/>
      <c r="J199"/>
      <c r="K199"/>
      <c r="L199"/>
      <c r="M199"/>
      <c r="N199"/>
      <c r="O199"/>
      <c r="P199"/>
      <c r="Q199"/>
      <c r="R199"/>
      <c r="S199"/>
      <c r="T199"/>
      <c r="U199"/>
      <c r="V199"/>
      <c r="W199"/>
      <c r="Z199" s="1437" t="s">
        <v>677</v>
      </c>
      <c r="AA199" s="1437"/>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 customHeight="1">
      <c r="C202" s="21"/>
      <c r="D202" s="546"/>
      <c r="BC202" t="s">
        <v>1091</v>
      </c>
      <c r="BD202" s="469"/>
      <c r="BN202" s="23" t="s">
        <v>710</v>
      </c>
      <c r="BO202" s="14"/>
      <c r="BP202" s="32"/>
      <c r="BQ202" s="32"/>
      <c r="BR202" s="32"/>
      <c r="BS202" s="32"/>
      <c r="BT202" s="32" t="s">
        <v>196</v>
      </c>
    </row>
    <row r="203" spans="1:74" ht="13" customHeight="1">
      <c r="A203" s="2" t="s">
        <v>594</v>
      </c>
      <c r="C203" s="2" t="s">
        <v>136</v>
      </c>
      <c r="BC203" t="s">
        <v>1092</v>
      </c>
      <c r="BN203" s="23" t="s">
        <v>711</v>
      </c>
      <c r="BO203" s="14"/>
      <c r="BP203" s="32"/>
      <c r="BQ203" s="32"/>
      <c r="BR203" s="32"/>
      <c r="BS203" s="32"/>
      <c r="BT203" s="32" t="s">
        <v>197</v>
      </c>
    </row>
    <row r="204" spans="1:74" ht="13" customHeight="1">
      <c r="D204" s="1516" t="s">
        <v>385</v>
      </c>
      <c r="E204" s="1516"/>
      <c r="F204" s="1516"/>
      <c r="G204" s="1516"/>
      <c r="H204" s="1516"/>
      <c r="I204" s="1516"/>
      <c r="J204" s="1516"/>
      <c r="K204" s="1516"/>
      <c r="L204" s="1516"/>
      <c r="M204" s="1516"/>
      <c r="P204" s="1554">
        <f ca="1">M26</f>
        <v>1382786</v>
      </c>
      <c r="Q204" s="1555"/>
      <c r="R204" s="1555"/>
      <c r="S204" s="1555"/>
      <c r="T204" s="1555"/>
      <c r="U204" s="1555"/>
      <c r="BC204" t="s">
        <v>618</v>
      </c>
      <c r="BN204" s="23" t="s">
        <v>712</v>
      </c>
      <c r="BT204" s="32" t="s">
        <v>198</v>
      </c>
      <c r="BU204" s="14"/>
    </row>
    <row r="205" spans="1:74" ht="13" customHeight="1">
      <c r="C205" s="21"/>
      <c r="D205" s="1572" t="s">
        <v>1355</v>
      </c>
      <c r="E205" s="1516"/>
      <c r="F205" s="1516"/>
      <c r="G205" s="1516"/>
      <c r="H205" s="1516"/>
      <c r="I205" s="1516"/>
      <c r="J205" s="1516"/>
      <c r="K205" s="1516"/>
      <c r="L205" s="1516"/>
      <c r="M205" s="1516"/>
      <c r="P205" s="1555">
        <f ca="1">M27</f>
        <v>9200000</v>
      </c>
      <c r="Q205" s="1555"/>
      <c r="R205" s="1555"/>
      <c r="S205" s="1555"/>
      <c r="T205" s="1555"/>
      <c r="U205" s="1555"/>
      <c r="V205" s="28"/>
      <c r="W205" s="3" t="s">
        <v>1908</v>
      </c>
      <c r="Z205" s="1564" t="s">
        <v>2626</v>
      </c>
      <c r="AA205" s="1564"/>
      <c r="AB205" s="1564"/>
      <c r="AC205" s="1564"/>
      <c r="AD205" s="1564"/>
      <c r="AE205" s="1564"/>
      <c r="AF205" s="1564"/>
      <c r="AG205" s="1564"/>
      <c r="AH205" s="1564"/>
      <c r="AI205" s="1564"/>
      <c r="AJ205" s="1564"/>
      <c r="AK205" s="1564"/>
      <c r="AL205" s="1564"/>
      <c r="AM205" s="1564"/>
      <c r="AN205" s="1564"/>
      <c r="AP205" s="1305"/>
      <c r="AQ205" s="1305"/>
      <c r="BC205" t="s">
        <v>1050</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3" customHeight="1">
      <c r="A207" s="2" t="s">
        <v>597</v>
      </c>
      <c r="C207" s="2" t="s">
        <v>559</v>
      </c>
      <c r="BC207" s="3" t="s">
        <v>2568</v>
      </c>
      <c r="BN207" s="23" t="s">
        <v>45</v>
      </c>
      <c r="BT207" s="32" t="s">
        <v>200</v>
      </c>
    </row>
    <row r="208" spans="1:74" ht="13" customHeight="1">
      <c r="C208" s="21"/>
      <c r="D208" s="1459" t="s">
        <v>2651</v>
      </c>
      <c r="E208" s="1459"/>
      <c r="F208" s="1459"/>
      <c r="G208" s="1459"/>
      <c r="H208" s="1459"/>
      <c r="I208" s="1459"/>
      <c r="J208" s="1459"/>
      <c r="K208" s="1459"/>
      <c r="L208" s="1459"/>
      <c r="M208" s="1459"/>
      <c r="BC208" t="s">
        <v>1094</v>
      </c>
      <c r="BN208" s="23" t="s">
        <v>46</v>
      </c>
      <c r="BT208" s="32" t="s">
        <v>201</v>
      </c>
    </row>
    <row r="209" spans="1:72" ht="13" customHeight="1">
      <c r="BC209" t="s">
        <v>667</v>
      </c>
      <c r="BN209" s="23" t="s">
        <v>47</v>
      </c>
      <c r="BT209" s="32" t="s">
        <v>202</v>
      </c>
    </row>
    <row r="210" spans="1:72" ht="13" customHeight="1">
      <c r="A210" s="2" t="s">
        <v>598</v>
      </c>
      <c r="C210" s="2" t="s">
        <v>388</v>
      </c>
      <c r="BN210" s="23" t="s">
        <v>48</v>
      </c>
      <c r="BT210" s="32" t="s">
        <v>203</v>
      </c>
    </row>
    <row r="211" spans="1:72" ht="13" customHeight="1">
      <c r="C211" s="21"/>
      <c r="D211" s="1459" t="s">
        <v>1067</v>
      </c>
      <c r="E211" s="1459"/>
      <c r="F211" s="1459"/>
      <c r="G211" s="1459"/>
      <c r="H211" s="1459"/>
      <c r="I211" s="1459"/>
      <c r="J211" s="1459"/>
      <c r="K211" s="1459"/>
      <c r="L211" s="1459"/>
      <c r="M211" s="1459"/>
      <c r="BN211" s="23" t="s">
        <v>129</v>
      </c>
      <c r="BT211" s="32" t="s">
        <v>130</v>
      </c>
    </row>
    <row r="212" spans="1:72" ht="13" customHeight="1">
      <c r="C212" s="21"/>
      <c r="D212" t="s">
        <v>1352</v>
      </c>
      <c r="Y212" s="1437">
        <v>46</v>
      </c>
      <c r="Z212" s="1437"/>
      <c r="AB212" s="1558">
        <f>IFERROR(Y212/AG440,"")</f>
        <v>1</v>
      </c>
      <c r="AC212" s="1559"/>
      <c r="BC212" t="s">
        <v>308</v>
      </c>
      <c r="BI212" t="s">
        <v>1290</v>
      </c>
      <c r="BN212" s="23" t="s">
        <v>49</v>
      </c>
      <c r="BT212" s="32" t="s">
        <v>204</v>
      </c>
    </row>
    <row r="213" spans="1:72" ht="13" customHeight="1">
      <c r="D213" s="1189" t="s">
        <v>1739</v>
      </c>
      <c r="BC213" t="s">
        <v>534</v>
      </c>
      <c r="BI213" t="s">
        <v>2626</v>
      </c>
      <c r="BN213" s="23" t="s">
        <v>50</v>
      </c>
      <c r="BT213" s="32" t="s">
        <v>205</v>
      </c>
    </row>
    <row r="214" spans="1:72" ht="13" customHeight="1">
      <c r="D214" s="1549" t="s">
        <v>599</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538</v>
      </c>
      <c r="BI214" t="s">
        <v>2632</v>
      </c>
      <c r="BN214" s="23" t="s">
        <v>327</v>
      </c>
      <c r="BT214" s="32" t="s">
        <v>206</v>
      </c>
    </row>
    <row r="215" spans="1:72" ht="13" customHeight="1">
      <c r="D215" s="3" t="s">
        <v>1764</v>
      </c>
      <c r="Z215" s="40"/>
      <c r="AB215" s="1485"/>
      <c r="AC215" s="1485"/>
      <c r="AD215" s="1485"/>
      <c r="AE215" s="1485"/>
      <c r="AF215" s="1485"/>
      <c r="AG215" s="1485"/>
      <c r="AH215" s="1485"/>
      <c r="AI215" s="1485"/>
      <c r="AJ215" s="1485"/>
      <c r="AK215" s="1485"/>
      <c r="AL215" s="1485"/>
      <c r="AM215" s="21"/>
      <c r="AN215" s="21"/>
      <c r="AO215" s="21"/>
      <c r="AP215" s="21"/>
      <c r="AQ215" s="21"/>
      <c r="AR215" s="21"/>
      <c r="AS215" s="21"/>
      <c r="AT215" s="21"/>
      <c r="AU215" s="21"/>
      <c r="AV215" s="21"/>
      <c r="AW215" s="21"/>
      <c r="AX215" s="21"/>
      <c r="AY215" s="21"/>
      <c r="BC215" t="s">
        <v>535</v>
      </c>
      <c r="BI215" s="3" t="s">
        <v>2638</v>
      </c>
    </row>
    <row r="216" spans="1:72" ht="13" customHeight="1">
      <c r="D216" s="3" t="s">
        <v>1762</v>
      </c>
      <c r="Z216" s="40"/>
      <c r="AB216" s="1485"/>
      <c r="AC216" s="1485"/>
      <c r="AD216" s="1485"/>
      <c r="AE216" s="1485"/>
      <c r="AF216" s="1485"/>
      <c r="AG216" s="1485"/>
      <c r="AH216" s="1485"/>
      <c r="AI216" s="1485"/>
      <c r="AJ216" s="1485"/>
      <c r="AK216" s="1485"/>
      <c r="AL216" s="1485"/>
      <c r="AM216" s="21"/>
      <c r="AN216" s="21"/>
      <c r="AO216" s="21"/>
      <c r="AP216" s="21"/>
      <c r="AQ216" s="21"/>
      <c r="AR216" s="21"/>
      <c r="AS216" s="21"/>
      <c r="AT216" s="21"/>
      <c r="AU216" s="21"/>
      <c r="AV216" s="21"/>
      <c r="AW216" s="21"/>
      <c r="AX216" s="21"/>
      <c r="AY216" s="21"/>
      <c r="BC216" t="s">
        <v>574</v>
      </c>
      <c r="BI216" s="3" t="s">
        <v>2627</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59" t="s">
        <v>1092</v>
      </c>
      <c r="E220" s="1459"/>
      <c r="F220" s="1459"/>
      <c r="G220" s="1459"/>
      <c r="H220" s="1459"/>
      <c r="I220" s="1459"/>
      <c r="J220" s="1459"/>
      <c r="K220" s="1459"/>
      <c r="L220" s="1459"/>
      <c r="M220" s="1459"/>
      <c r="N220" s="1459"/>
      <c r="O220" s="1459"/>
      <c r="P220" s="1459"/>
      <c r="Q220" s="1459"/>
      <c r="R220" s="1459"/>
      <c r="S220" s="1459"/>
      <c r="T220" s="1459"/>
      <c r="U220" s="1459"/>
      <c r="V220" s="1459"/>
      <c r="W220" s="1459"/>
      <c r="X220" s="1459"/>
      <c r="Y220" s="1459"/>
      <c r="Z220" s="1459"/>
      <c r="BA220" s="3"/>
      <c r="BC220" t="s">
        <v>301</v>
      </c>
    </row>
    <row r="221" spans="1:72" ht="13" customHeight="1">
      <c r="A221" s="2"/>
      <c r="B221" s="14"/>
      <c r="C221" s="2"/>
      <c r="AU221" s="95"/>
      <c r="AV221" s="95"/>
      <c r="AW221" s="95"/>
      <c r="AX221" s="95"/>
      <c r="AY221" s="95"/>
      <c r="BA221" s="3"/>
    </row>
    <row r="222" spans="1:72" ht="13" customHeight="1">
      <c r="A222" s="1735" t="s">
        <v>548</v>
      </c>
      <c r="B222" s="1735"/>
      <c r="C222" s="1735"/>
      <c r="D222" s="1735"/>
      <c r="E222" s="1735"/>
      <c r="F222" s="1735"/>
      <c r="G222" s="1735"/>
      <c r="H222" s="1735"/>
      <c r="I222" s="1735"/>
      <c r="J222" s="1735"/>
      <c r="K222" s="1735"/>
      <c r="L222" s="1735"/>
      <c r="M222" s="1735"/>
      <c r="N222" s="1735"/>
      <c r="O222" s="1735"/>
      <c r="P222" s="1735"/>
      <c r="Q222" s="1735"/>
      <c r="R222" s="1735"/>
      <c r="S222" s="1735"/>
      <c r="T222" s="1735"/>
      <c r="U222" s="1735"/>
      <c r="V222" s="1735"/>
      <c r="W222" s="1735"/>
      <c r="X222" s="1735"/>
      <c r="Y222" s="1735"/>
      <c r="Z222" s="1735"/>
      <c r="AA222" s="1735"/>
      <c r="AB222" s="1735"/>
      <c r="AC222" s="1735"/>
      <c r="AD222" s="1735"/>
      <c r="AE222" s="1735"/>
      <c r="AF222" s="1735"/>
      <c r="AG222" s="1735"/>
      <c r="AH222" s="1735"/>
      <c r="AI222" s="1735"/>
      <c r="AJ222" s="1735"/>
      <c r="AK222" s="1735"/>
      <c r="AL222" s="1735"/>
      <c r="AM222" s="1735"/>
      <c r="AN222" s="1735"/>
      <c r="AO222" s="1735"/>
      <c r="AP222" s="1735"/>
      <c r="AQ222" s="1735"/>
      <c r="AR222" s="1735"/>
      <c r="AS222" s="1735"/>
      <c r="AT222" s="1735"/>
      <c r="AU222" s="95"/>
      <c r="AV222" s="95"/>
      <c r="AW222" s="95"/>
      <c r="AX222" s="95"/>
      <c r="AY222" s="95"/>
      <c r="AZ222" s="3"/>
      <c r="BA222" s="3"/>
      <c r="BP222" s="34"/>
    </row>
    <row r="223" spans="1:72" ht="13" customHeight="1">
      <c r="A223" s="1735"/>
      <c r="B223" s="1735"/>
      <c r="C223" s="1735"/>
      <c r="D223" s="1735"/>
      <c r="E223" s="1735"/>
      <c r="F223" s="1735"/>
      <c r="G223" s="1735"/>
      <c r="H223" s="1735"/>
      <c r="I223" s="1735"/>
      <c r="J223" s="1735"/>
      <c r="K223" s="1735"/>
      <c r="L223" s="1735"/>
      <c r="M223" s="1735"/>
      <c r="N223" s="1735"/>
      <c r="O223" s="1735"/>
      <c r="P223" s="1735"/>
      <c r="Q223" s="1735"/>
      <c r="R223" s="1735"/>
      <c r="S223" s="1735"/>
      <c r="T223" s="1735"/>
      <c r="U223" s="1735"/>
      <c r="V223" s="1735"/>
      <c r="W223" s="1735"/>
      <c r="X223" s="1735"/>
      <c r="Y223" s="1735"/>
      <c r="Z223" s="1735"/>
      <c r="AA223" s="1735"/>
      <c r="AB223" s="1735"/>
      <c r="AC223" s="1735"/>
      <c r="AD223" s="1735"/>
      <c r="AE223" s="1735"/>
      <c r="AF223" s="1735"/>
      <c r="AG223" s="1735"/>
      <c r="AH223" s="1735"/>
      <c r="AI223" s="1735"/>
      <c r="AJ223" s="1735"/>
      <c r="AK223" s="1735"/>
      <c r="AL223" s="1735"/>
      <c r="AM223" s="1735"/>
      <c r="AN223" s="1735"/>
      <c r="AO223" s="1735"/>
      <c r="AP223" s="1735"/>
      <c r="AQ223" s="1735"/>
      <c r="AR223" s="1735"/>
      <c r="AS223" s="1735"/>
      <c r="AT223" s="1735"/>
      <c r="BA223" s="3"/>
      <c r="BB223" s="3"/>
      <c r="BQ223" s="34"/>
    </row>
    <row r="224" spans="1:72" ht="13" customHeight="1">
      <c r="AZ224" s="4"/>
      <c r="BA224" s="3"/>
      <c r="BB224" s="3"/>
      <c r="BQ224" s="34"/>
    </row>
    <row r="225" spans="1:69" ht="13"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7" t="s">
        <v>599</v>
      </c>
      <c r="AJ226" s="1437"/>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7" t="s">
        <v>553</v>
      </c>
      <c r="AJ227" s="1437"/>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7" t="s">
        <v>553</v>
      </c>
      <c r="AJ228" s="1437"/>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7" t="s">
        <v>599</v>
      </c>
      <c r="AJ229" s="1437"/>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563" t="str">
        <f>H16</f>
        <v xml:space="preserve">Island City Development </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59" t="s">
        <v>2652</v>
      </c>
      <c r="N233" s="1459"/>
      <c r="O233" s="1459"/>
      <c r="P233" s="1459"/>
      <c r="Q233" s="1459"/>
      <c r="R233" s="1459"/>
      <c r="S233" s="1459"/>
      <c r="T233" s="1459"/>
      <c r="U233" s="1459"/>
      <c r="V233" s="1459"/>
      <c r="W233" s="1459"/>
      <c r="X233" s="1459"/>
      <c r="Y233" s="1459"/>
      <c r="Z233" s="1459"/>
      <c r="AA233" s="1459"/>
      <c r="AB233" s="1459"/>
      <c r="AC233" s="1459"/>
      <c r="AD233" s="1459"/>
      <c r="AE233" s="1459"/>
      <c r="BB233" s="219" t="s">
        <v>546</v>
      </c>
      <c r="BG233" s="259">
        <f>IF(AND(AND($M$249="nonprofit",$M$257="for profit",$M$265="nonprofit")),2,0)</f>
        <v>0</v>
      </c>
    </row>
    <row r="234" spans="1:69" ht="13" customHeight="1">
      <c r="D234" s="4" t="s">
        <v>588</v>
      </c>
      <c r="E234" s="4"/>
      <c r="M234" s="1459" t="s">
        <v>484</v>
      </c>
      <c r="N234" s="1459"/>
      <c r="O234" s="1459"/>
      <c r="P234" s="1459"/>
      <c r="Q234" s="1459"/>
      <c r="R234" s="1459"/>
      <c r="S234" s="1459"/>
      <c r="T234" s="1459"/>
      <c r="V234" s="33" t="s">
        <v>86</v>
      </c>
      <c r="W234" s="1484" t="s">
        <v>2653</v>
      </c>
      <c r="X234" s="1438"/>
      <c r="Y234" s="4" t="s">
        <v>591</v>
      </c>
      <c r="AC234" s="1459">
        <v>94501</v>
      </c>
      <c r="AD234" s="1459"/>
      <c r="AE234" s="1459"/>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72" t="s">
        <v>2654</v>
      </c>
      <c r="N235" s="1459"/>
      <c r="O235" s="1459"/>
      <c r="P235" s="1459"/>
      <c r="Q235" s="1459"/>
      <c r="R235" s="1459"/>
      <c r="S235" s="1459"/>
      <c r="T235" s="1459"/>
      <c r="U235" s="1459"/>
      <c r="V235" s="1459"/>
      <c r="W235" s="1459"/>
      <c r="X235" s="1459"/>
      <c r="Y235" s="1459"/>
      <c r="Z235" s="1459"/>
      <c r="AA235" s="1459"/>
      <c r="AB235" s="1459"/>
      <c r="AC235" s="1459"/>
      <c r="AD235" s="1459"/>
      <c r="AE235" s="1459"/>
      <c r="AI235" s="4"/>
      <c r="AJ235" s="4"/>
      <c r="AK235" s="4"/>
      <c r="AL235" s="4"/>
      <c r="AM235" s="4"/>
      <c r="AN235" s="4"/>
      <c r="AO235" s="4"/>
      <c r="AP235" s="4"/>
      <c r="AQ235" s="4"/>
      <c r="AR235" s="4"/>
      <c r="AS235" s="4"/>
      <c r="AT235" s="4"/>
      <c r="BB235" s="219"/>
      <c r="BG235" s="218"/>
    </row>
    <row r="236" spans="1:69" ht="13" customHeight="1">
      <c r="D236" s="4" t="s">
        <v>88</v>
      </c>
      <c r="E236" s="4"/>
      <c r="F236" s="4"/>
      <c r="M236" s="1550" t="s">
        <v>2655</v>
      </c>
      <c r="N236" s="1475"/>
      <c r="O236" s="1475"/>
      <c r="P236" s="1475"/>
      <c r="Q236" s="1475"/>
      <c r="R236" s="1475"/>
      <c r="S236" s="4" t="s">
        <v>207</v>
      </c>
      <c r="T236" s="4"/>
      <c r="U236" s="1438"/>
      <c r="V236" s="1438"/>
      <c r="W236" s="1438"/>
      <c r="X236" s="4" t="s">
        <v>89</v>
      </c>
      <c r="Z236" s="1475" t="s">
        <v>2656</v>
      </c>
      <c r="AA236" s="1475"/>
      <c r="AB236" s="1475"/>
      <c r="AC236" s="1475"/>
      <c r="AD236" s="1475"/>
      <c r="AE236" s="1475"/>
      <c r="AU236" s="4"/>
      <c r="AV236" s="4"/>
      <c r="AW236" s="4"/>
      <c r="AX236" s="4"/>
      <c r="AY236" s="4"/>
      <c r="AZ236" s="4"/>
      <c r="BB236" s="218" t="s">
        <v>545</v>
      </c>
      <c r="BG236" s="259">
        <f>IF(AND(AND($M$249="nonprofit",$M$257="nonprofit",$M$265="(select one)")),1,0)</f>
        <v>0</v>
      </c>
    </row>
    <row r="237" spans="1:69" ht="13" customHeight="1">
      <c r="D237" s="4" t="s">
        <v>90</v>
      </c>
      <c r="E237" s="4"/>
      <c r="F237" s="4"/>
      <c r="M237" s="1540" t="s">
        <v>2657</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43" t="s">
        <v>377</v>
      </c>
      <c r="N238" s="1443"/>
      <c r="O238" s="1443"/>
      <c r="P238" s="1443"/>
      <c r="Q238" s="1443"/>
      <c r="R238" s="1443"/>
      <c r="S238" s="1443"/>
      <c r="T238" s="1443"/>
      <c r="U238" s="218" t="s">
        <v>921</v>
      </c>
      <c r="V238" s="218"/>
      <c r="W238" s="218"/>
      <c r="X238" s="218"/>
      <c r="Y238" s="218"/>
      <c r="Z238" s="218"/>
      <c r="AA238" s="1544" t="s">
        <v>2658</v>
      </c>
      <c r="AB238" s="1544"/>
      <c r="AC238" s="1544"/>
      <c r="AD238" s="1544"/>
      <c r="AE238" s="1544"/>
      <c r="AF238" s="1544"/>
      <c r="AG238" s="1544"/>
      <c r="AH238" s="1544"/>
      <c r="AI238" s="1544"/>
      <c r="AJ238" s="1544"/>
      <c r="AK238" s="1544"/>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3" customHeight="1">
      <c r="D239" t="s">
        <v>539</v>
      </c>
      <c r="M239" s="1460"/>
      <c r="N239" s="1460"/>
      <c r="O239" s="1460"/>
      <c r="P239" s="1460"/>
      <c r="Q239" s="1460"/>
      <c r="R239" s="1460"/>
      <c r="S239" s="1460"/>
      <c r="T239" s="1460"/>
      <c r="U239" s="1460"/>
      <c r="V239" s="1460"/>
      <c r="W239" s="1460"/>
      <c r="X239" s="1460"/>
      <c r="Y239" s="1460"/>
      <c r="Z239" s="1460"/>
      <c r="AA239" s="1460"/>
      <c r="AB239" s="1460"/>
      <c r="AC239" s="1460"/>
      <c r="AD239" s="1460"/>
      <c r="AE239" s="146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542" t="s">
        <v>2659</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2660</v>
      </c>
      <c r="AG243" s="1542"/>
      <c r="AH243" s="1542"/>
      <c r="AI243" s="1542"/>
      <c r="AJ243" s="1542"/>
      <c r="AK243" s="1542"/>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59" t="s">
        <v>2652</v>
      </c>
      <c r="N244" s="1459"/>
      <c r="O244" s="1459"/>
      <c r="P244" s="1459"/>
      <c r="Q244" s="1459"/>
      <c r="R244" s="1459"/>
      <c r="S244" s="1459"/>
      <c r="T244" s="1459"/>
      <c r="U244" s="1459"/>
      <c r="V244" s="1459"/>
      <c r="W244" s="1459"/>
      <c r="X244" s="1459"/>
      <c r="Y244" s="1459"/>
      <c r="Z244" s="1459"/>
      <c r="AA244" s="1459"/>
      <c r="AB244" s="1459"/>
      <c r="AC244" s="1459"/>
      <c r="AD244" s="1459"/>
      <c r="AE244" s="1459"/>
      <c r="AF244" s="3" t="s">
        <v>1285</v>
      </c>
      <c r="AL244" s="4"/>
      <c r="AM244" s="4"/>
      <c r="AN244" s="4"/>
      <c r="AO244" s="4"/>
      <c r="AP244" s="4"/>
      <c r="AQ244" s="4"/>
      <c r="AR244" s="4"/>
      <c r="AS244" s="4"/>
      <c r="AT244" s="4"/>
      <c r="BB244" t="s">
        <v>308</v>
      </c>
      <c r="BG244">
        <v>1</v>
      </c>
      <c r="BH244" t="s">
        <v>542</v>
      </c>
    </row>
    <row r="245" spans="1:71" ht="13" customHeight="1">
      <c r="A245" s="19"/>
      <c r="B245" s="4"/>
      <c r="C245" s="4"/>
      <c r="D245" s="4" t="s">
        <v>588</v>
      </c>
      <c r="E245" s="4"/>
      <c r="M245" s="1459" t="s">
        <v>484</v>
      </c>
      <c r="N245" s="1459"/>
      <c r="O245" s="1459"/>
      <c r="P245" s="1459"/>
      <c r="Q245" s="1459"/>
      <c r="R245" s="1459"/>
      <c r="S245" s="1459"/>
      <c r="T245" s="1459"/>
      <c r="V245" s="33" t="s">
        <v>86</v>
      </c>
      <c r="W245" s="1484" t="s">
        <v>2653</v>
      </c>
      <c r="X245" s="1438"/>
      <c r="Y245" s="4" t="s">
        <v>591</v>
      </c>
      <c r="AC245" s="1459">
        <v>94501</v>
      </c>
      <c r="AD245" s="1459"/>
      <c r="AE245" s="1459"/>
      <c r="AF245" s="3" t="s">
        <v>1286</v>
      </c>
      <c r="AU245" s="4"/>
      <c r="AV245" s="4"/>
      <c r="AW245" s="4"/>
      <c r="AX245" s="4"/>
      <c r="AY245" s="4"/>
      <c r="BB245" s="4" t="s">
        <v>281</v>
      </c>
      <c r="BG245">
        <v>2</v>
      </c>
      <c r="BH245" t="s">
        <v>574</v>
      </c>
      <c r="BO245" s="257" t="str">
        <f>VLOOKUP(BG243,BG244:BH247,2,FALSE)</f>
        <v>Nonprofit</v>
      </c>
    </row>
    <row r="246" spans="1:71" ht="13" customHeight="1">
      <c r="A246" s="19"/>
      <c r="B246" s="4"/>
      <c r="C246" s="4"/>
      <c r="D246" s="4" t="s">
        <v>87</v>
      </c>
      <c r="E246" s="4"/>
      <c r="F246" s="4"/>
      <c r="G246" s="4"/>
      <c r="H246" s="4"/>
      <c r="I246" s="4"/>
      <c r="J246" s="4"/>
      <c r="K246" s="4"/>
      <c r="L246" s="19"/>
      <c r="M246" s="1459" t="s">
        <v>2654</v>
      </c>
      <c r="N246" s="1459"/>
      <c r="O246" s="1459"/>
      <c r="P246" s="1459"/>
      <c r="Q246" s="1459"/>
      <c r="R246" s="1459"/>
      <c r="S246" s="1459"/>
      <c r="T246" s="1459"/>
      <c r="U246" s="1459"/>
      <c r="V246" s="1459"/>
      <c r="W246" s="1459"/>
      <c r="X246" s="1459"/>
      <c r="Y246" s="1459"/>
      <c r="Z246" s="1459"/>
      <c r="AA246" s="1459"/>
      <c r="AB246" s="1459"/>
      <c r="AC246" s="1459"/>
      <c r="AD246" s="1459"/>
      <c r="AE246" s="1459"/>
      <c r="AH246" s="1538">
        <v>0.01</v>
      </c>
      <c r="AI246" s="1538"/>
      <c r="AJ246" s="1538"/>
      <c r="AK246" s="1538"/>
      <c r="AL246" s="4"/>
      <c r="AM246" s="4"/>
      <c r="AN246" s="4"/>
      <c r="AO246" s="4"/>
      <c r="AP246" s="4"/>
      <c r="AQ246" s="4"/>
      <c r="AR246" s="4"/>
      <c r="AS246" s="4"/>
      <c r="AT246" s="4"/>
      <c r="BB246" s="4" t="s">
        <v>173</v>
      </c>
      <c r="BG246">
        <v>3</v>
      </c>
      <c r="BH246" t="s">
        <v>544</v>
      </c>
      <c r="BN246" s="34"/>
    </row>
    <row r="247" spans="1:71" ht="13" customHeight="1">
      <c r="A247" s="19"/>
      <c r="B247" s="4"/>
      <c r="C247" s="4"/>
      <c r="D247" s="4" t="s">
        <v>88</v>
      </c>
      <c r="E247" s="4"/>
      <c r="F247" s="4"/>
      <c r="M247" s="1475" t="s">
        <v>2655</v>
      </c>
      <c r="N247" s="1475"/>
      <c r="O247" s="1475"/>
      <c r="P247" s="1475"/>
      <c r="Q247" s="1475"/>
      <c r="R247" s="1475"/>
      <c r="S247" s="4" t="s">
        <v>207</v>
      </c>
      <c r="T247" s="4"/>
      <c r="U247" s="1438"/>
      <c r="V247" s="1438"/>
      <c r="W247" s="1438"/>
      <c r="X247" s="4" t="s">
        <v>89</v>
      </c>
      <c r="Z247" s="1475" t="s">
        <v>2656</v>
      </c>
      <c r="AA247" s="1475"/>
      <c r="AB247" s="1475"/>
      <c r="AC247" s="1475"/>
      <c r="AD247" s="1475"/>
      <c r="AE247" s="1475"/>
      <c r="AU247" s="4"/>
      <c r="AV247" s="4"/>
      <c r="AW247" s="4"/>
      <c r="AX247" s="4"/>
      <c r="AY247" s="4"/>
      <c r="BG247">
        <v>0</v>
      </c>
      <c r="BH247" s="3"/>
      <c r="BN247" s="34"/>
    </row>
    <row r="248" spans="1:71" ht="13" customHeight="1">
      <c r="A248" s="19"/>
      <c r="B248" s="4"/>
      <c r="C248" s="4"/>
      <c r="D248" s="4" t="s">
        <v>90</v>
      </c>
      <c r="E248" s="4"/>
      <c r="F248" s="4"/>
      <c r="M248" s="1540" t="s">
        <v>2657</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43" t="s">
        <v>542</v>
      </c>
      <c r="N249" s="1443"/>
      <c r="O249" s="1443"/>
      <c r="P249" s="1443"/>
      <c r="Q249" s="1443"/>
      <c r="R249" s="1443"/>
      <c r="S249" s="1443"/>
      <c r="T249" s="1443"/>
      <c r="U249" s="218" t="s">
        <v>921</v>
      </c>
      <c r="V249" s="218"/>
      <c r="W249" s="218"/>
      <c r="X249" s="218"/>
      <c r="Y249" s="218"/>
      <c r="Z249" s="218"/>
      <c r="AA249" s="1543" t="s">
        <v>2641</v>
      </c>
      <c r="AB249" s="1544"/>
      <c r="AC249" s="1544"/>
      <c r="AD249" s="1544"/>
      <c r="AE249" s="1544"/>
      <c r="AF249" s="1544"/>
      <c r="AG249" s="1544"/>
      <c r="AH249" s="1544"/>
      <c r="AI249" s="1544"/>
      <c r="AJ249" s="1544"/>
      <c r="AK249" s="1544"/>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542" t="s">
        <v>599</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308</v>
      </c>
      <c r="AG251" s="1542"/>
      <c r="AH251" s="1542"/>
      <c r="AI251" s="1542"/>
      <c r="AJ251" s="1542"/>
      <c r="AK251" s="1542"/>
      <c r="AU251" s="4"/>
      <c r="AV251" s="4"/>
      <c r="AW251" s="4"/>
      <c r="AX251" s="4"/>
      <c r="AY251" s="4"/>
      <c r="BN251" s="34"/>
    </row>
    <row r="252" spans="1:71" ht="13" customHeight="1">
      <c r="A252" s="19"/>
      <c r="B252" s="4"/>
      <c r="C252" s="4"/>
      <c r="D252" s="4" t="s">
        <v>85</v>
      </c>
      <c r="E252" s="4"/>
      <c r="F252" s="4"/>
      <c r="G252" s="4"/>
      <c r="H252" s="4"/>
      <c r="I252" s="4"/>
      <c r="J252" s="4"/>
      <c r="K252" s="4"/>
      <c r="L252" s="4"/>
      <c r="M252" s="1459"/>
      <c r="N252" s="1459"/>
      <c r="O252" s="1459"/>
      <c r="P252" s="1459"/>
      <c r="Q252" s="1459"/>
      <c r="R252" s="1459"/>
      <c r="S252" s="1459"/>
      <c r="T252" s="1459"/>
      <c r="U252" s="1459"/>
      <c r="V252" s="1459"/>
      <c r="W252" s="1459"/>
      <c r="X252" s="1459"/>
      <c r="Y252" s="1459"/>
      <c r="Z252" s="1459"/>
      <c r="AA252" s="1459"/>
      <c r="AB252" s="1459"/>
      <c r="AC252" s="1459"/>
      <c r="AD252" s="1459"/>
      <c r="AE252" s="1459"/>
      <c r="AF252" s="3" t="s">
        <v>1285</v>
      </c>
      <c r="AL252" s="4"/>
      <c r="AM252" s="4"/>
      <c r="AN252" s="4"/>
      <c r="AO252" s="4"/>
      <c r="AP252" s="4"/>
      <c r="AQ252" s="4"/>
      <c r="AR252" s="4"/>
      <c r="AS252" s="4"/>
      <c r="AT252" s="4"/>
      <c r="BN252" s="34"/>
    </row>
    <row r="253" spans="1:71" ht="13" customHeight="1">
      <c r="A253" s="19"/>
      <c r="B253" s="4"/>
      <c r="C253" s="4"/>
      <c r="D253" s="4" t="s">
        <v>588</v>
      </c>
      <c r="E253" s="4"/>
      <c r="M253" s="1459"/>
      <c r="N253" s="1459"/>
      <c r="O253" s="1459"/>
      <c r="P253" s="1459"/>
      <c r="Q253" s="1459"/>
      <c r="R253" s="1459"/>
      <c r="S253" s="1459"/>
      <c r="T253" s="1459"/>
      <c r="V253" s="33" t="s">
        <v>86</v>
      </c>
      <c r="W253" s="1438"/>
      <c r="X253" s="1438"/>
      <c r="Y253" s="4" t="s">
        <v>591</v>
      </c>
      <c r="AC253" s="1459"/>
      <c r="AD253" s="1459"/>
      <c r="AE253" s="1459"/>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59"/>
      <c r="N254" s="1459"/>
      <c r="O254" s="1459"/>
      <c r="P254" s="1459"/>
      <c r="Q254" s="1459"/>
      <c r="R254" s="1459"/>
      <c r="S254" s="1459"/>
      <c r="T254" s="1459"/>
      <c r="U254" s="1459"/>
      <c r="V254" s="1459"/>
      <c r="W254" s="1459"/>
      <c r="X254" s="1459"/>
      <c r="Y254" s="1459"/>
      <c r="Z254" s="1459"/>
      <c r="AA254" s="1459"/>
      <c r="AB254" s="1459"/>
      <c r="AC254" s="1459"/>
      <c r="AD254" s="1459"/>
      <c r="AE254" s="1459"/>
      <c r="AH254" s="1538"/>
      <c r="AI254" s="1538"/>
      <c r="AJ254" s="1538"/>
      <c r="AK254" s="1538"/>
      <c r="AL254" s="4"/>
      <c r="AM254" s="4"/>
      <c r="AN254" s="4"/>
      <c r="AO254" s="4"/>
      <c r="AP254" s="4"/>
      <c r="AQ254" s="4"/>
      <c r="AR254" s="4"/>
      <c r="AS254" s="4"/>
      <c r="AT254" s="4"/>
    </row>
    <row r="255" spans="1:71" ht="13" customHeight="1">
      <c r="A255" s="19"/>
      <c r="B255" s="4"/>
      <c r="C255" s="4"/>
      <c r="D255" s="4" t="s">
        <v>88</v>
      </c>
      <c r="E255" s="4"/>
      <c r="F255" s="4"/>
      <c r="M255" s="1475"/>
      <c r="N255" s="1475"/>
      <c r="O255" s="1475"/>
      <c r="P255" s="1475"/>
      <c r="Q255" s="1475"/>
      <c r="R255" s="1475"/>
      <c r="S255" s="4" t="s">
        <v>207</v>
      </c>
      <c r="T255" s="4"/>
      <c r="U255" s="1438"/>
      <c r="V255" s="1438"/>
      <c r="W255" s="1438"/>
      <c r="X255" s="4" t="s">
        <v>89</v>
      </c>
      <c r="Z255" s="1475"/>
      <c r="AA255" s="1475"/>
      <c r="AB255" s="1475"/>
      <c r="AC255" s="1475"/>
      <c r="AD255" s="1475"/>
      <c r="AE255" s="1475"/>
      <c r="AU255" s="4"/>
      <c r="AV255" s="4"/>
      <c r="AW255" s="4"/>
      <c r="AX255" s="4"/>
      <c r="AY255" s="4"/>
      <c r="BN255" s="34"/>
    </row>
    <row r="256" spans="1:71" ht="13" customHeight="1">
      <c r="A256" s="19"/>
      <c r="B256" s="4"/>
      <c r="C256" s="4"/>
      <c r="D256" s="4" t="s">
        <v>90</v>
      </c>
      <c r="E256" s="4"/>
      <c r="F256" s="4"/>
      <c r="M256" s="1540"/>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43" t="s">
        <v>308</v>
      </c>
      <c r="N257" s="1443"/>
      <c r="O257" s="1443"/>
      <c r="P257" s="1443"/>
      <c r="Q257" s="1443"/>
      <c r="R257" s="1443"/>
      <c r="S257" s="1443"/>
      <c r="T257" s="1443"/>
      <c r="U257" s="218" t="s">
        <v>921</v>
      </c>
      <c r="V257" s="218"/>
      <c r="W257" s="218"/>
      <c r="X257" s="218"/>
      <c r="Y257" s="218"/>
      <c r="Z257" s="218"/>
      <c r="AA257" s="1544"/>
      <c r="AB257" s="1544"/>
      <c r="AC257" s="1544"/>
      <c r="AD257" s="1544"/>
      <c r="AE257" s="1544"/>
      <c r="AF257" s="1544"/>
      <c r="AG257" s="1544"/>
      <c r="AH257" s="1544"/>
      <c r="AI257" s="1544"/>
      <c r="AJ257" s="1544"/>
      <c r="AK257" s="1544"/>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542" t="s">
        <v>599</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308</v>
      </c>
      <c r="AG259" s="1542"/>
      <c r="AH259" s="1542"/>
      <c r="AI259" s="1542"/>
      <c r="AJ259" s="1542"/>
      <c r="AK259" s="1542"/>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59"/>
      <c r="N260" s="1459"/>
      <c r="O260" s="1459"/>
      <c r="P260" s="1459"/>
      <c r="Q260" s="1459"/>
      <c r="R260" s="1459"/>
      <c r="S260" s="1459"/>
      <c r="T260" s="1459"/>
      <c r="U260" s="1459"/>
      <c r="V260" s="1459"/>
      <c r="W260" s="1459"/>
      <c r="X260" s="1459"/>
      <c r="Y260" s="1459"/>
      <c r="Z260" s="1459"/>
      <c r="AA260" s="1459"/>
      <c r="AB260" s="1459"/>
      <c r="AC260" s="1459"/>
      <c r="AD260" s="1459"/>
      <c r="AE260" s="1459"/>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59"/>
      <c r="N261" s="1459"/>
      <c r="O261" s="1459"/>
      <c r="P261" s="1459"/>
      <c r="Q261" s="1459"/>
      <c r="R261" s="1459"/>
      <c r="S261" s="1459"/>
      <c r="T261" s="1459"/>
      <c r="V261" s="33" t="s">
        <v>86</v>
      </c>
      <c r="W261" s="1438"/>
      <c r="X261" s="1438"/>
      <c r="Y261" s="4" t="s">
        <v>591</v>
      </c>
      <c r="AC261" s="1459"/>
      <c r="AD261" s="1459"/>
      <c r="AE261" s="1459"/>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59"/>
      <c r="N262" s="1459"/>
      <c r="O262" s="1459"/>
      <c r="P262" s="1459"/>
      <c r="Q262" s="1459"/>
      <c r="R262" s="1459"/>
      <c r="S262" s="1459"/>
      <c r="T262" s="1459"/>
      <c r="U262" s="1459"/>
      <c r="V262" s="1459"/>
      <c r="W262" s="1459"/>
      <c r="X262" s="1459"/>
      <c r="Y262" s="1459"/>
      <c r="Z262" s="1459"/>
      <c r="AA262" s="1459"/>
      <c r="AB262" s="1459"/>
      <c r="AC262" s="1459"/>
      <c r="AD262" s="1459"/>
      <c r="AE262" s="1459"/>
      <c r="AH262" s="1538"/>
      <c r="AI262" s="1538"/>
      <c r="AJ262" s="1538"/>
      <c r="AK262" s="1538"/>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75"/>
      <c r="N263" s="1475"/>
      <c r="O263" s="1475"/>
      <c r="P263" s="1475"/>
      <c r="Q263" s="1475"/>
      <c r="R263" s="1475"/>
      <c r="S263" s="4" t="s">
        <v>207</v>
      </c>
      <c r="T263" s="4"/>
      <c r="U263" s="1438"/>
      <c r="V263" s="1438"/>
      <c r="W263" s="1438"/>
      <c r="X263" s="4" t="s">
        <v>89</v>
      </c>
      <c r="Z263" s="1475"/>
      <c r="AA263" s="1475"/>
      <c r="AB263" s="1475"/>
      <c r="AC263" s="1475"/>
      <c r="AD263" s="1475"/>
      <c r="AE263" s="1475"/>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43" t="s">
        <v>308</v>
      </c>
      <c r="N265" s="1443"/>
      <c r="O265" s="1443"/>
      <c r="P265" s="1443"/>
      <c r="Q265" s="1443"/>
      <c r="R265" s="1443"/>
      <c r="S265" s="1443"/>
      <c r="T265" s="1443"/>
      <c r="U265" s="218" t="s">
        <v>921</v>
      </c>
      <c r="V265" s="218"/>
      <c r="W265" s="218"/>
      <c r="X265" s="218"/>
      <c r="Y265" s="218"/>
      <c r="Z265" s="218"/>
      <c r="AA265" s="1546"/>
      <c r="AB265" s="1546"/>
      <c r="AC265" s="1546"/>
      <c r="AD265" s="1546"/>
      <c r="AE265" s="1546"/>
      <c r="AF265" s="1546"/>
      <c r="AG265" s="1546"/>
      <c r="AH265" s="1546"/>
      <c r="AI265" s="1546"/>
      <c r="AJ265" s="1546"/>
      <c r="AK265" s="154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296</v>
      </c>
      <c r="D267" s="4"/>
      <c r="E267" s="4"/>
      <c r="F267" s="4"/>
      <c r="G267" s="4"/>
      <c r="H267" s="4"/>
      <c r="I267" s="4"/>
      <c r="J267" s="4"/>
      <c r="K267" s="4"/>
      <c r="L267" s="4"/>
      <c r="M267" s="35"/>
      <c r="N267" s="35"/>
      <c r="O267" s="35"/>
      <c r="P267" s="35"/>
      <c r="Q267" s="35"/>
      <c r="T267" s="1545" t="str">
        <f>IFERROR(BO245,"")</f>
        <v>Nonprofit</v>
      </c>
      <c r="U267" s="1545"/>
      <c r="V267" s="1545"/>
      <c r="W267" s="1545"/>
      <c r="X267" s="1545"/>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59" t="s">
        <v>281</v>
      </c>
      <c r="E270" s="1459"/>
      <c r="F270" s="1459"/>
      <c r="G270" s="1459"/>
      <c r="H270" s="1459"/>
      <c r="J270" t="s">
        <v>280</v>
      </c>
      <c r="X270" s="1539" t="s">
        <v>599</v>
      </c>
      <c r="Y270" s="1539"/>
      <c r="Z270" s="1539"/>
      <c r="AA270" s="1539"/>
      <c r="AB270" s="1539"/>
      <c r="AC270" s="1539"/>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42" t="s">
        <v>2661</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59" t="s">
        <v>2652</v>
      </c>
      <c r="M275" s="1459"/>
      <c r="N275" s="1459"/>
      <c r="O275" s="1459"/>
      <c r="P275" s="1459"/>
      <c r="Q275" s="1459"/>
      <c r="R275" s="1459"/>
      <c r="S275" s="1459"/>
      <c r="T275" s="1459"/>
      <c r="U275" s="1459"/>
      <c r="V275" s="1459"/>
      <c r="W275" s="1459"/>
      <c r="X275" s="1459"/>
      <c r="Y275" s="1459"/>
      <c r="Z275" s="1459"/>
      <c r="AA275" s="1459"/>
      <c r="AB275" s="1459"/>
      <c r="AC275" s="1459"/>
      <c r="AD275" s="1459"/>
      <c r="AK275" s="3"/>
      <c r="AL275" s="3"/>
      <c r="AM275" s="3"/>
      <c r="AN275" s="3"/>
      <c r="AO275" s="3"/>
      <c r="AP275" s="3"/>
      <c r="AQ275" s="3"/>
      <c r="AR275" s="3"/>
      <c r="AS275" s="3"/>
      <c r="AT275" s="3"/>
      <c r="AU275" s="3"/>
      <c r="AV275" s="3"/>
      <c r="AW275" s="3"/>
      <c r="AX275" s="3"/>
      <c r="AY275" s="3"/>
      <c r="BN275" s="34"/>
    </row>
    <row r="276" spans="1:66" ht="13" customHeight="1">
      <c r="D276" s="4" t="s">
        <v>588</v>
      </c>
      <c r="E276" s="4"/>
      <c r="L276" s="1472" t="s">
        <v>484</v>
      </c>
      <c r="M276" s="1459"/>
      <c r="N276" s="1459"/>
      <c r="O276" s="1459"/>
      <c r="P276" s="1459"/>
      <c r="Q276" s="1459"/>
      <c r="R276" s="1459"/>
      <c r="S276" s="1459"/>
      <c r="U276" s="33" t="s">
        <v>86</v>
      </c>
      <c r="V276" s="1484" t="s">
        <v>2653</v>
      </c>
      <c r="W276" s="1438"/>
      <c r="X276" s="4" t="s">
        <v>591</v>
      </c>
      <c r="AB276" s="1459">
        <v>94501</v>
      </c>
      <c r="AC276" s="1459"/>
      <c r="AD276" s="1459"/>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72" t="s">
        <v>2662</v>
      </c>
      <c r="M277" s="1459"/>
      <c r="N277" s="1459"/>
      <c r="O277" s="1459"/>
      <c r="P277" s="1459"/>
      <c r="Q277" s="1459"/>
      <c r="R277" s="1459"/>
      <c r="S277" s="1459"/>
      <c r="T277" s="1459"/>
      <c r="U277" s="1459"/>
      <c r="V277" s="1459"/>
      <c r="W277" s="1459"/>
      <c r="X277" s="1459"/>
      <c r="Y277" s="1459"/>
      <c r="Z277" s="1459"/>
      <c r="AA277" s="1459"/>
      <c r="AB277" s="1459"/>
      <c r="AC277" s="1459"/>
      <c r="AD277" s="1459"/>
      <c r="AI277" s="4"/>
      <c r="AJ277" s="4"/>
      <c r="AK277" s="3"/>
      <c r="AL277" s="3"/>
      <c r="AM277" s="3"/>
      <c r="AN277" s="3"/>
      <c r="AO277" s="3"/>
      <c r="AP277" s="3"/>
      <c r="AQ277" s="3"/>
      <c r="AR277" s="3"/>
      <c r="AS277" s="3"/>
      <c r="AT277" s="3"/>
      <c r="BN277" s="34"/>
    </row>
    <row r="278" spans="1:66" ht="13" customHeight="1">
      <c r="D278" s="4" t="s">
        <v>88</v>
      </c>
      <c r="E278" s="4"/>
      <c r="F278" s="4"/>
      <c r="L278" s="1475" t="s">
        <v>2663</v>
      </c>
      <c r="M278" s="1475"/>
      <c r="N278" s="1475"/>
      <c r="O278" s="1475"/>
      <c r="P278" s="1475"/>
      <c r="Q278" s="1475"/>
      <c r="R278" s="4" t="s">
        <v>207</v>
      </c>
      <c r="S278" s="4"/>
      <c r="T278" s="1438"/>
      <c r="U278" s="1438"/>
      <c r="V278" s="1438"/>
      <c r="W278" s="4" t="s">
        <v>89</v>
      </c>
      <c r="Y278" s="1475" t="s">
        <v>2656</v>
      </c>
      <c r="Z278" s="1475"/>
      <c r="AA278" s="1475"/>
      <c r="AB278" s="1475"/>
      <c r="AC278" s="1475"/>
      <c r="AD278" s="1475"/>
      <c r="BN278" s="34"/>
    </row>
    <row r="279" spans="1:66" ht="13" customHeight="1">
      <c r="D279" s="4" t="s">
        <v>90</v>
      </c>
      <c r="E279" s="4"/>
      <c r="F279" s="4"/>
      <c r="L279" s="1540" t="s">
        <v>2664</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c r="BN279" s="34"/>
    </row>
    <row r="280" spans="1:66" ht="13" customHeight="1">
      <c r="D280" s="3" t="s">
        <v>631</v>
      </c>
      <c r="E280" s="3"/>
      <c r="F280" s="3"/>
      <c r="G280" s="3"/>
      <c r="H280" s="3"/>
      <c r="I280" s="3"/>
      <c r="L280" s="1484" t="s">
        <v>2665</v>
      </c>
      <c r="M280" s="1484"/>
      <c r="N280" s="1484"/>
      <c r="O280" s="1484"/>
      <c r="P280" s="1484"/>
      <c r="Q280" s="1484"/>
      <c r="R280" s="1484"/>
      <c r="S280" s="1484"/>
      <c r="T280" s="1484"/>
      <c r="U280" s="1484"/>
      <c r="V280" s="1484"/>
      <c r="W280" s="1484"/>
      <c r="X280" s="1484"/>
      <c r="Y280" s="1484"/>
      <c r="Z280" s="1484"/>
      <c r="AA280" s="1484"/>
      <c r="AB280" s="1484"/>
      <c r="AC280" s="1484"/>
      <c r="AD280" s="1484"/>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735" t="s">
        <v>549</v>
      </c>
      <c r="B282" s="1735"/>
      <c r="C282" s="1735"/>
      <c r="D282" s="1735"/>
      <c r="E282" s="1735"/>
      <c r="F282" s="1735"/>
      <c r="G282" s="1735"/>
      <c r="H282" s="1735"/>
      <c r="I282" s="1735"/>
      <c r="J282" s="1735"/>
      <c r="K282" s="1735"/>
      <c r="L282" s="1735"/>
      <c r="M282" s="1735"/>
      <c r="N282" s="1735"/>
      <c r="O282" s="1735"/>
      <c r="P282" s="1735"/>
      <c r="Q282" s="1735"/>
      <c r="R282" s="1735"/>
      <c r="S282" s="1735"/>
      <c r="T282" s="1735"/>
      <c r="U282" s="1735"/>
      <c r="V282" s="1735"/>
      <c r="W282" s="1735"/>
      <c r="X282" s="1735"/>
      <c r="Y282" s="1735"/>
      <c r="Z282" s="1735"/>
      <c r="AA282" s="1735"/>
      <c r="AB282" s="1735"/>
      <c r="AC282" s="1735"/>
      <c r="AD282" s="1735"/>
      <c r="AE282" s="1735"/>
      <c r="AF282" s="1735"/>
      <c r="AG282" s="1735"/>
      <c r="AH282" s="1735"/>
      <c r="AI282" s="1735"/>
      <c r="AJ282" s="1735"/>
      <c r="AK282" s="1735"/>
      <c r="AL282" s="1735"/>
      <c r="AM282" s="1735"/>
      <c r="AN282" s="1735"/>
      <c r="AO282" s="1735"/>
      <c r="AP282" s="1735"/>
      <c r="AQ282" s="1735"/>
      <c r="AR282" s="1735"/>
      <c r="AS282" s="1735"/>
      <c r="AT282" s="1735"/>
      <c r="AU282" s="95"/>
      <c r="AV282" s="95"/>
      <c r="AW282" s="95"/>
      <c r="AX282" s="95"/>
      <c r="AY282" s="95"/>
      <c r="BN282" s="34"/>
    </row>
    <row r="283" spans="1:66" ht="13" customHeight="1">
      <c r="A283" s="1735"/>
      <c r="B283" s="1735"/>
      <c r="C283" s="1735"/>
      <c r="D283" s="1735"/>
      <c r="E283" s="1735"/>
      <c r="F283" s="1735"/>
      <c r="G283" s="1735"/>
      <c r="H283" s="1735"/>
      <c r="I283" s="1735"/>
      <c r="J283" s="1735"/>
      <c r="K283" s="1735"/>
      <c r="L283" s="1735"/>
      <c r="M283" s="1735"/>
      <c r="N283" s="1735"/>
      <c r="O283" s="1735"/>
      <c r="P283" s="1735"/>
      <c r="Q283" s="1735"/>
      <c r="R283" s="1735"/>
      <c r="S283" s="1735"/>
      <c r="T283" s="1735"/>
      <c r="U283" s="1735"/>
      <c r="V283" s="1735"/>
      <c r="W283" s="1735"/>
      <c r="X283" s="1735"/>
      <c r="Y283" s="1735"/>
      <c r="Z283" s="1735"/>
      <c r="AA283" s="1735"/>
      <c r="AB283" s="1735"/>
      <c r="AC283" s="1735"/>
      <c r="AD283" s="1735"/>
      <c r="AE283" s="1735"/>
      <c r="AF283" s="1735"/>
      <c r="AG283" s="1735"/>
      <c r="AH283" s="1735"/>
      <c r="AI283" s="1735"/>
      <c r="AJ283" s="1735"/>
      <c r="AK283" s="1735"/>
      <c r="AL283" s="1735"/>
      <c r="AM283" s="1735"/>
      <c r="AN283" s="1735"/>
      <c r="AO283" s="1735"/>
      <c r="AP283" s="1735"/>
      <c r="AQ283" s="1735"/>
      <c r="AR283" s="1735"/>
      <c r="AS283" s="1735"/>
      <c r="AT283" s="1735"/>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60" t="s">
        <v>2661</v>
      </c>
      <c r="I287" s="1460"/>
      <c r="J287" s="1460"/>
      <c r="K287" s="1460"/>
      <c r="L287" s="1460"/>
      <c r="M287" s="1460"/>
      <c r="N287" s="1460"/>
      <c r="O287" s="1460"/>
      <c r="P287" s="1460"/>
      <c r="Q287" s="1460"/>
      <c r="R287" s="1460"/>
      <c r="T287" s="3" t="s">
        <v>575</v>
      </c>
      <c r="V287" s="3"/>
      <c r="W287" s="3"/>
      <c r="X287" s="3"/>
      <c r="Y287" s="3"/>
      <c r="AA287" s="1460" t="s">
        <v>2667</v>
      </c>
      <c r="AB287" s="1460"/>
      <c r="AC287" s="1460"/>
      <c r="AD287" s="1460"/>
      <c r="AE287" s="1460"/>
      <c r="AF287" s="1460"/>
      <c r="AG287" s="1460"/>
      <c r="AH287" s="1460"/>
      <c r="AI287" s="1460"/>
      <c r="AJ287" s="1460"/>
      <c r="AK287" s="1460"/>
      <c r="BN287" s="34"/>
    </row>
    <row r="288" spans="1:66" ht="13" customHeight="1">
      <c r="B288" s="3" t="s">
        <v>479</v>
      </c>
      <c r="C288" s="3"/>
      <c r="D288" s="3"/>
      <c r="E288" s="3"/>
      <c r="F288" s="3"/>
      <c r="H288" s="1443" t="s">
        <v>2652</v>
      </c>
      <c r="I288" s="1443"/>
      <c r="J288" s="1443"/>
      <c r="K288" s="1443"/>
      <c r="L288" s="1443"/>
      <c r="M288" s="1443"/>
      <c r="N288" s="1443"/>
      <c r="O288" s="1443"/>
      <c r="P288" s="1443"/>
      <c r="Q288" s="1443"/>
      <c r="R288" s="1443"/>
      <c r="T288" s="3" t="s">
        <v>479</v>
      </c>
      <c r="V288" s="3"/>
      <c r="W288" s="3"/>
      <c r="X288" s="3"/>
      <c r="Y288" s="3"/>
      <c r="AA288" s="1443" t="s">
        <v>2668</v>
      </c>
      <c r="AB288" s="1443"/>
      <c r="AC288" s="1443"/>
      <c r="AD288" s="1443"/>
      <c r="AE288" s="1443"/>
      <c r="AF288" s="1443"/>
      <c r="AG288" s="1443"/>
      <c r="AH288" s="1443"/>
      <c r="AI288" s="1443"/>
      <c r="AJ288" s="1443"/>
      <c r="AK288" s="1443"/>
      <c r="BN288" s="34"/>
    </row>
    <row r="289" spans="2:66" ht="13" customHeight="1">
      <c r="B289" s="3" t="s">
        <v>480</v>
      </c>
      <c r="C289" s="3"/>
      <c r="D289" s="3"/>
      <c r="E289" s="3"/>
      <c r="F289" s="3"/>
      <c r="H289" s="1443" t="s">
        <v>2666</v>
      </c>
      <c r="I289" s="1443"/>
      <c r="J289" s="1443"/>
      <c r="K289" s="1443"/>
      <c r="L289" s="1443"/>
      <c r="M289" s="1443"/>
      <c r="N289" s="1443"/>
      <c r="O289" s="1443"/>
      <c r="P289" s="1443"/>
      <c r="Q289" s="1443"/>
      <c r="R289" s="1443"/>
      <c r="T289" s="3" t="s">
        <v>75</v>
      </c>
      <c r="V289" s="3"/>
      <c r="W289" s="3"/>
      <c r="X289" s="3"/>
      <c r="Y289" s="3"/>
      <c r="AA289" s="1443" t="s">
        <v>2669</v>
      </c>
      <c r="AB289" s="1443"/>
      <c r="AC289" s="1443"/>
      <c r="AD289" s="1443"/>
      <c r="AE289" s="1443"/>
      <c r="AF289" s="1443"/>
      <c r="AG289" s="1443"/>
      <c r="AH289" s="1443"/>
      <c r="AI289" s="1443"/>
      <c r="AJ289" s="1443"/>
      <c r="AK289" s="1443"/>
      <c r="BN289" s="34"/>
    </row>
    <row r="290" spans="2:66" ht="13" customHeight="1">
      <c r="B290" s="3" t="s">
        <v>87</v>
      </c>
      <c r="C290" s="3"/>
      <c r="D290" s="3"/>
      <c r="E290" s="3"/>
      <c r="F290" s="3"/>
      <c r="H290" s="1443" t="s">
        <v>2654</v>
      </c>
      <c r="I290" s="1443"/>
      <c r="J290" s="1443"/>
      <c r="K290" s="1443"/>
      <c r="L290" s="1443"/>
      <c r="M290" s="1443"/>
      <c r="N290" s="1443"/>
      <c r="O290" s="1443"/>
      <c r="P290" s="1443"/>
      <c r="Q290" s="1443"/>
      <c r="R290" s="1443"/>
      <c r="T290" s="3" t="s">
        <v>87</v>
      </c>
      <c r="V290" s="3"/>
      <c r="W290" s="3"/>
      <c r="X290" s="3"/>
      <c r="Y290" s="3"/>
      <c r="AA290" s="1443" t="s">
        <v>2670</v>
      </c>
      <c r="AB290" s="1443"/>
      <c r="AC290" s="1443"/>
      <c r="AD290" s="1443"/>
      <c r="AE290" s="1443"/>
      <c r="AF290" s="1443"/>
      <c r="AG290" s="1443"/>
      <c r="AH290" s="1443"/>
      <c r="AI290" s="1443"/>
      <c r="AJ290" s="1443"/>
      <c r="AK290" s="1443"/>
      <c r="BN290" s="34"/>
    </row>
    <row r="291" spans="2:66" ht="13" customHeight="1">
      <c r="B291" s="3" t="s">
        <v>88</v>
      </c>
      <c r="C291" s="3"/>
      <c r="D291" s="3"/>
      <c r="E291" s="3"/>
      <c r="F291" s="3"/>
      <c r="G291" s="3"/>
      <c r="H291" s="1528" t="s">
        <v>2655</v>
      </c>
      <c r="I291" s="1528"/>
      <c r="J291" s="1528"/>
      <c r="K291" s="1528"/>
      <c r="L291" s="1528"/>
      <c r="M291" s="1528"/>
      <c r="N291" s="4" t="s">
        <v>207</v>
      </c>
      <c r="O291" s="4"/>
      <c r="P291" s="1459"/>
      <c r="Q291" s="1459"/>
      <c r="R291" s="1459"/>
      <c r="S291" s="3"/>
      <c r="T291" s="3" t="s">
        <v>88</v>
      </c>
      <c r="V291" s="3"/>
      <c r="W291" s="3"/>
      <c r="X291" s="3"/>
      <c r="Y291" s="3"/>
      <c r="AA291" s="1528" t="s">
        <v>2671</v>
      </c>
      <c r="AB291" s="1528"/>
      <c r="AC291" s="1528"/>
      <c r="AD291" s="1528"/>
      <c r="AE291" s="1528"/>
      <c r="AF291" s="1528"/>
      <c r="AG291" s="4" t="s">
        <v>207</v>
      </c>
      <c r="AH291" s="4"/>
      <c r="AI291" s="1459"/>
      <c r="AJ291" s="1459"/>
      <c r="AK291" s="1459"/>
      <c r="BN291" s="34"/>
    </row>
    <row r="292" spans="2:66" ht="13" customHeight="1">
      <c r="B292" s="3" t="s">
        <v>89</v>
      </c>
      <c r="C292" s="3"/>
      <c r="D292" s="3"/>
      <c r="E292" s="3"/>
      <c r="F292" s="3"/>
      <c r="G292" s="3"/>
      <c r="H292" s="1475" t="s">
        <v>2656</v>
      </c>
      <c r="I292" s="1475"/>
      <c r="J292" s="1475"/>
      <c r="K292" s="1475"/>
      <c r="L292" s="1475"/>
      <c r="M292" s="1475"/>
      <c r="N292" s="4"/>
      <c r="O292" s="4"/>
      <c r="P292" s="35"/>
      <c r="Q292" s="35"/>
      <c r="R292" s="35"/>
      <c r="S292" s="3"/>
      <c r="T292" s="3" t="s">
        <v>89</v>
      </c>
      <c r="V292" s="3"/>
      <c r="W292" s="3"/>
      <c r="X292" s="3"/>
      <c r="Y292" s="3"/>
      <c r="AA292" s="1475"/>
      <c r="AB292" s="1475"/>
      <c r="AC292" s="1475"/>
      <c r="AD292" s="1475"/>
      <c r="AE292" s="1475"/>
      <c r="AF292" s="1475"/>
      <c r="AG292" s="4"/>
      <c r="AH292" s="4"/>
      <c r="AI292" s="35"/>
      <c r="AJ292" s="35"/>
      <c r="AK292" s="35"/>
      <c r="BN292" s="34"/>
    </row>
    <row r="293" spans="2:66" ht="13" customHeight="1">
      <c r="B293" s="3" t="s">
        <v>76</v>
      </c>
      <c r="C293" s="3"/>
      <c r="D293" s="3"/>
      <c r="E293" s="3"/>
      <c r="F293" s="3"/>
      <c r="G293" s="3"/>
      <c r="H293" s="1443" t="s">
        <v>2657</v>
      </c>
      <c r="I293" s="1443"/>
      <c r="J293" s="1443"/>
      <c r="K293" s="1443"/>
      <c r="L293" s="1443"/>
      <c r="M293" s="1443"/>
      <c r="N293" s="1460"/>
      <c r="O293" s="1460"/>
      <c r="P293" s="1460"/>
      <c r="Q293" s="1460"/>
      <c r="R293" s="1460"/>
      <c r="S293" s="3"/>
      <c r="T293" s="3" t="s">
        <v>76</v>
      </c>
      <c r="V293" s="3"/>
      <c r="W293" s="3"/>
      <c r="X293" s="3"/>
      <c r="Y293" s="3"/>
      <c r="AA293" s="1443" t="s">
        <v>2672</v>
      </c>
      <c r="AB293" s="1443"/>
      <c r="AC293" s="1443"/>
      <c r="AD293" s="1443"/>
      <c r="AE293" s="1443"/>
      <c r="AF293" s="1443"/>
      <c r="AG293" s="1460"/>
      <c r="AH293" s="1460"/>
      <c r="AI293" s="1460"/>
      <c r="AJ293" s="1460"/>
      <c r="AK293" s="1460"/>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60" t="s">
        <v>2673</v>
      </c>
      <c r="I295" s="1460"/>
      <c r="J295" s="1460"/>
      <c r="K295" s="1460"/>
      <c r="L295" s="1460"/>
      <c r="M295" s="1460"/>
      <c r="N295" s="1460"/>
      <c r="O295" s="1460"/>
      <c r="P295" s="1460"/>
      <c r="Q295" s="1460"/>
      <c r="R295" s="1460"/>
      <c r="T295" s="3" t="s">
        <v>364</v>
      </c>
      <c r="V295" s="3"/>
      <c r="W295" s="3"/>
      <c r="X295" s="3"/>
      <c r="Y295" s="3"/>
      <c r="AA295" s="1460" t="s">
        <v>2679</v>
      </c>
      <c r="AB295" s="1460"/>
      <c r="AC295" s="1460"/>
      <c r="AD295" s="1460"/>
      <c r="AE295" s="1460"/>
      <c r="AF295" s="1460"/>
      <c r="AG295" s="1460"/>
      <c r="AH295" s="1460"/>
      <c r="AI295" s="1460"/>
      <c r="AJ295" s="1460"/>
      <c r="AK295" s="1460"/>
      <c r="BN295" s="34"/>
    </row>
    <row r="296" spans="2:66" ht="13" customHeight="1">
      <c r="B296" s="3" t="s">
        <v>479</v>
      </c>
      <c r="C296" s="3"/>
      <c r="D296" s="3"/>
      <c r="E296" s="3"/>
      <c r="F296" s="3"/>
      <c r="H296" s="1443" t="s">
        <v>2674</v>
      </c>
      <c r="I296" s="1443"/>
      <c r="J296" s="1443"/>
      <c r="K296" s="1443"/>
      <c r="L296" s="1443"/>
      <c r="M296" s="1443"/>
      <c r="N296" s="1443"/>
      <c r="O296" s="1443"/>
      <c r="P296" s="1443"/>
      <c r="Q296" s="1443"/>
      <c r="R296" s="1443"/>
      <c r="T296" s="3" t="s">
        <v>479</v>
      </c>
      <c r="V296" s="3"/>
      <c r="W296" s="3"/>
      <c r="X296" s="3"/>
      <c r="Y296" s="3"/>
      <c r="AA296" s="1443" t="s">
        <v>2680</v>
      </c>
      <c r="AB296" s="1443"/>
      <c r="AC296" s="1443"/>
      <c r="AD296" s="1443"/>
      <c r="AE296" s="1443"/>
      <c r="AF296" s="1443"/>
      <c r="AG296" s="1443"/>
      <c r="AH296" s="1443"/>
      <c r="AI296" s="1443"/>
      <c r="AJ296" s="1443"/>
      <c r="AK296" s="1443"/>
      <c r="BN296" s="34"/>
    </row>
    <row r="297" spans="2:66" ht="13" customHeight="1">
      <c r="B297" s="3" t="s">
        <v>480</v>
      </c>
      <c r="C297" s="3"/>
      <c r="D297" s="3"/>
      <c r="E297" s="3"/>
      <c r="F297" s="3"/>
      <c r="H297" s="1443" t="s">
        <v>2675</v>
      </c>
      <c r="I297" s="1443"/>
      <c r="J297" s="1443"/>
      <c r="K297" s="1443"/>
      <c r="L297" s="1443"/>
      <c r="M297" s="1443"/>
      <c r="N297" s="1443"/>
      <c r="O297" s="1443"/>
      <c r="P297" s="1443"/>
      <c r="Q297" s="1443"/>
      <c r="R297" s="1443"/>
      <c r="T297" s="3" t="s">
        <v>75</v>
      </c>
      <c r="V297" s="3"/>
      <c r="W297" s="3"/>
      <c r="X297" s="3"/>
      <c r="Y297" s="3"/>
      <c r="AA297" s="1443" t="s">
        <v>2681</v>
      </c>
      <c r="AB297" s="1443"/>
      <c r="AC297" s="1443"/>
      <c r="AD297" s="1443"/>
      <c r="AE297" s="1443"/>
      <c r="AF297" s="1443"/>
      <c r="AG297" s="1443"/>
      <c r="AH297" s="1443"/>
      <c r="AI297" s="1443"/>
      <c r="AJ297" s="1443"/>
      <c r="AK297" s="1443"/>
      <c r="BN297" s="34"/>
    </row>
    <row r="298" spans="2:66" ht="13" customHeight="1">
      <c r="B298" s="3" t="s">
        <v>87</v>
      </c>
      <c r="C298" s="3"/>
      <c r="D298" s="3"/>
      <c r="E298" s="3"/>
      <c r="F298" s="3"/>
      <c r="H298" s="1443" t="s">
        <v>2676</v>
      </c>
      <c r="I298" s="1443"/>
      <c r="J298" s="1443"/>
      <c r="K298" s="1443"/>
      <c r="L298" s="1443"/>
      <c r="M298" s="1443"/>
      <c r="N298" s="1443"/>
      <c r="O298" s="1443"/>
      <c r="P298" s="1443"/>
      <c r="Q298" s="1443"/>
      <c r="R298" s="1443"/>
      <c r="T298" s="3" t="s">
        <v>87</v>
      </c>
      <c r="V298" s="3"/>
      <c r="W298" s="3"/>
      <c r="X298" s="3"/>
      <c r="Y298" s="3"/>
      <c r="AA298" s="1443" t="s">
        <v>2682</v>
      </c>
      <c r="AB298" s="1443"/>
      <c r="AC298" s="1443"/>
      <c r="AD298" s="1443"/>
      <c r="AE298" s="1443"/>
      <c r="AF298" s="1443"/>
      <c r="AG298" s="1443"/>
      <c r="AH298" s="1443"/>
      <c r="AI298" s="1443"/>
      <c r="AJ298" s="1443"/>
      <c r="AK298" s="1443"/>
      <c r="BN298" s="34"/>
    </row>
    <row r="299" spans="2:66" ht="13" customHeight="1">
      <c r="B299" s="3" t="s">
        <v>88</v>
      </c>
      <c r="C299" s="3"/>
      <c r="D299" s="3"/>
      <c r="E299" s="3"/>
      <c r="F299" s="3"/>
      <c r="G299" s="3"/>
      <c r="H299" s="1528" t="s">
        <v>2677</v>
      </c>
      <c r="I299" s="1528"/>
      <c r="J299" s="1528"/>
      <c r="K299" s="1528"/>
      <c r="L299" s="1528"/>
      <c r="M299" s="1528"/>
      <c r="N299" s="4" t="s">
        <v>207</v>
      </c>
      <c r="O299" s="4"/>
      <c r="P299" s="1459"/>
      <c r="Q299" s="1459"/>
      <c r="R299" s="1459"/>
      <c r="S299" s="3"/>
      <c r="T299" s="3" t="s">
        <v>88</v>
      </c>
      <c r="V299" s="3"/>
      <c r="W299" s="3"/>
      <c r="X299" s="3"/>
      <c r="Y299" s="3"/>
      <c r="AA299" s="1528" t="s">
        <v>2683</v>
      </c>
      <c r="AB299" s="1528"/>
      <c r="AC299" s="1528"/>
      <c r="AD299" s="1528"/>
      <c r="AE299" s="1528"/>
      <c r="AF299" s="1528"/>
      <c r="AG299" s="4" t="s">
        <v>207</v>
      </c>
      <c r="AH299" s="4"/>
      <c r="AI299" s="1459"/>
      <c r="AJ299" s="1459"/>
      <c r="AK299" s="1459"/>
      <c r="BN299" s="34"/>
    </row>
    <row r="300" spans="2:66" ht="13" customHeight="1">
      <c r="B300" s="3" t="s">
        <v>89</v>
      </c>
      <c r="C300" s="3"/>
      <c r="D300" s="3"/>
      <c r="E300" s="3"/>
      <c r="F300" s="3"/>
      <c r="G300" s="3"/>
      <c r="H300" s="1475"/>
      <c r="I300" s="1475"/>
      <c r="J300" s="1475"/>
      <c r="K300" s="1475"/>
      <c r="L300" s="1475"/>
      <c r="M300" s="1475"/>
      <c r="N300" s="4"/>
      <c r="O300" s="4"/>
      <c r="P300" s="35"/>
      <c r="Q300" s="35"/>
      <c r="R300" s="35"/>
      <c r="S300" s="3"/>
      <c r="T300" s="3" t="s">
        <v>89</v>
      </c>
      <c r="V300" s="3"/>
      <c r="W300" s="3"/>
      <c r="X300" s="3"/>
      <c r="Y300" s="3"/>
      <c r="AA300" s="1475"/>
      <c r="AB300" s="1475"/>
      <c r="AC300" s="1475"/>
      <c r="AD300" s="1475"/>
      <c r="AE300" s="1475"/>
      <c r="AF300" s="1475"/>
      <c r="AG300" s="4"/>
      <c r="AH300" s="4"/>
      <c r="AI300" s="35"/>
      <c r="AJ300" s="35"/>
      <c r="AK300" s="35"/>
      <c r="BN300" s="34"/>
    </row>
    <row r="301" spans="2:66" ht="13" customHeight="1">
      <c r="B301" s="3" t="s">
        <v>76</v>
      </c>
      <c r="C301" s="3"/>
      <c r="D301" s="3"/>
      <c r="E301" s="3"/>
      <c r="F301" s="3"/>
      <c r="G301" s="3"/>
      <c r="H301" s="1443" t="s">
        <v>2678</v>
      </c>
      <c r="I301" s="1443"/>
      <c r="J301" s="1443"/>
      <c r="K301" s="1443"/>
      <c r="L301" s="1443"/>
      <c r="M301" s="1443"/>
      <c r="N301" s="1460"/>
      <c r="O301" s="1460"/>
      <c r="P301" s="1460"/>
      <c r="Q301" s="1460"/>
      <c r="R301" s="1460"/>
      <c r="S301" s="3"/>
      <c r="T301" s="3" t="s">
        <v>76</v>
      </c>
      <c r="V301" s="3"/>
      <c r="W301" s="3"/>
      <c r="X301" s="3"/>
      <c r="Y301" s="3"/>
      <c r="AA301" s="1443" t="s">
        <v>2684</v>
      </c>
      <c r="AB301" s="1443"/>
      <c r="AC301" s="1443"/>
      <c r="AD301" s="1443"/>
      <c r="AE301" s="1443"/>
      <c r="AF301" s="1443"/>
      <c r="AG301" s="1460"/>
      <c r="AH301" s="1460"/>
      <c r="AI301" s="1460"/>
      <c r="AJ301" s="1460"/>
      <c r="AK301" s="1460"/>
      <c r="BN301" s="34"/>
    </row>
    <row r="302" spans="2:66" ht="13" customHeight="1">
      <c r="BN302" s="34"/>
    </row>
    <row r="303" spans="2:66" ht="13" customHeight="1">
      <c r="B303" s="3" t="s">
        <v>77</v>
      </c>
      <c r="C303" s="3"/>
      <c r="D303" s="3"/>
      <c r="E303" s="3"/>
      <c r="F303" s="3"/>
      <c r="H303" s="1460" t="s">
        <v>2673</v>
      </c>
      <c r="I303" s="1460"/>
      <c r="J303" s="1460"/>
      <c r="K303" s="1460"/>
      <c r="L303" s="1460"/>
      <c r="M303" s="1460"/>
      <c r="N303" s="1460"/>
      <c r="O303" s="1460"/>
      <c r="P303" s="1460"/>
      <c r="Q303" s="1460"/>
      <c r="R303" s="1460"/>
      <c r="T303" s="4" t="s">
        <v>890</v>
      </c>
      <c r="V303" s="3"/>
      <c r="W303" s="3"/>
      <c r="X303" s="3"/>
      <c r="Y303" s="3"/>
      <c r="AA303" s="1460" t="s">
        <v>2685</v>
      </c>
      <c r="AB303" s="1460"/>
      <c r="AC303" s="1460"/>
      <c r="AD303" s="1460"/>
      <c r="AE303" s="1460"/>
      <c r="AF303" s="1460"/>
      <c r="AG303" s="1460"/>
      <c r="AH303" s="1460"/>
      <c r="AI303" s="1460"/>
      <c r="AJ303" s="1460"/>
      <c r="AK303" s="1460"/>
      <c r="BN303" s="34"/>
    </row>
    <row r="304" spans="2:66" ht="13" customHeight="1">
      <c r="B304" s="3" t="s">
        <v>479</v>
      </c>
      <c r="C304" s="3"/>
      <c r="D304" s="3"/>
      <c r="E304" s="3"/>
      <c r="F304" s="3"/>
      <c r="H304" s="1443" t="s">
        <v>2674</v>
      </c>
      <c r="I304" s="1443"/>
      <c r="J304" s="1443"/>
      <c r="K304" s="1443"/>
      <c r="L304" s="1443"/>
      <c r="M304" s="1443"/>
      <c r="N304" s="1443"/>
      <c r="O304" s="1443"/>
      <c r="P304" s="1443"/>
      <c r="Q304" s="1443"/>
      <c r="R304" s="1443"/>
      <c r="T304" s="3" t="s">
        <v>479</v>
      </c>
      <c r="V304" s="3"/>
      <c r="W304" s="3"/>
      <c r="X304" s="3"/>
      <c r="Y304" s="3"/>
      <c r="AA304" s="1443" t="s">
        <v>2686</v>
      </c>
      <c r="AB304" s="1443"/>
      <c r="AC304" s="1443"/>
      <c r="AD304" s="1443"/>
      <c r="AE304" s="1443"/>
      <c r="AF304" s="1443"/>
      <c r="AG304" s="1443"/>
      <c r="AH304" s="1443"/>
      <c r="AI304" s="1443"/>
      <c r="AJ304" s="1443"/>
      <c r="AK304" s="1443"/>
      <c r="BN304" s="34"/>
    </row>
    <row r="305" spans="2:66" ht="13" customHeight="1">
      <c r="B305" s="3" t="s">
        <v>480</v>
      </c>
      <c r="C305" s="3"/>
      <c r="D305" s="3"/>
      <c r="E305" s="3"/>
      <c r="F305" s="3"/>
      <c r="H305" s="1443" t="s">
        <v>2675</v>
      </c>
      <c r="I305" s="1443"/>
      <c r="J305" s="1443"/>
      <c r="K305" s="1443"/>
      <c r="L305" s="1443"/>
      <c r="M305" s="1443"/>
      <c r="N305" s="1443"/>
      <c r="O305" s="1443"/>
      <c r="P305" s="1443"/>
      <c r="Q305" s="1443"/>
      <c r="R305" s="1443"/>
      <c r="T305" s="3" t="s">
        <v>75</v>
      </c>
      <c r="V305" s="3"/>
      <c r="W305" s="3"/>
      <c r="X305" s="3"/>
      <c r="Y305" s="3"/>
      <c r="AA305" s="1443" t="s">
        <v>2687</v>
      </c>
      <c r="AB305" s="1443"/>
      <c r="AC305" s="1443"/>
      <c r="AD305" s="1443"/>
      <c r="AE305" s="1443"/>
      <c r="AF305" s="1443"/>
      <c r="AG305" s="1443"/>
      <c r="AH305" s="1443"/>
      <c r="AI305" s="1443"/>
      <c r="AJ305" s="1443"/>
      <c r="AK305" s="1443"/>
      <c r="BN305" s="34"/>
    </row>
    <row r="306" spans="2:66" ht="13" customHeight="1">
      <c r="B306" s="3" t="s">
        <v>87</v>
      </c>
      <c r="C306" s="3"/>
      <c r="D306" s="3"/>
      <c r="E306" s="3"/>
      <c r="F306" s="3"/>
      <c r="H306" s="1443" t="s">
        <v>2676</v>
      </c>
      <c r="I306" s="1443"/>
      <c r="J306" s="1443"/>
      <c r="K306" s="1443"/>
      <c r="L306" s="1443"/>
      <c r="M306" s="1443"/>
      <c r="N306" s="1443"/>
      <c r="O306" s="1443"/>
      <c r="P306" s="1443"/>
      <c r="Q306" s="1443"/>
      <c r="R306" s="1443"/>
      <c r="T306" s="3" t="s">
        <v>87</v>
      </c>
      <c r="V306" s="3"/>
      <c r="W306" s="3"/>
      <c r="X306" s="3"/>
      <c r="Y306" s="3"/>
      <c r="AA306" s="1443" t="s">
        <v>2688</v>
      </c>
      <c r="AB306" s="1443"/>
      <c r="AC306" s="1443"/>
      <c r="AD306" s="1443"/>
      <c r="AE306" s="1443"/>
      <c r="AF306" s="1443"/>
      <c r="AG306" s="1443"/>
      <c r="AH306" s="1443"/>
      <c r="AI306" s="1443"/>
      <c r="AJ306" s="1443"/>
      <c r="AK306" s="1443"/>
      <c r="BN306" s="34"/>
    </row>
    <row r="307" spans="2:66" ht="13" customHeight="1">
      <c r="B307" s="3" t="s">
        <v>88</v>
      </c>
      <c r="C307" s="3"/>
      <c r="D307" s="3"/>
      <c r="E307" s="3"/>
      <c r="F307" s="3"/>
      <c r="G307" s="3"/>
      <c r="H307" s="1528" t="s">
        <v>2677</v>
      </c>
      <c r="I307" s="1528"/>
      <c r="J307" s="1528"/>
      <c r="K307" s="1528"/>
      <c r="L307" s="1528"/>
      <c r="M307" s="1528"/>
      <c r="N307" s="4" t="s">
        <v>207</v>
      </c>
      <c r="O307" s="4"/>
      <c r="P307" s="1459"/>
      <c r="Q307" s="1459"/>
      <c r="R307" s="1459"/>
      <c r="S307" s="3"/>
      <c r="T307" s="3" t="s">
        <v>88</v>
      </c>
      <c r="V307" s="3"/>
      <c r="W307" s="3"/>
      <c r="X307" s="3"/>
      <c r="Y307" s="3"/>
      <c r="AA307" s="1528" t="s">
        <v>2689</v>
      </c>
      <c r="AB307" s="1528"/>
      <c r="AC307" s="1528"/>
      <c r="AD307" s="1528"/>
      <c r="AE307" s="1528"/>
      <c r="AF307" s="1528"/>
      <c r="AG307" s="4" t="s">
        <v>207</v>
      </c>
      <c r="AH307" s="4"/>
      <c r="AI307" s="1459"/>
      <c r="AJ307" s="1459"/>
      <c r="AK307" s="1459"/>
      <c r="BN307" s="34"/>
    </row>
    <row r="308" spans="2:66" ht="13" customHeight="1">
      <c r="B308" s="3" t="s">
        <v>89</v>
      </c>
      <c r="C308" s="3"/>
      <c r="D308" s="3"/>
      <c r="E308" s="3"/>
      <c r="F308" s="3"/>
      <c r="G308" s="3"/>
      <c r="H308" s="1475"/>
      <c r="I308" s="1475"/>
      <c r="J308" s="1475"/>
      <c r="K308" s="1475"/>
      <c r="L308" s="1475"/>
      <c r="M308" s="1475"/>
      <c r="N308" s="4"/>
      <c r="O308" s="4"/>
      <c r="P308" s="35"/>
      <c r="Q308" s="35"/>
      <c r="R308" s="35"/>
      <c r="S308" s="3"/>
      <c r="T308" s="3" t="s">
        <v>89</v>
      </c>
      <c r="V308" s="3"/>
      <c r="W308" s="3"/>
      <c r="X308" s="3"/>
      <c r="Y308" s="3"/>
      <c r="AA308" s="1475"/>
      <c r="AB308" s="1475"/>
      <c r="AC308" s="1475"/>
      <c r="AD308" s="1475"/>
      <c r="AE308" s="1475"/>
      <c r="AF308" s="1475"/>
      <c r="AG308" s="4"/>
      <c r="AH308" s="4"/>
      <c r="AI308" s="35"/>
      <c r="AJ308" s="35"/>
      <c r="AK308" s="35"/>
      <c r="BN308" s="34"/>
    </row>
    <row r="309" spans="2:66" ht="13" customHeight="1">
      <c r="B309" s="3" t="s">
        <v>76</v>
      </c>
      <c r="C309" s="3"/>
      <c r="D309" s="3"/>
      <c r="E309" s="3"/>
      <c r="F309" s="3"/>
      <c r="G309" s="3"/>
      <c r="H309" s="1443" t="s">
        <v>2678</v>
      </c>
      <c r="I309" s="1443"/>
      <c r="J309" s="1443"/>
      <c r="K309" s="1443"/>
      <c r="L309" s="1443"/>
      <c r="M309" s="1443"/>
      <c r="N309" s="1460"/>
      <c r="O309" s="1460"/>
      <c r="P309" s="1460"/>
      <c r="Q309" s="1460"/>
      <c r="R309" s="1460"/>
      <c r="S309" s="3"/>
      <c r="T309" s="3" t="s">
        <v>76</v>
      </c>
      <c r="V309" s="3"/>
      <c r="W309" s="3"/>
      <c r="X309" s="3"/>
      <c r="Y309" s="3"/>
      <c r="AA309" s="1443" t="s">
        <v>2690</v>
      </c>
      <c r="AB309" s="1443"/>
      <c r="AC309" s="1443"/>
      <c r="AD309" s="1443"/>
      <c r="AE309" s="1443"/>
      <c r="AF309" s="1443"/>
      <c r="AG309" s="1460"/>
      <c r="AH309" s="1460"/>
      <c r="AI309" s="1460"/>
      <c r="AJ309" s="1460"/>
      <c r="AK309" s="1460"/>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60" t="s">
        <v>2691</v>
      </c>
      <c r="I311" s="1460"/>
      <c r="J311" s="1460"/>
      <c r="K311" s="1460"/>
      <c r="L311" s="1460"/>
      <c r="M311" s="1460"/>
      <c r="N311" s="1460"/>
      <c r="O311" s="1460"/>
      <c r="P311" s="1460"/>
      <c r="Q311" s="1460"/>
      <c r="R311" s="1460"/>
      <c r="S311" s="3"/>
      <c r="T311" s="3" t="s">
        <v>365</v>
      </c>
      <c r="V311" s="3"/>
      <c r="W311" s="3"/>
      <c r="X311" s="3"/>
      <c r="Y311" s="3"/>
      <c r="AA311" s="1460" t="s">
        <v>2697</v>
      </c>
      <c r="AB311" s="1460"/>
      <c r="AC311" s="1460"/>
      <c r="AD311" s="1460"/>
      <c r="AE311" s="1460"/>
      <c r="AF311" s="1460"/>
      <c r="AG311" s="1460"/>
      <c r="AH311" s="1460"/>
      <c r="AI311" s="1460"/>
      <c r="AJ311" s="1460"/>
      <c r="AK311" s="1460"/>
      <c r="BN311" s="34"/>
    </row>
    <row r="312" spans="2:66" ht="13" customHeight="1">
      <c r="B312" s="3" t="s">
        <v>479</v>
      </c>
      <c r="C312" s="3"/>
      <c r="D312" s="3"/>
      <c r="E312" s="3"/>
      <c r="F312" s="3"/>
      <c r="H312" s="1443" t="s">
        <v>2692</v>
      </c>
      <c r="I312" s="1443"/>
      <c r="J312" s="1443"/>
      <c r="K312" s="1443"/>
      <c r="L312" s="1443"/>
      <c r="M312" s="1443"/>
      <c r="N312" s="1443"/>
      <c r="O312" s="1443"/>
      <c r="P312" s="1443"/>
      <c r="Q312" s="1443"/>
      <c r="R312" s="1443"/>
      <c r="S312" s="3"/>
      <c r="T312" s="3" t="s">
        <v>479</v>
      </c>
      <c r="V312" s="3"/>
      <c r="W312" s="3"/>
      <c r="X312" s="3"/>
      <c r="Y312" s="3"/>
      <c r="AA312" s="1443"/>
      <c r="AB312" s="1443"/>
      <c r="AC312" s="1443"/>
      <c r="AD312" s="1443"/>
      <c r="AE312" s="1443"/>
      <c r="AF312" s="1443"/>
      <c r="AG312" s="1443"/>
      <c r="AH312" s="1443"/>
      <c r="AI312" s="1443"/>
      <c r="AJ312" s="1443"/>
      <c r="AK312" s="1443"/>
      <c r="BN312" s="34"/>
    </row>
    <row r="313" spans="2:66" ht="13" customHeight="1">
      <c r="B313" s="3" t="s">
        <v>480</v>
      </c>
      <c r="C313" s="3"/>
      <c r="D313" s="3"/>
      <c r="E313" s="3"/>
      <c r="F313" s="3"/>
      <c r="H313" s="1443" t="s">
        <v>2693</v>
      </c>
      <c r="I313" s="1443"/>
      <c r="J313" s="1443"/>
      <c r="K313" s="1443"/>
      <c r="L313" s="1443"/>
      <c r="M313" s="1443"/>
      <c r="N313" s="1443"/>
      <c r="O313" s="1443"/>
      <c r="P313" s="1443"/>
      <c r="Q313" s="1443"/>
      <c r="R313" s="1443"/>
      <c r="S313" s="3"/>
      <c r="T313" s="3" t="s">
        <v>75</v>
      </c>
      <c r="V313" s="3"/>
      <c r="W313" s="3"/>
      <c r="X313" s="3"/>
      <c r="Y313" s="3"/>
      <c r="AA313" s="1443"/>
      <c r="AB313" s="1443"/>
      <c r="AC313" s="1443"/>
      <c r="AD313" s="1443"/>
      <c r="AE313" s="1443"/>
      <c r="AF313" s="1443"/>
      <c r="AG313" s="1443"/>
      <c r="AH313" s="1443"/>
      <c r="AI313" s="1443"/>
      <c r="AJ313" s="1443"/>
      <c r="AK313" s="1443"/>
      <c r="BN313" s="34"/>
    </row>
    <row r="314" spans="2:66" ht="13" customHeight="1">
      <c r="B314" s="3" t="s">
        <v>87</v>
      </c>
      <c r="C314" s="3"/>
      <c r="D314" s="3"/>
      <c r="E314" s="3"/>
      <c r="F314" s="3"/>
      <c r="H314" s="1443" t="s">
        <v>2694</v>
      </c>
      <c r="I314" s="1443"/>
      <c r="J314" s="1443"/>
      <c r="K314" s="1443"/>
      <c r="L314" s="1443"/>
      <c r="M314" s="1443"/>
      <c r="N314" s="1443"/>
      <c r="O314" s="1443"/>
      <c r="P314" s="1443"/>
      <c r="Q314" s="1443"/>
      <c r="R314" s="1443"/>
      <c r="S314" s="3"/>
      <c r="T314" s="3" t="s">
        <v>87</v>
      </c>
      <c r="V314" s="3"/>
      <c r="W314" s="3"/>
      <c r="X314" s="3"/>
      <c r="Y314" s="3"/>
      <c r="AA314" s="1443"/>
      <c r="AB314" s="1443"/>
      <c r="AC314" s="1443"/>
      <c r="AD314" s="1443"/>
      <c r="AE314" s="1443"/>
      <c r="AF314" s="1443"/>
      <c r="AG314" s="1443"/>
      <c r="AH314" s="1443"/>
      <c r="AI314" s="1443"/>
      <c r="AJ314" s="1443"/>
      <c r="AK314" s="1443"/>
      <c r="BN314" s="34"/>
    </row>
    <row r="315" spans="2:66" ht="13" customHeight="1">
      <c r="B315" s="3" t="s">
        <v>88</v>
      </c>
      <c r="C315" s="3"/>
      <c r="D315" s="3"/>
      <c r="E315" s="3"/>
      <c r="F315" s="3"/>
      <c r="G315" s="3"/>
      <c r="H315" s="1528" t="s">
        <v>2695</v>
      </c>
      <c r="I315" s="1528"/>
      <c r="J315" s="1528"/>
      <c r="K315" s="1528"/>
      <c r="L315" s="1528"/>
      <c r="M315" s="1528"/>
      <c r="N315" s="4" t="s">
        <v>207</v>
      </c>
      <c r="O315" s="4"/>
      <c r="P315" s="1459"/>
      <c r="Q315" s="1459"/>
      <c r="R315" s="1459"/>
      <c r="S315" s="3"/>
      <c r="T315" s="3" t="s">
        <v>88</v>
      </c>
      <c r="V315" s="3"/>
      <c r="W315" s="3"/>
      <c r="X315" s="3"/>
      <c r="Y315" s="3"/>
      <c r="AA315" s="1528"/>
      <c r="AB315" s="1528"/>
      <c r="AC315" s="1528"/>
      <c r="AD315" s="1528"/>
      <c r="AE315" s="1528"/>
      <c r="AF315" s="1528"/>
      <c r="AG315" s="4" t="s">
        <v>207</v>
      </c>
      <c r="AH315" s="4"/>
      <c r="AI315" s="1459"/>
      <c r="AJ315" s="1459"/>
      <c r="AK315" s="1459"/>
      <c r="BN315" s="34"/>
    </row>
    <row r="316" spans="2:66" ht="13" customHeight="1">
      <c r="B316" s="3" t="s">
        <v>89</v>
      </c>
      <c r="C316" s="3"/>
      <c r="D316" s="3"/>
      <c r="E316" s="3"/>
      <c r="F316" s="3"/>
      <c r="G316" s="3"/>
      <c r="H316" s="1475"/>
      <c r="I316" s="1475"/>
      <c r="J316" s="1475"/>
      <c r="K316" s="1475"/>
      <c r="L316" s="1475"/>
      <c r="M316" s="1475"/>
      <c r="N316" s="4"/>
      <c r="O316" s="4"/>
      <c r="P316" s="35"/>
      <c r="Q316" s="35"/>
      <c r="R316" s="35"/>
      <c r="S316" s="3"/>
      <c r="T316" s="3" t="s">
        <v>89</v>
      </c>
      <c r="V316" s="3"/>
      <c r="W316" s="3"/>
      <c r="X316" s="3"/>
      <c r="Y316" s="3"/>
      <c r="AA316" s="1475"/>
      <c r="AB316" s="1475"/>
      <c r="AC316" s="1475"/>
      <c r="AD316" s="1475"/>
      <c r="AE316" s="1475"/>
      <c r="AF316" s="1475"/>
      <c r="AG316" s="4"/>
      <c r="AH316" s="4"/>
      <c r="AI316" s="35"/>
      <c r="AJ316" s="35"/>
      <c r="AK316" s="35"/>
      <c r="BN316" s="34"/>
    </row>
    <row r="317" spans="2:66" ht="13" customHeight="1">
      <c r="B317" s="3" t="s">
        <v>76</v>
      </c>
      <c r="C317" s="3"/>
      <c r="D317" s="3"/>
      <c r="E317" s="3"/>
      <c r="F317" s="3"/>
      <c r="G317" s="3"/>
      <c r="H317" s="1443" t="s">
        <v>2696</v>
      </c>
      <c r="I317" s="1443"/>
      <c r="J317" s="1443"/>
      <c r="K317" s="1443"/>
      <c r="L317" s="1443"/>
      <c r="M317" s="1443"/>
      <c r="N317" s="1460"/>
      <c r="O317" s="1460"/>
      <c r="P317" s="1460"/>
      <c r="Q317" s="1460"/>
      <c r="R317" s="1460"/>
      <c r="S317" s="3"/>
      <c r="T317" s="3" t="s">
        <v>76</v>
      </c>
      <c r="V317" s="3"/>
      <c r="W317" s="3"/>
      <c r="X317" s="3"/>
      <c r="Y317" s="3"/>
      <c r="AA317" s="1443"/>
      <c r="AB317" s="1443"/>
      <c r="AC317" s="1443"/>
      <c r="AD317" s="1443"/>
      <c r="AE317" s="1443"/>
      <c r="AF317" s="1443"/>
      <c r="AG317" s="1460"/>
      <c r="AH317" s="1460"/>
      <c r="AI317" s="1460"/>
      <c r="AJ317" s="1460"/>
      <c r="AK317" s="1460"/>
      <c r="BN317" s="34"/>
    </row>
    <row r="318" spans="2:66" ht="13" customHeight="1">
      <c r="BN318" s="34"/>
    </row>
    <row r="319" spans="2:66" ht="13" customHeight="1">
      <c r="B319" s="4" t="s">
        <v>923</v>
      </c>
      <c r="C319" s="3"/>
      <c r="D319" s="3"/>
      <c r="E319" s="3"/>
      <c r="F319" s="3"/>
      <c r="H319" s="1460" t="s">
        <v>2698</v>
      </c>
      <c r="I319" s="1460"/>
      <c r="J319" s="1460"/>
      <c r="K319" s="1460"/>
      <c r="L319" s="1460"/>
      <c r="M319" s="1460"/>
      <c r="N319" s="1460"/>
      <c r="O319" s="1460"/>
      <c r="P319" s="1460"/>
      <c r="Q319" s="1460"/>
      <c r="R319" s="1460"/>
      <c r="T319" s="3" t="s">
        <v>366</v>
      </c>
      <c r="V319" s="3"/>
      <c r="W319" s="3"/>
      <c r="X319" s="3"/>
      <c r="Y319" s="3"/>
      <c r="AA319" s="1460" t="s">
        <v>2704</v>
      </c>
      <c r="AB319" s="1460"/>
      <c r="AC319" s="1460"/>
      <c r="AD319" s="1460"/>
      <c r="AE319" s="1460"/>
      <c r="AF319" s="1460"/>
      <c r="AG319" s="1460"/>
      <c r="AH319" s="1460"/>
      <c r="AI319" s="1460"/>
      <c r="AJ319" s="1460"/>
      <c r="AK319" s="1460"/>
      <c r="BN319" s="34"/>
    </row>
    <row r="320" spans="2:66" ht="13" customHeight="1">
      <c r="B320" s="3" t="s">
        <v>479</v>
      </c>
      <c r="C320" s="3"/>
      <c r="D320" s="3"/>
      <c r="E320" s="3"/>
      <c r="F320" s="3"/>
      <c r="H320" s="1443" t="s">
        <v>2699</v>
      </c>
      <c r="I320" s="1443"/>
      <c r="J320" s="1443"/>
      <c r="K320" s="1443"/>
      <c r="L320" s="1443"/>
      <c r="M320" s="1443"/>
      <c r="N320" s="1443"/>
      <c r="O320" s="1443"/>
      <c r="P320" s="1443"/>
      <c r="Q320" s="1443"/>
      <c r="R320" s="1443"/>
      <c r="T320" s="3" t="s">
        <v>479</v>
      </c>
      <c r="V320" s="3"/>
      <c r="W320" s="3"/>
      <c r="X320" s="3"/>
      <c r="Y320" s="3"/>
      <c r="AA320" s="1443" t="s">
        <v>2705</v>
      </c>
      <c r="AB320" s="1443"/>
      <c r="AC320" s="1443"/>
      <c r="AD320" s="1443"/>
      <c r="AE320" s="1443"/>
      <c r="AF320" s="1443"/>
      <c r="AG320" s="1443"/>
      <c r="AH320" s="1443"/>
      <c r="AI320" s="1443"/>
      <c r="AJ320" s="1443"/>
      <c r="AK320" s="1443"/>
      <c r="BN320" s="34"/>
    </row>
    <row r="321" spans="2:66" ht="13" customHeight="1">
      <c r="B321" s="3" t="s">
        <v>480</v>
      </c>
      <c r="C321" s="3"/>
      <c r="D321" s="3"/>
      <c r="E321" s="3"/>
      <c r="F321" s="3"/>
      <c r="H321" s="1443" t="s">
        <v>2669</v>
      </c>
      <c r="I321" s="1443"/>
      <c r="J321" s="1443"/>
      <c r="K321" s="1443"/>
      <c r="L321" s="1443"/>
      <c r="M321" s="1443"/>
      <c r="N321" s="1443"/>
      <c r="O321" s="1443"/>
      <c r="P321" s="1443"/>
      <c r="Q321" s="1443"/>
      <c r="R321" s="1443"/>
      <c r="T321" s="3" t="s">
        <v>75</v>
      </c>
      <c r="V321" s="3"/>
      <c r="W321" s="3"/>
      <c r="X321" s="3"/>
      <c r="Y321" s="3"/>
      <c r="AA321" s="1443" t="s">
        <v>2706</v>
      </c>
      <c r="AB321" s="1443"/>
      <c r="AC321" s="1443"/>
      <c r="AD321" s="1443"/>
      <c r="AE321" s="1443"/>
      <c r="AF321" s="1443"/>
      <c r="AG321" s="1443"/>
      <c r="AH321" s="1443"/>
      <c r="AI321" s="1443"/>
      <c r="AJ321" s="1443"/>
      <c r="AK321" s="1443"/>
      <c r="BN321" s="34"/>
    </row>
    <row r="322" spans="2:66" ht="13" customHeight="1">
      <c r="B322" s="3" t="s">
        <v>87</v>
      </c>
      <c r="C322" s="3"/>
      <c r="D322" s="3"/>
      <c r="E322" s="3"/>
      <c r="F322" s="3"/>
      <c r="H322" s="1443" t="s">
        <v>2700</v>
      </c>
      <c r="I322" s="1443"/>
      <c r="J322" s="1443"/>
      <c r="K322" s="1443"/>
      <c r="L322" s="1443"/>
      <c r="M322" s="1443"/>
      <c r="N322" s="1443"/>
      <c r="O322" s="1443"/>
      <c r="P322" s="1443"/>
      <c r="Q322" s="1443"/>
      <c r="R322" s="1443"/>
      <c r="T322" s="3" t="s">
        <v>87</v>
      </c>
      <c r="V322" s="3"/>
      <c r="W322" s="3"/>
      <c r="X322" s="3"/>
      <c r="Y322" s="3"/>
      <c r="AA322" s="1443" t="s">
        <v>2707</v>
      </c>
      <c r="AB322" s="1443"/>
      <c r="AC322" s="1443"/>
      <c r="AD322" s="1443"/>
      <c r="AE322" s="1443"/>
      <c r="AF322" s="1443"/>
      <c r="AG322" s="1443"/>
      <c r="AH322" s="1443"/>
      <c r="AI322" s="1443"/>
      <c r="AJ322" s="1443"/>
      <c r="AK322" s="1443"/>
      <c r="BN322" s="34"/>
    </row>
    <row r="323" spans="2:66" ht="13" customHeight="1">
      <c r="B323" s="3" t="s">
        <v>88</v>
      </c>
      <c r="C323" s="3"/>
      <c r="D323" s="3"/>
      <c r="E323" s="3"/>
      <c r="F323" s="3"/>
      <c r="G323" s="3"/>
      <c r="H323" s="1528" t="s">
        <v>2701</v>
      </c>
      <c r="I323" s="1528"/>
      <c r="J323" s="1528"/>
      <c r="K323" s="1528"/>
      <c r="L323" s="1528"/>
      <c r="M323" s="1528"/>
      <c r="N323" s="4" t="s">
        <v>207</v>
      </c>
      <c r="O323" s="4"/>
      <c r="P323" s="1459">
        <v>2</v>
      </c>
      <c r="Q323" s="1459"/>
      <c r="R323" s="1459"/>
      <c r="S323" s="3"/>
      <c r="T323" s="3" t="s">
        <v>88</v>
      </c>
      <c r="V323" s="3"/>
      <c r="W323" s="3"/>
      <c r="X323" s="3"/>
      <c r="Y323" s="3"/>
      <c r="AA323" s="1528" t="s">
        <v>2708</v>
      </c>
      <c r="AB323" s="1528"/>
      <c r="AC323" s="1528"/>
      <c r="AD323" s="1528"/>
      <c r="AE323" s="1528"/>
      <c r="AF323" s="1528"/>
      <c r="AG323" s="4" t="s">
        <v>207</v>
      </c>
      <c r="AH323" s="4"/>
      <c r="AI323" s="1459"/>
      <c r="AJ323" s="1459"/>
      <c r="AK323" s="1459"/>
    </row>
    <row r="324" spans="2:66" ht="13" customHeight="1">
      <c r="B324" s="3" t="s">
        <v>89</v>
      </c>
      <c r="C324" s="3"/>
      <c r="D324" s="3"/>
      <c r="E324" s="3"/>
      <c r="F324" s="3"/>
      <c r="G324" s="3"/>
      <c r="H324" s="1475" t="s">
        <v>2702</v>
      </c>
      <c r="I324" s="1475"/>
      <c r="J324" s="1475"/>
      <c r="K324" s="1475"/>
      <c r="L324" s="1475"/>
      <c r="M324" s="1475"/>
      <c r="N324" s="4"/>
      <c r="O324" s="4"/>
      <c r="P324" s="35"/>
      <c r="Q324" s="35"/>
      <c r="R324" s="35"/>
      <c r="S324" s="3"/>
      <c r="T324" s="3" t="s">
        <v>89</v>
      </c>
      <c r="V324" s="3"/>
      <c r="W324" s="3"/>
      <c r="X324" s="3"/>
      <c r="Y324" s="3"/>
      <c r="AA324" s="1475"/>
      <c r="AB324" s="1475"/>
      <c r="AC324" s="1475"/>
      <c r="AD324" s="1475"/>
      <c r="AE324" s="1475"/>
      <c r="AF324" s="1475"/>
      <c r="AG324" s="4"/>
      <c r="AH324" s="4"/>
      <c r="AI324" s="35"/>
      <c r="AJ324" s="35"/>
      <c r="AK324" s="35"/>
    </row>
    <row r="325" spans="2:66" ht="13" customHeight="1">
      <c r="B325" s="3" t="s">
        <v>76</v>
      </c>
      <c r="C325" s="3"/>
      <c r="D325" s="3"/>
      <c r="E325" s="3"/>
      <c r="F325" s="3"/>
      <c r="G325" s="3"/>
      <c r="H325" s="1443" t="s">
        <v>2703</v>
      </c>
      <c r="I325" s="1443"/>
      <c r="J325" s="1443"/>
      <c r="K325" s="1443"/>
      <c r="L325" s="1443"/>
      <c r="M325" s="1443"/>
      <c r="N325" s="1460"/>
      <c r="O325" s="1460"/>
      <c r="P325" s="1460"/>
      <c r="Q325" s="1460"/>
      <c r="R325" s="1460"/>
      <c r="S325" s="3"/>
      <c r="T325" s="3" t="s">
        <v>76</v>
      </c>
      <c r="V325" s="3"/>
      <c r="W325" s="3"/>
      <c r="X325" s="3"/>
      <c r="Y325" s="3"/>
      <c r="AA325" s="1443" t="s">
        <v>2709</v>
      </c>
      <c r="AB325" s="1443"/>
      <c r="AC325" s="1443"/>
      <c r="AD325" s="1443"/>
      <c r="AE325" s="1443"/>
      <c r="AF325" s="1443"/>
      <c r="AG325" s="1460"/>
      <c r="AH325" s="1460"/>
      <c r="AI325" s="1460"/>
      <c r="AJ325" s="1460"/>
      <c r="AK325" s="1460"/>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60" t="s">
        <v>2710</v>
      </c>
      <c r="I327" s="1460"/>
      <c r="J327" s="1460"/>
      <c r="K327" s="1460"/>
      <c r="L327" s="1460"/>
      <c r="M327" s="1460"/>
      <c r="N327" s="1460"/>
      <c r="O327" s="1460"/>
      <c r="P327" s="1460"/>
      <c r="Q327" s="1460"/>
      <c r="R327" s="1460"/>
      <c r="T327" s="3" t="s">
        <v>368</v>
      </c>
      <c r="V327" s="3"/>
      <c r="W327" s="3"/>
      <c r="X327" s="3"/>
      <c r="Y327" s="3"/>
      <c r="AA327" s="1460" t="s">
        <v>599</v>
      </c>
      <c r="AB327" s="1460"/>
      <c r="AC327" s="1460"/>
      <c r="AD327" s="1460"/>
      <c r="AE327" s="1460"/>
      <c r="AF327" s="1460"/>
      <c r="AG327" s="1460"/>
      <c r="AH327" s="1460"/>
      <c r="AI327" s="1460"/>
      <c r="AJ327" s="1460"/>
      <c r="AK327" s="1460"/>
    </row>
    <row r="328" spans="2:66" ht="13" customHeight="1">
      <c r="B328" s="3" t="s">
        <v>479</v>
      </c>
      <c r="C328" s="3"/>
      <c r="D328" s="3"/>
      <c r="E328" s="3"/>
      <c r="F328" s="3"/>
      <c r="H328" s="1443" t="s">
        <v>2711</v>
      </c>
      <c r="I328" s="1443"/>
      <c r="J328" s="1443"/>
      <c r="K328" s="1443"/>
      <c r="L328" s="1443"/>
      <c r="M328" s="1443"/>
      <c r="N328" s="1443"/>
      <c r="O328" s="1443"/>
      <c r="P328" s="1443"/>
      <c r="Q328" s="1443"/>
      <c r="R328" s="1443"/>
      <c r="T328" s="3" t="s">
        <v>479</v>
      </c>
      <c r="V328" s="3"/>
      <c r="W328" s="3"/>
      <c r="X328" s="3"/>
      <c r="Y328" s="3"/>
      <c r="AA328" s="1443"/>
      <c r="AB328" s="1443"/>
      <c r="AC328" s="1443"/>
      <c r="AD328" s="1443"/>
      <c r="AE328" s="1443"/>
      <c r="AF328" s="1443"/>
      <c r="AG328" s="1443"/>
      <c r="AH328" s="1443"/>
      <c r="AI328" s="1443"/>
      <c r="AJ328" s="1443"/>
      <c r="AK328" s="1443"/>
    </row>
    <row r="329" spans="2:66" ht="13" customHeight="1">
      <c r="B329" s="3" t="s">
        <v>480</v>
      </c>
      <c r="C329" s="3"/>
      <c r="D329" s="3"/>
      <c r="E329" s="3"/>
      <c r="F329" s="3"/>
      <c r="H329" s="1443" t="s">
        <v>2712</v>
      </c>
      <c r="I329" s="1443"/>
      <c r="J329" s="1443"/>
      <c r="K329" s="1443"/>
      <c r="L329" s="1443"/>
      <c r="M329" s="1443"/>
      <c r="N329" s="1443"/>
      <c r="O329" s="1443"/>
      <c r="P329" s="1443"/>
      <c r="Q329" s="1443"/>
      <c r="R329" s="1443"/>
      <c r="T329" s="3" t="s">
        <v>75</v>
      </c>
      <c r="V329" s="3"/>
      <c r="W329" s="3"/>
      <c r="X329" s="3"/>
      <c r="Y329" s="3"/>
      <c r="AA329" s="1443"/>
      <c r="AB329" s="1443"/>
      <c r="AC329" s="1443"/>
      <c r="AD329" s="1443"/>
      <c r="AE329" s="1443"/>
      <c r="AF329" s="1443"/>
      <c r="AG329" s="1443"/>
      <c r="AH329" s="1443"/>
      <c r="AI329" s="1443"/>
      <c r="AJ329" s="1443"/>
      <c r="AK329" s="1443"/>
    </row>
    <row r="330" spans="2:66" ht="13" customHeight="1">
      <c r="B330" s="3" t="s">
        <v>87</v>
      </c>
      <c r="C330" s="3"/>
      <c r="D330" s="3"/>
      <c r="E330" s="3"/>
      <c r="F330" s="3"/>
      <c r="H330" s="1443" t="s">
        <v>2713</v>
      </c>
      <c r="I330" s="1443"/>
      <c r="J330" s="1443"/>
      <c r="K330" s="1443"/>
      <c r="L330" s="1443"/>
      <c r="M330" s="1443"/>
      <c r="N330" s="1443"/>
      <c r="O330" s="1443"/>
      <c r="P330" s="1443"/>
      <c r="Q330" s="1443"/>
      <c r="R330" s="1443"/>
      <c r="T330" s="3" t="s">
        <v>87</v>
      </c>
      <c r="V330" s="3"/>
      <c r="W330" s="3"/>
      <c r="X330" s="3"/>
      <c r="Y330" s="3"/>
      <c r="AA330" s="1443"/>
      <c r="AB330" s="1443"/>
      <c r="AC330" s="1443"/>
      <c r="AD330" s="1443"/>
      <c r="AE330" s="1443"/>
      <c r="AF330" s="1443"/>
      <c r="AG330" s="1443"/>
      <c r="AH330" s="1443"/>
      <c r="AI330" s="1443"/>
      <c r="AJ330" s="1443"/>
      <c r="AK330" s="1443"/>
    </row>
    <row r="331" spans="2:66" ht="13" customHeight="1">
      <c r="B331" s="3" t="s">
        <v>88</v>
      </c>
      <c r="C331" s="3"/>
      <c r="D331" s="3"/>
      <c r="E331" s="3"/>
      <c r="F331" s="3"/>
      <c r="G331" s="3"/>
      <c r="H331" s="1528" t="s">
        <v>2714</v>
      </c>
      <c r="I331" s="1528"/>
      <c r="J331" s="1528"/>
      <c r="K331" s="1528"/>
      <c r="L331" s="1528"/>
      <c r="M331" s="1528"/>
      <c r="N331" s="4" t="s">
        <v>207</v>
      </c>
      <c r="O331" s="4"/>
      <c r="P331" s="1459"/>
      <c r="Q331" s="1459"/>
      <c r="R331" s="1459"/>
      <c r="S331" s="3"/>
      <c r="T331" s="3" t="s">
        <v>88</v>
      </c>
      <c r="V331" s="3"/>
      <c r="W331" s="3"/>
      <c r="X331" s="3"/>
      <c r="Y331" s="3"/>
      <c r="AA331" s="1528"/>
      <c r="AB331" s="1528"/>
      <c r="AC331" s="1528"/>
      <c r="AD331" s="1528"/>
      <c r="AE331" s="1528"/>
      <c r="AF331" s="1528"/>
      <c r="AG331" s="4" t="s">
        <v>207</v>
      </c>
      <c r="AH331" s="4"/>
      <c r="AI331" s="1459"/>
      <c r="AJ331" s="1459"/>
      <c r="AK331" s="1459"/>
    </row>
    <row r="332" spans="2:66" ht="13" customHeight="1">
      <c r="B332" s="3" t="s">
        <v>89</v>
      </c>
      <c r="C332" s="3"/>
      <c r="D332" s="3"/>
      <c r="E332" s="3"/>
      <c r="F332" s="3"/>
      <c r="G332" s="3"/>
      <c r="H332" s="1475"/>
      <c r="I332" s="1475"/>
      <c r="J332" s="1475"/>
      <c r="K332" s="1475"/>
      <c r="L332" s="1475"/>
      <c r="M332" s="1475"/>
      <c r="N332" s="4"/>
      <c r="O332" s="4"/>
      <c r="P332" s="35"/>
      <c r="Q332" s="35"/>
      <c r="R332" s="35"/>
      <c r="S332" s="3"/>
      <c r="T332" s="3" t="s">
        <v>89</v>
      </c>
      <c r="V332" s="3"/>
      <c r="W332" s="3"/>
      <c r="X332" s="3"/>
      <c r="Y332" s="3"/>
      <c r="AA332" s="1475"/>
      <c r="AB332" s="1475"/>
      <c r="AC332" s="1475"/>
      <c r="AD332" s="1475"/>
      <c r="AE332" s="1475"/>
      <c r="AF332" s="1475"/>
      <c r="AG332" s="4"/>
      <c r="AH332" s="4"/>
      <c r="AI332" s="35"/>
      <c r="AJ332" s="35"/>
      <c r="AK332" s="35"/>
    </row>
    <row r="333" spans="2:66" ht="13" customHeight="1">
      <c r="B333" s="3" t="s">
        <v>76</v>
      </c>
      <c r="C333" s="3"/>
      <c r="D333" s="3"/>
      <c r="E333" s="3"/>
      <c r="F333" s="3"/>
      <c r="G333" s="3"/>
      <c r="H333" s="1443" t="s">
        <v>2715</v>
      </c>
      <c r="I333" s="1443"/>
      <c r="J333" s="1443"/>
      <c r="K333" s="1443"/>
      <c r="L333" s="1443"/>
      <c r="M333" s="1443"/>
      <c r="N333" s="1460"/>
      <c r="O333" s="1460"/>
      <c r="P333" s="1460"/>
      <c r="Q333" s="1460"/>
      <c r="R333" s="1460"/>
      <c r="S333" s="3"/>
      <c r="T333" s="3" t="s">
        <v>76</v>
      </c>
      <c r="V333" s="3"/>
      <c r="W333" s="3"/>
      <c r="X333" s="3"/>
      <c r="Y333" s="3"/>
      <c r="AA333" s="1443"/>
      <c r="AB333" s="1443"/>
      <c r="AC333" s="1443"/>
      <c r="AD333" s="1443"/>
      <c r="AE333" s="1443"/>
      <c r="AF333" s="1443"/>
      <c r="AG333" s="1460"/>
      <c r="AH333" s="1460"/>
      <c r="AI333" s="1460"/>
      <c r="AJ333" s="1460"/>
      <c r="AK333" s="1460"/>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60" t="s">
        <v>2716</v>
      </c>
      <c r="I335" s="1460"/>
      <c r="J335" s="1460"/>
      <c r="K335" s="1460"/>
      <c r="L335" s="1460"/>
      <c r="M335" s="1460"/>
      <c r="N335" s="1460"/>
      <c r="O335" s="1460"/>
      <c r="P335" s="1460"/>
      <c r="Q335" s="1460"/>
      <c r="R335" s="1460"/>
      <c r="T335" s="218" t="s">
        <v>899</v>
      </c>
      <c r="V335" s="3"/>
      <c r="W335" s="3"/>
      <c r="X335" s="3"/>
      <c r="Y335" s="3"/>
      <c r="AA335" s="1472" t="s">
        <v>2799</v>
      </c>
      <c r="AB335" s="1460"/>
      <c r="AC335" s="1460"/>
      <c r="AD335" s="1460"/>
      <c r="AE335" s="1460"/>
      <c r="AF335" s="1460"/>
      <c r="AG335" s="1460"/>
      <c r="AH335" s="1460"/>
      <c r="AI335" s="1460"/>
      <c r="AJ335" s="1460"/>
      <c r="AK335" s="1460"/>
    </row>
    <row r="336" spans="2:66" ht="13" customHeight="1">
      <c r="B336" s="3" t="s">
        <v>479</v>
      </c>
      <c r="C336" s="3"/>
      <c r="D336" s="3"/>
      <c r="E336" s="3"/>
      <c r="F336" s="3"/>
      <c r="H336" s="1443" t="s">
        <v>2717</v>
      </c>
      <c r="I336" s="1443"/>
      <c r="J336" s="1443"/>
      <c r="K336" s="1443"/>
      <c r="L336" s="1443"/>
      <c r="M336" s="1443"/>
      <c r="N336" s="1443"/>
      <c r="O336" s="1443"/>
      <c r="P336" s="1443"/>
      <c r="Q336" s="1443"/>
      <c r="R336" s="1443"/>
      <c r="T336" s="3" t="s">
        <v>479</v>
      </c>
      <c r="V336" s="3"/>
      <c r="W336" s="3"/>
      <c r="X336" s="3"/>
      <c r="Y336" s="3"/>
      <c r="AA336" s="1443" t="s">
        <v>2723</v>
      </c>
      <c r="AB336" s="1443"/>
      <c r="AC336" s="1443"/>
      <c r="AD336" s="1443"/>
      <c r="AE336" s="1443"/>
      <c r="AF336" s="1443"/>
      <c r="AG336" s="1443"/>
      <c r="AH336" s="1443"/>
      <c r="AI336" s="1443"/>
      <c r="AJ336" s="1443"/>
      <c r="AK336" s="1443"/>
    </row>
    <row r="337" spans="1:66" ht="13" customHeight="1">
      <c r="B337" s="3" t="s">
        <v>75</v>
      </c>
      <c r="C337" s="3"/>
      <c r="D337" s="3"/>
      <c r="E337" s="3"/>
      <c r="F337" s="3"/>
      <c r="H337" s="1443" t="s">
        <v>2718</v>
      </c>
      <c r="I337" s="1443"/>
      <c r="J337" s="1443"/>
      <c r="K337" s="1443"/>
      <c r="L337" s="1443"/>
      <c r="M337" s="1443"/>
      <c r="N337" s="1443"/>
      <c r="O337" s="1443"/>
      <c r="P337" s="1443"/>
      <c r="Q337" s="1443"/>
      <c r="R337" s="1443"/>
      <c r="T337" s="3" t="s">
        <v>75</v>
      </c>
      <c r="V337" s="3"/>
      <c r="W337" s="3"/>
      <c r="X337" s="3"/>
      <c r="Y337" s="3"/>
      <c r="AA337" s="1443" t="s">
        <v>2724</v>
      </c>
      <c r="AB337" s="1443"/>
      <c r="AC337" s="1443"/>
      <c r="AD337" s="1443"/>
      <c r="AE337" s="1443"/>
      <c r="AF337" s="1443"/>
      <c r="AG337" s="1443"/>
      <c r="AH337" s="1443"/>
      <c r="AI337" s="1443"/>
      <c r="AJ337" s="1443"/>
      <c r="AK337" s="1443"/>
    </row>
    <row r="338" spans="1:66" ht="13" customHeight="1">
      <c r="B338" s="3" t="s">
        <v>87</v>
      </c>
      <c r="C338" s="3"/>
      <c r="D338" s="3"/>
      <c r="E338" s="3"/>
      <c r="F338" s="3"/>
      <c r="G338" s="3"/>
      <c r="H338" s="1443" t="s">
        <v>2719</v>
      </c>
      <c r="I338" s="1443"/>
      <c r="J338" s="1443"/>
      <c r="K338" s="1443"/>
      <c r="L338" s="1443"/>
      <c r="M338" s="1443"/>
      <c r="N338" s="1443"/>
      <c r="O338" s="1443"/>
      <c r="P338" s="1443"/>
      <c r="Q338" s="1443"/>
      <c r="R338" s="1443"/>
      <c r="T338" s="3" t="s">
        <v>87</v>
      </c>
      <c r="V338" s="3"/>
      <c r="W338" s="3"/>
      <c r="X338" s="3"/>
      <c r="Y338" s="3"/>
      <c r="AA338" s="1443" t="s">
        <v>2725</v>
      </c>
      <c r="AB338" s="1443"/>
      <c r="AC338" s="1443"/>
      <c r="AD338" s="1443"/>
      <c r="AE338" s="1443"/>
      <c r="AF338" s="1443"/>
      <c r="AG338" s="1443"/>
      <c r="AH338" s="1443"/>
      <c r="AI338" s="1443"/>
      <c r="AJ338" s="1443"/>
      <c r="AK338" s="1443"/>
    </row>
    <row r="339" spans="1:66" ht="13" customHeight="1">
      <c r="B339" s="3" t="s">
        <v>88</v>
      </c>
      <c r="C339" s="3"/>
      <c r="D339" s="3"/>
      <c r="E339" s="3"/>
      <c r="F339" s="3"/>
      <c r="G339" s="3"/>
      <c r="H339" s="1528" t="s">
        <v>2720</v>
      </c>
      <c r="I339" s="1528"/>
      <c r="J339" s="1528"/>
      <c r="K339" s="1528"/>
      <c r="L339" s="1528"/>
      <c r="M339" s="1528"/>
      <c r="N339" s="4" t="s">
        <v>207</v>
      </c>
      <c r="O339" s="4"/>
      <c r="P339" s="1459"/>
      <c r="Q339" s="1459"/>
      <c r="R339" s="1459"/>
      <c r="S339" s="3"/>
      <c r="T339" s="3" t="s">
        <v>88</v>
      </c>
      <c r="V339" s="3"/>
      <c r="W339" s="3"/>
      <c r="X339" s="3"/>
      <c r="Y339" s="3"/>
      <c r="AA339" s="1528" t="s">
        <v>2726</v>
      </c>
      <c r="AB339" s="1528"/>
      <c r="AC339" s="1528"/>
      <c r="AD339" s="1528"/>
      <c r="AE339" s="1528"/>
      <c r="AF339" s="1528"/>
      <c r="AG339" s="4" t="s">
        <v>207</v>
      </c>
      <c r="AH339" s="4"/>
      <c r="AI339" s="1459"/>
      <c r="AJ339" s="1459"/>
      <c r="AK339" s="1459"/>
    </row>
    <row r="340" spans="1:66" ht="13" customHeight="1">
      <c r="B340" s="3" t="s">
        <v>89</v>
      </c>
      <c r="C340" s="3"/>
      <c r="D340" s="3"/>
      <c r="E340" s="3"/>
      <c r="F340" s="3"/>
      <c r="G340" s="3"/>
      <c r="H340" s="1475" t="s">
        <v>2721</v>
      </c>
      <c r="I340" s="1475"/>
      <c r="J340" s="1475"/>
      <c r="K340" s="1475"/>
      <c r="L340" s="1475"/>
      <c r="M340" s="1475"/>
      <c r="N340" s="4"/>
      <c r="O340" s="4"/>
      <c r="P340" s="35"/>
      <c r="Q340" s="35"/>
      <c r="R340" s="35"/>
      <c r="S340" s="3"/>
      <c r="T340" s="3" t="s">
        <v>89</v>
      </c>
      <c r="V340" s="3"/>
      <c r="W340" s="3"/>
      <c r="X340" s="3"/>
      <c r="Y340" s="3"/>
      <c r="AA340" s="1475"/>
      <c r="AB340" s="1475"/>
      <c r="AC340" s="1475"/>
      <c r="AD340" s="1475"/>
      <c r="AE340" s="1475"/>
      <c r="AF340" s="1475"/>
      <c r="AG340" s="4"/>
      <c r="AH340" s="4"/>
      <c r="AI340" s="35"/>
      <c r="AJ340" s="35"/>
      <c r="AK340" s="35"/>
    </row>
    <row r="341" spans="1:66" ht="13" customHeight="1">
      <c r="B341" s="3" t="s">
        <v>76</v>
      </c>
      <c r="C341" s="3"/>
      <c r="D341" s="3"/>
      <c r="E341" s="3"/>
      <c r="F341" s="3"/>
      <c r="G341" s="3"/>
      <c r="H341" s="1443" t="s">
        <v>2722</v>
      </c>
      <c r="I341" s="1443"/>
      <c r="J341" s="1443"/>
      <c r="K341" s="1443"/>
      <c r="L341" s="1443"/>
      <c r="M341" s="1443"/>
      <c r="N341" s="1460"/>
      <c r="O341" s="1460"/>
      <c r="P341" s="1460"/>
      <c r="Q341" s="1460"/>
      <c r="R341" s="1460"/>
      <c r="S341" s="3"/>
      <c r="T341" s="3" t="s">
        <v>76</v>
      </c>
      <c r="V341" s="3"/>
      <c r="W341" s="3"/>
      <c r="X341" s="3"/>
      <c r="Y341" s="3"/>
      <c r="AA341" s="1443" t="s">
        <v>2727</v>
      </c>
      <c r="AB341" s="1443"/>
      <c r="AC341" s="1443"/>
      <c r="AD341" s="1443"/>
      <c r="AE341" s="1443"/>
      <c r="AF341" s="1443"/>
      <c r="AG341" s="1460"/>
      <c r="AH341" s="1460"/>
      <c r="AI341" s="1460"/>
      <c r="AJ341" s="1460"/>
      <c r="AK341" s="1460"/>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60" t="s">
        <v>599</v>
      </c>
      <c r="Q343" s="1460"/>
      <c r="R343" s="1460"/>
      <c r="S343" s="1460"/>
      <c r="T343" s="1460"/>
      <c r="U343" s="1460"/>
      <c r="V343" s="1460"/>
      <c r="W343" s="1460"/>
      <c r="X343" s="1460"/>
      <c r="Y343" s="1460"/>
      <c r="Z343" s="1460"/>
      <c r="AA343" s="1460"/>
      <c r="AB343" s="1460"/>
      <c r="AC343" s="1460"/>
      <c r="AD343" s="1460"/>
      <c r="AE343" s="1460"/>
      <c r="BN343" t="s">
        <v>677</v>
      </c>
    </row>
    <row r="344" spans="1:66" ht="13" customHeight="1">
      <c r="B344" s="4"/>
      <c r="C344" s="4"/>
      <c r="D344" s="4"/>
      <c r="E344" s="4"/>
      <c r="F344" s="4"/>
      <c r="I344" s="4" t="s">
        <v>479</v>
      </c>
      <c r="P344" s="1443"/>
      <c r="Q344" s="1443"/>
      <c r="R344" s="1443"/>
      <c r="S344" s="1443"/>
      <c r="T344" s="1443"/>
      <c r="U344" s="1443"/>
      <c r="V344" s="1443"/>
      <c r="W344" s="1443"/>
      <c r="X344" s="1443"/>
      <c r="Y344" s="1443"/>
      <c r="Z344" s="1443"/>
      <c r="AA344" s="1443"/>
      <c r="AB344" s="1443"/>
      <c r="AC344" s="1443"/>
      <c r="AD344" s="1443"/>
      <c r="AE344" s="1443"/>
      <c r="BN344" t="s">
        <v>553</v>
      </c>
    </row>
    <row r="345" spans="1:66" ht="13" customHeight="1">
      <c r="B345" s="4"/>
      <c r="C345" s="4"/>
      <c r="D345" s="4"/>
      <c r="E345" s="4"/>
      <c r="F345" s="4"/>
      <c r="I345" s="4" t="s">
        <v>75</v>
      </c>
      <c r="P345" s="1443"/>
      <c r="Q345" s="1443"/>
      <c r="R345" s="1443"/>
      <c r="S345" s="1443"/>
      <c r="T345" s="1443"/>
      <c r="U345" s="1443"/>
      <c r="V345" s="1443"/>
      <c r="W345" s="1443"/>
      <c r="X345" s="1443"/>
      <c r="Y345" s="1443"/>
      <c r="Z345" s="1443"/>
      <c r="AA345" s="1443"/>
      <c r="AB345" s="1443"/>
      <c r="AC345" s="1443"/>
      <c r="AD345" s="1443"/>
      <c r="AE345" s="1443"/>
    </row>
    <row r="346" spans="1:66" ht="13" customHeight="1">
      <c r="B346" s="4"/>
      <c r="C346" s="4"/>
      <c r="D346" s="4"/>
      <c r="E346" s="4"/>
      <c r="F346" s="4"/>
      <c r="G346" s="4"/>
      <c r="I346" s="4" t="s">
        <v>87</v>
      </c>
      <c r="P346" s="1443"/>
      <c r="Q346" s="1443"/>
      <c r="R346" s="1443"/>
      <c r="S346" s="1443"/>
      <c r="T346" s="1443"/>
      <c r="U346" s="1443"/>
      <c r="V346" s="1443"/>
      <c r="W346" s="1443"/>
      <c r="X346" s="1443"/>
      <c r="Y346" s="1443"/>
      <c r="Z346" s="1443"/>
      <c r="AA346" s="1443"/>
      <c r="AB346" s="1443"/>
      <c r="AC346" s="1443"/>
      <c r="AD346" s="1443"/>
      <c r="AE346" s="1443"/>
    </row>
    <row r="347" spans="1:66" ht="13" customHeight="1">
      <c r="B347" s="4"/>
      <c r="C347" s="4"/>
      <c r="D347" s="4"/>
      <c r="E347" s="4"/>
      <c r="F347" s="4"/>
      <c r="G347" s="4"/>
      <c r="H347" s="324"/>
      <c r="I347" s="4" t="s">
        <v>88</v>
      </c>
      <c r="P347" s="1475"/>
      <c r="Q347" s="1475"/>
      <c r="R347" s="1475"/>
      <c r="S347" s="1475"/>
      <c r="T347" s="1475"/>
      <c r="U347" s="1475"/>
      <c r="V347" s="1475"/>
      <c r="W347" s="1475"/>
      <c r="X347" s="1475"/>
      <c r="Y347" s="1475"/>
      <c r="Z347" s="1475"/>
      <c r="AA347" s="4" t="s">
        <v>207</v>
      </c>
      <c r="AB347" s="4"/>
      <c r="AC347" s="1438"/>
      <c r="AD347" s="1438"/>
      <c r="AE347" s="1438"/>
      <c r="AF347" s="324"/>
      <c r="AG347" s="4"/>
      <c r="AH347" s="4"/>
      <c r="AI347" s="4"/>
      <c r="AJ347" s="4"/>
      <c r="AK347" s="4"/>
    </row>
    <row r="348" spans="1:66" ht="13" customHeight="1">
      <c r="B348" s="4"/>
      <c r="C348" s="4"/>
      <c r="D348" s="4"/>
      <c r="E348" s="4"/>
      <c r="F348" s="4"/>
      <c r="G348" s="4"/>
      <c r="H348" s="324"/>
      <c r="I348" s="4" t="s">
        <v>89</v>
      </c>
      <c r="P348" s="1475"/>
      <c r="Q348" s="1475"/>
      <c r="R348" s="1475"/>
      <c r="S348" s="1475"/>
      <c r="T348" s="1475"/>
      <c r="U348" s="1475"/>
      <c r="V348" s="1475"/>
      <c r="W348" s="1475"/>
      <c r="X348" s="1475"/>
      <c r="Y348" s="1475"/>
      <c r="Z348" s="1475"/>
      <c r="AF348" s="324"/>
      <c r="AG348" s="4"/>
      <c r="AH348" s="4"/>
      <c r="AI348" s="35"/>
      <c r="AJ348" s="35"/>
      <c r="AK348" s="35"/>
    </row>
    <row r="349" spans="1:66" ht="13" customHeight="1">
      <c r="B349" s="4"/>
      <c r="C349" s="4"/>
      <c r="D349" s="4"/>
      <c r="E349" s="4"/>
      <c r="F349" s="4"/>
      <c r="G349" s="4"/>
      <c r="I349" s="4" t="s">
        <v>76</v>
      </c>
      <c r="P349" s="1460"/>
      <c r="Q349" s="1460"/>
      <c r="R349" s="1460"/>
      <c r="S349" s="1460"/>
      <c r="T349" s="1460"/>
      <c r="U349" s="1460"/>
      <c r="V349" s="1460"/>
      <c r="W349" s="1460"/>
      <c r="X349" s="1460"/>
      <c r="Y349" s="1460"/>
      <c r="Z349" s="1460"/>
      <c r="AA349" s="1460"/>
      <c r="AB349" s="1460"/>
      <c r="AC349" s="1460"/>
      <c r="AD349" s="1460"/>
      <c r="AE349" s="1460"/>
    </row>
    <row r="350" spans="1:66" ht="13" customHeight="1">
      <c r="T350" s="8"/>
      <c r="U350" s="8"/>
      <c r="V350" s="8"/>
      <c r="W350" s="8"/>
      <c r="X350" s="8"/>
      <c r="Y350" s="8"/>
      <c r="Z350" s="8"/>
      <c r="AU350" s="95"/>
      <c r="AV350" s="95"/>
      <c r="AW350" s="95"/>
      <c r="AX350" s="95"/>
      <c r="AY350" s="95"/>
    </row>
    <row r="351" spans="1:66" ht="13" customHeight="1">
      <c r="A351" s="1735" t="s">
        <v>550</v>
      </c>
      <c r="B351" s="1735"/>
      <c r="C351" s="1735"/>
      <c r="D351" s="1735"/>
      <c r="E351" s="1735"/>
      <c r="F351" s="1735"/>
      <c r="G351" s="1735"/>
      <c r="H351" s="1735"/>
      <c r="I351" s="1735"/>
      <c r="J351" s="1735"/>
      <c r="K351" s="1735"/>
      <c r="L351" s="1735"/>
      <c r="M351" s="1735"/>
      <c r="N351" s="1735"/>
      <c r="O351" s="1735"/>
      <c r="P351" s="1735"/>
      <c r="Q351" s="1735"/>
      <c r="R351" s="1735"/>
      <c r="S351" s="1735"/>
      <c r="T351" s="1735"/>
      <c r="U351" s="1735"/>
      <c r="V351" s="1735"/>
      <c r="W351" s="1735"/>
      <c r="X351" s="1735"/>
      <c r="Y351" s="1735"/>
      <c r="Z351" s="1735"/>
      <c r="AA351" s="1735"/>
      <c r="AB351" s="1735"/>
      <c r="AC351" s="1735"/>
      <c r="AD351" s="1735"/>
      <c r="AE351" s="1735"/>
      <c r="AF351" s="1735"/>
      <c r="AG351" s="1735"/>
      <c r="AH351" s="1735"/>
      <c r="AI351" s="1735"/>
      <c r="AJ351" s="1735"/>
      <c r="AK351" s="1735"/>
      <c r="AL351" s="1735"/>
      <c r="AM351" s="1735"/>
      <c r="AN351" s="1735"/>
      <c r="AO351" s="1735"/>
      <c r="AP351" s="1735"/>
      <c r="AQ351" s="1735"/>
      <c r="AR351" s="1735"/>
      <c r="AS351" s="1735"/>
      <c r="AT351" s="1735"/>
      <c r="AU351" s="95"/>
      <c r="AV351" s="95"/>
      <c r="AW351" s="95"/>
      <c r="AX351" s="95"/>
      <c r="AY351" s="95"/>
    </row>
    <row r="352" spans="1:66" ht="13" customHeight="1">
      <c r="A352" s="1735"/>
      <c r="B352" s="1735"/>
      <c r="C352" s="1735"/>
      <c r="D352" s="1735"/>
      <c r="E352" s="1735"/>
      <c r="F352" s="1735"/>
      <c r="G352" s="1735"/>
      <c r="H352" s="1735"/>
      <c r="I352" s="1735"/>
      <c r="J352" s="1735"/>
      <c r="K352" s="1735"/>
      <c r="L352" s="1735"/>
      <c r="M352" s="1735"/>
      <c r="N352" s="1735"/>
      <c r="O352" s="1735"/>
      <c r="P352" s="1735"/>
      <c r="Q352" s="1735"/>
      <c r="R352" s="1735"/>
      <c r="S352" s="1735"/>
      <c r="T352" s="1735"/>
      <c r="U352" s="1735"/>
      <c r="V352" s="1735"/>
      <c r="W352" s="1735"/>
      <c r="X352" s="1735"/>
      <c r="Y352" s="1735"/>
      <c r="Z352" s="1735"/>
      <c r="AA352" s="1735"/>
      <c r="AB352" s="1735"/>
      <c r="AC352" s="1735"/>
      <c r="AD352" s="1735"/>
      <c r="AE352" s="1735"/>
      <c r="AF352" s="1735"/>
      <c r="AG352" s="1735"/>
      <c r="AH352" s="1735"/>
      <c r="AI352" s="1735"/>
      <c r="AJ352" s="1735"/>
      <c r="AK352" s="1735"/>
      <c r="AL352" s="1735"/>
      <c r="AM352" s="1735"/>
      <c r="AN352" s="1735"/>
      <c r="AO352" s="1735"/>
      <c r="AP352" s="1735"/>
      <c r="AQ352" s="1735"/>
      <c r="AR352" s="1735"/>
      <c r="AS352" s="1735"/>
      <c r="AT352" s="173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791</v>
      </c>
    </row>
    <row r="355" spans="1:46" ht="13" customHeight="1">
      <c r="D355" s="3" t="s">
        <v>2415</v>
      </c>
      <c r="M355" s="1437" t="s">
        <v>553</v>
      </c>
      <c r="N355" s="1437"/>
      <c r="P355" t="s">
        <v>1761</v>
      </c>
      <c r="AJ355" s="1437" t="s">
        <v>677</v>
      </c>
      <c r="AK355" s="1437"/>
    </row>
    <row r="356" spans="1:46" ht="13" customHeight="1">
      <c r="D356" s="3" t="s">
        <v>1750</v>
      </c>
      <c r="M356" s="1437" t="s">
        <v>599</v>
      </c>
      <c r="N356" s="1437"/>
      <c r="P356" s="3" t="s">
        <v>1907</v>
      </c>
      <c r="AJ356" s="1453">
        <v>0</v>
      </c>
      <c r="AK356" s="1453"/>
    </row>
    <row r="357" spans="1:46" ht="13" customHeight="1">
      <c r="D357" s="3" t="s">
        <v>713</v>
      </c>
      <c r="M357" s="1437" t="s">
        <v>599</v>
      </c>
      <c r="N357" s="1437"/>
      <c r="P357" t="s">
        <v>1760</v>
      </c>
      <c r="AJ357" s="1437" t="s">
        <v>599</v>
      </c>
      <c r="AK357" s="1437"/>
    </row>
    <row r="358" spans="1:46" ht="13" customHeight="1">
      <c r="D358" s="3" t="s">
        <v>714</v>
      </c>
      <c r="M358" s="1437" t="s">
        <v>599</v>
      </c>
      <c r="N358" s="1437"/>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37" t="s">
        <v>599</v>
      </c>
      <c r="O363" s="1437"/>
      <c r="P363" s="40"/>
      <c r="Q363" s="40"/>
      <c r="R363" s="40"/>
      <c r="S363" s="40"/>
      <c r="T363" s="40"/>
      <c r="U363" s="40"/>
      <c r="V363" s="40"/>
      <c r="W363" s="40"/>
      <c r="X363" s="40"/>
      <c r="Y363" s="40"/>
      <c r="Z363" s="40"/>
      <c r="AC363" s="40"/>
      <c r="AD363" s="40"/>
      <c r="AE363" s="40"/>
    </row>
    <row r="364" spans="1:46" ht="13" customHeight="1">
      <c r="E364" t="s">
        <v>370</v>
      </c>
      <c r="Y364" s="1437" t="s">
        <v>599</v>
      </c>
      <c r="Z364" s="1437"/>
    </row>
    <row r="365" spans="1:46" ht="13" customHeight="1">
      <c r="D365" s="4" t="s">
        <v>997</v>
      </c>
      <c r="Q365" s="1460"/>
      <c r="R365" s="1460"/>
      <c r="S365" s="1460"/>
      <c r="T365" s="1460"/>
      <c r="U365" s="1460"/>
      <c r="V365" s="1460"/>
      <c r="W365" s="1460"/>
      <c r="X365" s="1460"/>
      <c r="Y365" s="1460"/>
      <c r="Z365" s="1460"/>
      <c r="AA365" s="1460"/>
      <c r="AB365" s="1460"/>
      <c r="AC365" s="1460"/>
      <c r="AD365" s="1460"/>
      <c r="AE365" s="1460"/>
      <c r="AF365" s="1460"/>
      <c r="AG365" s="1460"/>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37" t="s">
        <v>599</v>
      </c>
      <c r="K367" s="1437"/>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715</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456</v>
      </c>
      <c r="F370" s="4"/>
      <c r="G370" s="4"/>
      <c r="H370" s="4"/>
      <c r="I370" s="4"/>
      <c r="J370" s="4"/>
      <c r="K370" s="4"/>
      <c r="L370" s="4"/>
      <c r="N370" s="1474" t="s">
        <v>599</v>
      </c>
      <c r="O370" s="1436"/>
      <c r="P370" s="1436"/>
      <c r="Q370" s="1436"/>
      <c r="R370" s="4"/>
      <c r="U370" s="4" t="s">
        <v>457</v>
      </c>
      <c r="V370" s="4"/>
      <c r="W370" s="4"/>
      <c r="X370" s="4"/>
      <c r="Y370" s="4"/>
      <c r="Z370" s="4"/>
      <c r="AA370" s="4"/>
      <c r="AB370" s="4"/>
      <c r="AC370" s="1474" t="s">
        <v>599</v>
      </c>
      <c r="AD370" s="1436"/>
      <c r="AE370" s="1436"/>
      <c r="AF370" s="1436"/>
    </row>
    <row r="371" spans="1:34" ht="13" customHeight="1">
      <c r="E371" s="4" t="s">
        <v>458</v>
      </c>
      <c r="F371" s="4"/>
      <c r="G371" s="4"/>
      <c r="H371" s="4"/>
      <c r="I371" s="4"/>
      <c r="J371" s="4"/>
      <c r="K371" s="4"/>
      <c r="L371" s="4"/>
      <c r="N371" s="1436" t="s">
        <v>599</v>
      </c>
      <c r="O371" s="1436"/>
      <c r="P371" s="1436"/>
      <c r="Q371" s="1436"/>
      <c r="R371" s="4"/>
      <c r="U371" s="4" t="s">
        <v>0</v>
      </c>
      <c r="V371" s="4"/>
      <c r="W371" s="4"/>
      <c r="X371" s="4"/>
      <c r="Y371" s="4"/>
      <c r="Z371" s="4"/>
      <c r="AA371" s="4"/>
      <c r="AB371" s="4"/>
      <c r="AC371" s="1474" t="s">
        <v>599</v>
      </c>
      <c r="AD371" s="1436"/>
      <c r="AE371" s="1436"/>
      <c r="AF371" s="1436"/>
    </row>
    <row r="372" spans="1:34" ht="13" customHeight="1">
      <c r="E372" s="4" t="s">
        <v>1</v>
      </c>
      <c r="F372" s="4"/>
      <c r="G372" s="4"/>
      <c r="H372" s="4"/>
      <c r="I372" s="4"/>
      <c r="J372" s="4"/>
      <c r="K372" s="4"/>
      <c r="L372" s="4"/>
      <c r="N372" s="1436" t="s">
        <v>599</v>
      </c>
      <c r="O372" s="1436"/>
      <c r="P372" s="1436"/>
      <c r="Q372" s="1436"/>
      <c r="R372" s="4"/>
      <c r="V372" s="4"/>
      <c r="W372" s="4"/>
      <c r="X372" s="4"/>
      <c r="Y372" s="4"/>
      <c r="Z372" s="4"/>
      <c r="AA372" s="4"/>
      <c r="AB372" s="4"/>
    </row>
    <row r="373" spans="1:34" ht="13" customHeight="1">
      <c r="E373" s="4" t="s">
        <v>2</v>
      </c>
      <c r="F373" s="4"/>
      <c r="G373" s="4"/>
      <c r="H373" s="4"/>
      <c r="I373" s="4"/>
      <c r="J373" s="4"/>
      <c r="K373" s="4"/>
      <c r="L373" s="4"/>
      <c r="N373" s="1476" t="s">
        <v>2728</v>
      </c>
      <c r="O373" s="1476"/>
      <c r="P373" s="1476"/>
      <c r="Q373" s="1476"/>
      <c r="R373" s="1476"/>
      <c r="S373" s="1476"/>
      <c r="T373" s="1476"/>
      <c r="U373" s="1476"/>
      <c r="V373" s="1476"/>
      <c r="W373" s="1476"/>
      <c r="X373" s="1476"/>
      <c r="Y373" s="1476"/>
      <c r="Z373" s="1476"/>
      <c r="AA373" s="1476"/>
      <c r="AB373" s="1476"/>
      <c r="AC373" s="1476"/>
      <c r="AD373" s="1476"/>
      <c r="AE373" s="1476"/>
      <c r="AF373" s="1476"/>
    </row>
    <row r="374" spans="1:34" ht="13" customHeight="1">
      <c r="E374" s="4"/>
      <c r="F374" s="4"/>
      <c r="G374" s="4"/>
      <c r="H374" s="4"/>
      <c r="I374" s="4"/>
      <c r="J374" s="4"/>
      <c r="K374" s="4"/>
      <c r="L374" s="4"/>
      <c r="N374" s="1477"/>
      <c r="O374" s="1477"/>
      <c r="P374" s="1477"/>
      <c r="Q374" s="1477"/>
      <c r="R374" s="1477"/>
      <c r="S374" s="1477"/>
      <c r="T374" s="1477"/>
      <c r="U374" s="1477"/>
      <c r="V374" s="1477"/>
      <c r="W374" s="1477"/>
      <c r="X374" s="1477"/>
      <c r="Y374" s="1477"/>
      <c r="Z374" s="1477"/>
      <c r="AA374" s="1477"/>
      <c r="AB374" s="1477"/>
      <c r="AC374" s="1477"/>
      <c r="AD374" s="1477"/>
      <c r="AE374" s="1477"/>
      <c r="AF374" s="1477"/>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2399</v>
      </c>
      <c r="F377" s="4"/>
      <c r="G377" s="4"/>
      <c r="H377" s="4"/>
      <c r="I377" s="4"/>
      <c r="J377" s="4"/>
      <c r="K377" s="4"/>
      <c r="L377" s="4"/>
      <c r="N377" t="s">
        <v>2394</v>
      </c>
      <c r="R377" s="27" t="s">
        <v>306</v>
      </c>
      <c r="S377" s="1478" t="s">
        <v>599</v>
      </c>
      <c r="T377" s="1478"/>
      <c r="U377" s="1" t="s">
        <v>307</v>
      </c>
      <c r="V377" s="1478"/>
      <c r="W377" s="1478"/>
      <c r="Y377" t="s">
        <v>2394</v>
      </c>
      <c r="AC377" s="27" t="s">
        <v>306</v>
      </c>
      <c r="AD377" s="1478" t="s">
        <v>599</v>
      </c>
      <c r="AE377" s="1478"/>
      <c r="AF377" s="1" t="s">
        <v>307</v>
      </c>
      <c r="AG377" s="1478"/>
      <c r="AH377" s="1478"/>
    </row>
    <row r="378" spans="1:34" ht="13" customHeight="1">
      <c r="E378" s="4" t="s">
        <v>1011</v>
      </c>
      <c r="F378" s="4"/>
      <c r="G378" s="4"/>
      <c r="H378" s="4"/>
      <c r="I378" s="4"/>
      <c r="J378" s="4"/>
      <c r="K378" s="4"/>
      <c r="L378" s="4"/>
      <c r="N378" s="1478" t="s">
        <v>599</v>
      </c>
      <c r="O378" s="1478"/>
      <c r="P378" s="1478"/>
    </row>
    <row r="379" spans="1:34" ht="13" customHeight="1">
      <c r="E379" s="218" t="s">
        <v>2400</v>
      </c>
      <c r="F379" s="4"/>
      <c r="G379" s="4"/>
      <c r="H379" s="4"/>
      <c r="I379" s="4"/>
      <c r="J379" s="4"/>
      <c r="K379" s="4"/>
      <c r="L379" s="4"/>
      <c r="AG379" s="1537" t="s">
        <v>599</v>
      </c>
      <c r="AH379" s="1537"/>
    </row>
    <row r="380" spans="1:34" ht="13" customHeight="1">
      <c r="E380" s="4"/>
      <c r="F380" s="4"/>
      <c r="G380" s="4" t="s">
        <v>2401</v>
      </c>
      <c r="H380" s="4"/>
      <c r="I380" s="4"/>
      <c r="J380" s="4"/>
      <c r="K380" s="4"/>
      <c r="L380" s="4"/>
      <c r="AG380" s="1537" t="s">
        <v>599</v>
      </c>
      <c r="AH380" s="1537"/>
    </row>
    <row r="381" spans="1:34" ht="13" customHeight="1">
      <c r="E381" s="4"/>
      <c r="F381" s="4"/>
      <c r="G381" s="348" t="s">
        <v>1012</v>
      </c>
      <c r="H381" s="4"/>
      <c r="I381" s="4"/>
      <c r="J381" s="4"/>
      <c r="K381" s="4"/>
      <c r="L381" s="4"/>
      <c r="V381" s="1437" t="s">
        <v>599</v>
      </c>
      <c r="W381" s="1437"/>
      <c r="Y381" s="22" t="s">
        <v>999</v>
      </c>
    </row>
    <row r="382" spans="1:34" ht="13" customHeight="1">
      <c r="E382" s="4" t="s">
        <v>1000</v>
      </c>
      <c r="F382" s="4"/>
      <c r="G382" s="4"/>
      <c r="H382" s="4"/>
      <c r="I382" s="4"/>
      <c r="J382" s="4"/>
      <c r="K382" s="4"/>
      <c r="L382" s="4"/>
      <c r="V382" s="1437" t="s">
        <v>599</v>
      </c>
      <c r="W382" s="1437"/>
      <c r="Y382" s="4" t="s">
        <v>1001</v>
      </c>
    </row>
    <row r="383" spans="1:34" ht="13" customHeight="1"/>
    <row r="384" spans="1:34" ht="13" customHeight="1">
      <c r="A384" s="2" t="s">
        <v>78</v>
      </c>
      <c r="B384" s="2"/>
    </row>
    <row r="385" spans="4:36" ht="13" customHeight="1">
      <c r="D385" t="s">
        <v>428</v>
      </c>
      <c r="J385" s="1460" t="s">
        <v>2658</v>
      </c>
      <c r="K385" s="1460"/>
      <c r="L385" s="1460"/>
      <c r="M385" s="1460"/>
      <c r="N385" s="1460"/>
      <c r="O385" s="1460"/>
      <c r="P385" s="1460"/>
      <c r="Q385" s="1460"/>
      <c r="R385" s="1460"/>
      <c r="S385" s="1460"/>
      <c r="T385" s="1460"/>
      <c r="U385" s="1460"/>
      <c r="V385" s="8" t="s">
        <v>83</v>
      </c>
      <c r="W385" s="8"/>
      <c r="X385" s="8"/>
      <c r="Y385" s="8"/>
      <c r="Z385" s="8"/>
      <c r="AA385" s="8"/>
      <c r="AB385" s="8"/>
      <c r="AC385" s="1460" t="s">
        <v>2654</v>
      </c>
      <c r="AD385" s="1460"/>
      <c r="AE385" s="1460"/>
      <c r="AF385" s="1460"/>
      <c r="AG385" s="1460"/>
      <c r="AH385" s="1460"/>
      <c r="AI385" s="1460"/>
      <c r="AJ385" s="1460"/>
    </row>
    <row r="386" spans="4:36" ht="13" customHeight="1">
      <c r="D386" s="3" t="s">
        <v>1288</v>
      </c>
      <c r="J386" s="1443" t="s">
        <v>2654</v>
      </c>
      <c r="K386" s="1443"/>
      <c r="L386" s="1443"/>
      <c r="M386" s="1443"/>
      <c r="N386" s="1443"/>
      <c r="O386" s="1443"/>
      <c r="P386" s="1443"/>
      <c r="Q386" s="1443"/>
      <c r="R386" s="1443"/>
      <c r="S386" s="1443"/>
      <c r="T386" s="1443"/>
      <c r="U386" s="1443"/>
      <c r="V386" s="3" t="s">
        <v>1288</v>
      </c>
      <c r="W386" s="8"/>
      <c r="X386" s="8"/>
      <c r="Y386" s="8"/>
      <c r="Z386" s="8"/>
      <c r="AA386" s="8"/>
      <c r="AB386" s="8"/>
      <c r="AC386" s="1460"/>
      <c r="AD386" s="1460"/>
      <c r="AE386" s="1460"/>
      <c r="AF386" s="1460"/>
      <c r="AG386" s="1460"/>
      <c r="AH386" s="1460"/>
      <c r="AI386" s="1460"/>
      <c r="AJ386" s="1460"/>
    </row>
    <row r="387" spans="4:36" ht="13" customHeight="1">
      <c r="D387" s="3" t="s">
        <v>443</v>
      </c>
      <c r="J387" s="1443" t="s">
        <v>2729</v>
      </c>
      <c r="K387" s="1443"/>
      <c r="L387" s="1443"/>
      <c r="M387" s="1443"/>
      <c r="N387" s="1443"/>
      <c r="O387" s="1443"/>
      <c r="P387" s="1443"/>
      <c r="Q387" s="1443"/>
      <c r="R387" s="1443"/>
      <c r="S387" s="1443"/>
      <c r="T387" s="1443"/>
      <c r="U387" s="1443"/>
      <c r="V387" s="3" t="s">
        <v>443</v>
      </c>
      <c r="W387" s="8"/>
      <c r="X387" s="8"/>
      <c r="Y387" s="8"/>
      <c r="Z387" s="8"/>
      <c r="AA387" s="8"/>
      <c r="AB387" s="8"/>
      <c r="AC387" s="1460"/>
      <c r="AD387" s="1460"/>
      <c r="AE387" s="1460"/>
      <c r="AF387" s="1460"/>
      <c r="AG387" s="1460"/>
      <c r="AH387" s="1460"/>
      <c r="AI387" s="1460"/>
      <c r="AJ387" s="1460"/>
    </row>
    <row r="388" spans="4:36" ht="13" customHeight="1">
      <c r="D388" t="s">
        <v>1284</v>
      </c>
      <c r="J388" s="1487" t="s">
        <v>2652</v>
      </c>
      <c r="K388" s="1420"/>
      <c r="L388" s="1420"/>
      <c r="M388" s="1420"/>
      <c r="N388" s="1420"/>
      <c r="O388" s="1420"/>
      <c r="P388" s="1420"/>
      <c r="Q388" s="1420"/>
      <c r="R388" s="1420"/>
      <c r="S388" s="1420"/>
      <c r="T388" s="1420"/>
      <c r="U388" s="1420"/>
      <c r="V388" s="1472" t="s">
        <v>2796</v>
      </c>
      <c r="W388" s="1460"/>
      <c r="X388" s="1460"/>
      <c r="Y388" s="1460"/>
      <c r="Z388" s="1460"/>
      <c r="AA388" s="1460"/>
      <c r="AB388" s="1460"/>
      <c r="AC388" s="1460"/>
      <c r="AD388" s="1460"/>
      <c r="AE388" s="1460"/>
      <c r="AF388" s="1460"/>
      <c r="AG388" s="1460"/>
      <c r="AH388" s="1460"/>
      <c r="AI388" s="1460"/>
      <c r="AJ388" s="1460"/>
    </row>
    <row r="389" spans="4:36" ht="13" customHeight="1">
      <c r="D389" t="s">
        <v>4</v>
      </c>
      <c r="Q389" s="1710">
        <v>44517</v>
      </c>
      <c r="R389" s="1710"/>
      <c r="S389" s="1710"/>
      <c r="T389" s="1710"/>
      <c r="U389" s="1710"/>
      <c r="V389" t="s">
        <v>310</v>
      </c>
      <c r="AI389" s="1437" t="s">
        <v>553</v>
      </c>
      <c r="AJ389" s="1437"/>
    </row>
    <row r="390" spans="4:36" ht="13" customHeight="1">
      <c r="D390" t="s">
        <v>5</v>
      </c>
      <c r="Q390" s="1608">
        <v>46752</v>
      </c>
      <c r="R390" s="1707"/>
      <c r="S390" s="1707"/>
      <c r="T390" s="1707"/>
      <c r="U390" s="1707"/>
      <c r="W390" s="21" t="s">
        <v>74</v>
      </c>
      <c r="AG390" s="1473"/>
      <c r="AH390" s="1473"/>
      <c r="AI390" s="1473"/>
      <c r="AJ390" s="1473"/>
    </row>
    <row r="391" spans="4:36" ht="13" customHeight="1">
      <c r="D391" t="s">
        <v>427</v>
      </c>
      <c r="Q391" s="1706">
        <v>99</v>
      </c>
      <c r="R391" s="1706"/>
      <c r="S391" s="1706"/>
      <c r="T391" s="1706"/>
      <c r="U391" s="1706"/>
      <c r="V391" s="3" t="s">
        <v>1287</v>
      </c>
      <c r="AG391" s="1534">
        <v>45777</v>
      </c>
      <c r="AH391" s="1535"/>
      <c r="AI391" s="1535"/>
      <c r="AJ391" s="1535"/>
    </row>
    <row r="392" spans="4:36" ht="13" customHeight="1">
      <c r="D392" t="s">
        <v>88</v>
      </c>
      <c r="I392" s="1528" t="s">
        <v>2730</v>
      </c>
      <c r="J392" s="1528"/>
      <c r="K392" s="1528"/>
      <c r="L392" s="1528"/>
      <c r="M392" s="1528"/>
      <c r="N392" s="1528"/>
      <c r="Q392" s="4" t="s">
        <v>207</v>
      </c>
      <c r="S392" s="1709"/>
      <c r="T392" s="1709"/>
      <c r="U392" s="1709"/>
      <c r="V392" t="s">
        <v>73</v>
      </c>
      <c r="AI392" s="1437" t="s">
        <v>677</v>
      </c>
      <c r="AJ392" s="1437"/>
    </row>
    <row r="393" spans="4:36" ht="13" customHeight="1">
      <c r="D393" t="s">
        <v>311</v>
      </c>
      <c r="Q393" s="1536">
        <v>0</v>
      </c>
      <c r="R393" s="1536"/>
      <c r="S393" s="1536"/>
      <c r="T393" s="1536"/>
      <c r="U393" s="1536"/>
      <c r="V393" t="s">
        <v>312</v>
      </c>
      <c r="AG393" s="1473">
        <v>371000</v>
      </c>
      <c r="AH393" s="1473"/>
      <c r="AI393" s="1473"/>
      <c r="AJ393" s="1473"/>
    </row>
    <row r="394" spans="4:36" ht="13" customHeight="1">
      <c r="D394" t="s">
        <v>313</v>
      </c>
      <c r="Q394" s="1581">
        <v>0</v>
      </c>
      <c r="R394" s="1581"/>
      <c r="S394" s="1581"/>
      <c r="T394" s="1581"/>
      <c r="U394" s="1581"/>
      <c r="V394" t="s">
        <v>1268</v>
      </c>
      <c r="AG394" s="1473">
        <v>0</v>
      </c>
      <c r="AH394" s="1473"/>
      <c r="AI394" s="1473"/>
      <c r="AJ394" s="1473"/>
    </row>
    <row r="395" spans="4:36" ht="13" customHeight="1">
      <c r="D395" t="s">
        <v>1267</v>
      </c>
      <c r="AG395" s="1473">
        <v>0</v>
      </c>
      <c r="AH395" s="1473"/>
      <c r="AI395" s="1473"/>
      <c r="AJ395" s="1473"/>
    </row>
    <row r="396" spans="4:36" ht="13" customHeight="1">
      <c r="AG396" s="490"/>
      <c r="AH396" s="490"/>
      <c r="AI396" s="490"/>
      <c r="AJ396" s="490"/>
    </row>
    <row r="397" spans="4:36" ht="13" customHeight="1">
      <c r="D397" s="3" t="s">
        <v>2500</v>
      </c>
      <c r="AG397" s="490"/>
      <c r="AH397" s="490"/>
      <c r="AI397" s="1437" t="s">
        <v>553</v>
      </c>
      <c r="AJ397" s="1437"/>
    </row>
    <row r="398" spans="4:36" ht="13" customHeight="1">
      <c r="D398" s="3" t="s">
        <v>1779</v>
      </c>
      <c r="T398" s="1416" t="s">
        <v>2658</v>
      </c>
      <c r="U398" s="1416"/>
      <c r="V398" s="1416"/>
      <c r="W398" s="1416"/>
      <c r="X398" s="1416"/>
      <c r="Y398" s="1416"/>
      <c r="Z398" s="1416"/>
      <c r="AA398" s="1416"/>
      <c r="AB398" s="1416"/>
      <c r="AC398" s="1416"/>
      <c r="AD398" s="1416"/>
      <c r="AE398" s="1416"/>
      <c r="AF398" s="1416"/>
      <c r="AG398" s="1416"/>
      <c r="AH398" s="1416"/>
      <c r="AI398" s="1416"/>
      <c r="AJ398" s="1416"/>
    </row>
    <row r="399" spans="4:36" ht="13" customHeight="1">
      <c r="D399" s="3" t="s">
        <v>1778</v>
      </c>
      <c r="T399" s="1416"/>
      <c r="U399" s="1416"/>
      <c r="V399" s="1416"/>
      <c r="W399" s="1416"/>
      <c r="X399" s="1416"/>
      <c r="Y399" s="1416"/>
      <c r="Z399" s="1416"/>
      <c r="AA399" s="1416"/>
      <c r="AB399" s="1416"/>
      <c r="AC399" s="1416"/>
      <c r="AD399" s="1416"/>
      <c r="AE399" s="1416"/>
      <c r="AF399" s="1416"/>
      <c r="AG399" s="1416"/>
      <c r="AH399" s="1416"/>
      <c r="AI399" s="1416"/>
      <c r="AJ399" s="1416"/>
    </row>
    <row r="400" spans="4:36" ht="13" customHeight="1">
      <c r="AG400" s="490"/>
      <c r="AH400" s="490"/>
      <c r="AI400" s="490"/>
      <c r="AJ400" s="490"/>
    </row>
    <row r="401" spans="1:36" ht="13" customHeight="1">
      <c r="D401" s="3" t="s">
        <v>1772</v>
      </c>
      <c r="S401" s="1416" t="s">
        <v>553</v>
      </c>
      <c r="T401" s="1416"/>
      <c r="U401" s="1416"/>
      <c r="V401" t="s">
        <v>1773</v>
      </c>
      <c r="AG401" s="1486">
        <v>99</v>
      </c>
      <c r="AH401" s="1486"/>
      <c r="AI401" s="1486"/>
      <c r="AJ401" s="1486"/>
    </row>
    <row r="402" spans="1:36" ht="13" customHeight="1">
      <c r="D402" s="3" t="s">
        <v>1770</v>
      </c>
      <c r="S402" s="1416" t="s">
        <v>553</v>
      </c>
      <c r="T402" s="1416"/>
      <c r="U402" s="1416"/>
      <c r="V402" t="s">
        <v>1775</v>
      </c>
      <c r="AE402" s="1491" t="s">
        <v>2731</v>
      </c>
      <c r="AF402" s="1491"/>
      <c r="AG402" s="1491"/>
      <c r="AH402" s="1491"/>
      <c r="AI402" s="1491"/>
      <c r="AJ402" s="1491"/>
    </row>
    <row r="403" spans="1:36" ht="13" customHeight="1">
      <c r="D403" s="3" t="s">
        <v>1771</v>
      </c>
      <c r="K403" s="1485"/>
      <c r="L403" s="1485"/>
      <c r="M403" s="1485"/>
      <c r="N403" s="1485"/>
      <c r="O403" s="1485"/>
      <c r="P403" s="1485"/>
      <c r="Q403" s="1485"/>
      <c r="R403" s="1485"/>
      <c r="S403" s="1485"/>
      <c r="T403" s="1485"/>
      <c r="U403" s="1485"/>
      <c r="V403" s="1485"/>
      <c r="W403" s="1485"/>
      <c r="X403" s="1485"/>
      <c r="Y403" s="1485"/>
      <c r="Z403" s="1485"/>
      <c r="AA403" s="1485"/>
      <c r="AB403" s="1485"/>
      <c r="AC403" s="1485"/>
      <c r="AD403" s="1485"/>
      <c r="AE403" s="1485"/>
      <c r="AF403" s="1485"/>
      <c r="AG403" s="1485"/>
      <c r="AH403" s="1485"/>
      <c r="AI403" s="1485"/>
      <c r="AJ403" s="1485"/>
    </row>
    <row r="404" spans="1:36" ht="13" customHeight="1">
      <c r="D404" s="3" t="s">
        <v>1774</v>
      </c>
      <c r="K404" s="1485" t="s">
        <v>2658</v>
      </c>
      <c r="L404" s="1485"/>
      <c r="M404" s="1485"/>
      <c r="N404" s="1485"/>
      <c r="O404" s="1485"/>
      <c r="P404" s="1485"/>
      <c r="Q404" s="1485"/>
      <c r="R404" s="1485"/>
      <c r="S404" s="1485"/>
      <c r="T404" s="1485"/>
      <c r="U404" s="1485"/>
      <c r="V404" s="1485"/>
      <c r="W404" s="1485"/>
      <c r="X404" s="1485"/>
      <c r="Y404" s="1485"/>
      <c r="Z404" s="1485"/>
      <c r="AA404" s="1485"/>
      <c r="AB404" s="1485"/>
      <c r="AC404" s="1485"/>
      <c r="AD404" s="1485"/>
      <c r="AE404" s="1485"/>
      <c r="AF404" s="1485"/>
      <c r="AG404" s="1485"/>
      <c r="AH404" s="1485"/>
      <c r="AI404" s="1485"/>
      <c r="AJ404" s="1485"/>
    </row>
    <row r="405" spans="1:36" ht="13" customHeight="1">
      <c r="D405" s="3" t="s">
        <v>1777</v>
      </c>
      <c r="E405" s="511"/>
      <c r="F405" s="511"/>
      <c r="G405" s="511"/>
      <c r="H405" s="511"/>
      <c r="I405" s="511"/>
      <c r="J405" s="511"/>
      <c r="K405" s="511"/>
      <c r="L405" s="511"/>
      <c r="M405" s="511"/>
      <c r="N405" s="511"/>
      <c r="O405" s="511"/>
      <c r="P405" s="511"/>
      <c r="Q405" s="511"/>
      <c r="R405" s="511"/>
      <c r="S405" s="1521" t="s">
        <v>2732</v>
      </c>
      <c r="T405" s="1521"/>
      <c r="U405" s="1521"/>
      <c r="V405" s="1521"/>
      <c r="W405" s="1521"/>
      <c r="X405" s="1521"/>
      <c r="Y405" s="1521"/>
      <c r="Z405" s="1521"/>
      <c r="AA405" s="1521"/>
      <c r="AB405" s="1521"/>
      <c r="AC405" s="1521"/>
      <c r="AD405" s="1521"/>
      <c r="AE405" s="1521"/>
      <c r="AF405" s="1521"/>
      <c r="AG405" s="1521"/>
      <c r="AH405" s="1521"/>
      <c r="AI405" s="1521"/>
      <c r="AJ405" s="1521"/>
    </row>
    <row r="406" spans="1:36" ht="13" customHeight="1">
      <c r="D406" s="1272" t="s">
        <v>1776</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472" t="s">
        <v>2733</v>
      </c>
      <c r="J410" s="1472"/>
      <c r="K410" s="1472"/>
      <c r="L410" s="1472"/>
      <c r="M410" s="1472"/>
      <c r="N410" s="1472"/>
      <c r="O410" s="1472"/>
      <c r="P410" s="1472"/>
      <c r="Q410" s="1472"/>
      <c r="R410" s="1472"/>
      <c r="S410" s="1472"/>
      <c r="T410" s="1472"/>
      <c r="U410" s="1472"/>
      <c r="V410" s="1472"/>
      <c r="W410" s="1472"/>
      <c r="X410" s="1472"/>
      <c r="Y410" s="1472"/>
      <c r="Z410" s="1472"/>
      <c r="AA410" s="1472"/>
      <c r="AB410" s="1472"/>
      <c r="AC410" s="1472"/>
      <c r="AD410" s="1472"/>
      <c r="AE410" s="1472"/>
    </row>
    <row r="411" spans="1:36" ht="13" customHeight="1">
      <c r="E411" t="s">
        <v>106</v>
      </c>
      <c r="R411" s="1437" t="s">
        <v>553</v>
      </c>
      <c r="S411" s="1437"/>
      <c r="AC411" s="27" t="s">
        <v>578</v>
      </c>
      <c r="AD411" s="1436">
        <v>4</v>
      </c>
      <c r="AE411" s="1436"/>
    </row>
    <row r="412" spans="1:36" ht="13" customHeight="1">
      <c r="E412" t="s">
        <v>107</v>
      </c>
      <c r="R412" s="1437" t="s">
        <v>599</v>
      </c>
      <c r="S412" s="1437"/>
      <c r="AC412" s="27" t="s">
        <v>578</v>
      </c>
      <c r="AD412" s="1436"/>
      <c r="AE412" s="1436"/>
    </row>
    <row r="413" spans="1:36" ht="13" customHeight="1">
      <c r="E413" t="s">
        <v>108</v>
      </c>
      <c r="S413" s="1437" t="s">
        <v>599</v>
      </c>
      <c r="T413" s="1437"/>
    </row>
    <row r="414" spans="1:36" ht="13" customHeight="1">
      <c r="E414" t="s">
        <v>170</v>
      </c>
      <c r="H414" s="1703" t="s">
        <v>2734</v>
      </c>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row>
    <row r="415" spans="1:36" ht="13" customHeight="1">
      <c r="H415" s="1704"/>
      <c r="I415" s="1704"/>
      <c r="J415" s="1704"/>
      <c r="K415" s="1704"/>
      <c r="L415" s="1704"/>
      <c r="M415" s="1704"/>
      <c r="N415" s="1704"/>
      <c r="O415" s="1704"/>
      <c r="P415" s="1704"/>
      <c r="Q415" s="1704"/>
      <c r="R415" s="1704"/>
      <c r="S415" s="1704"/>
      <c r="T415" s="1704"/>
      <c r="U415" s="1704"/>
      <c r="V415" s="1704"/>
      <c r="W415" s="1704"/>
      <c r="X415" s="1704"/>
      <c r="Y415" s="1704"/>
      <c r="Z415" s="1704"/>
      <c r="AA415" s="1704"/>
      <c r="AB415" s="1704"/>
      <c r="AC415" s="1704"/>
      <c r="AD415" s="1704"/>
      <c r="AE415" s="1704"/>
    </row>
    <row r="416" spans="1:36" ht="13" customHeight="1"/>
    <row r="417" spans="1:39" ht="13" customHeight="1">
      <c r="A417" s="2" t="s">
        <v>598</v>
      </c>
      <c r="B417" s="2"/>
      <c r="C417" s="2"/>
      <c r="D417" s="2" t="s">
        <v>114</v>
      </c>
      <c r="AF417" s="2" t="s">
        <v>976</v>
      </c>
    </row>
    <row r="418" spans="1:39" ht="13" customHeight="1">
      <c r="E418" s="1478"/>
      <c r="F418" s="1478"/>
      <c r="G418" s="1478"/>
      <c r="H418" s="13" t="s">
        <v>115</v>
      </c>
      <c r="I418" s="1478"/>
      <c r="J418" s="1478"/>
      <c r="K418" s="1478"/>
      <c r="L418" t="s">
        <v>116</v>
      </c>
      <c r="N418" s="27" t="s">
        <v>583</v>
      </c>
      <c r="P418" s="1708">
        <v>0.32800000000000001</v>
      </c>
      <c r="Q418" s="1708"/>
      <c r="R418" s="1708"/>
      <c r="S418" t="s">
        <v>117</v>
      </c>
      <c r="W418" s="1425">
        <f>IF(E418&gt;0,(E418*I418),(P418*43560))</f>
        <v>14287.68</v>
      </c>
      <c r="X418" s="1425"/>
      <c r="Y418" s="1425"/>
      <c r="Z418" t="s">
        <v>118</v>
      </c>
      <c r="AF418" s="1705">
        <f>IFERROR(IF(P418&gt;0,(AG437/P418),(AG437/(W418/43560))),0)</f>
        <v>140.2439024390244</v>
      </c>
      <c r="AG418" s="1705"/>
      <c r="AH418" s="1705"/>
      <c r="AM418" s="3"/>
    </row>
    <row r="419" spans="1:39" ht="13" customHeight="1">
      <c r="E419" t="s">
        <v>51</v>
      </c>
    </row>
    <row r="420" spans="1:39" ht="13" customHeight="1">
      <c r="E420" s="1490"/>
      <c r="F420" s="1490"/>
      <c r="G420" s="1490"/>
      <c r="H420" s="1490"/>
      <c r="I420" s="1490"/>
      <c r="J420" s="1490"/>
      <c r="K420" s="1490"/>
      <c r="L420" s="1490"/>
      <c r="M420" s="1490"/>
      <c r="N420" s="1490"/>
      <c r="O420" s="1490"/>
      <c r="P420" s="1490"/>
      <c r="Q420" s="1490"/>
      <c r="R420" s="1490"/>
      <c r="S420" s="1490"/>
      <c r="T420" s="1490"/>
      <c r="U420" s="1490"/>
      <c r="V420" s="1490"/>
      <c r="W420" s="1490"/>
      <c r="X420" s="1490"/>
      <c r="Y420" s="1490"/>
      <c r="Z420" s="1490"/>
      <c r="AA420" s="1490"/>
      <c r="AB420" s="1490"/>
      <c r="AC420" s="1490"/>
      <c r="AD420" s="1490"/>
      <c r="AE420" s="1490"/>
      <c r="AF420" s="1490"/>
      <c r="AG420" s="1490"/>
      <c r="AH420" s="1490"/>
      <c r="AI420" s="1490"/>
      <c r="AJ420" s="1490"/>
    </row>
    <row r="421" spans="1:39" ht="13" customHeight="1">
      <c r="E421" s="118" t="s">
        <v>1924</v>
      </c>
      <c r="F421" s="1048"/>
      <c r="G421" s="1048"/>
      <c r="H421" s="1048"/>
      <c r="I421" s="1579">
        <v>0.32800000000000001</v>
      </c>
      <c r="J421" s="1579"/>
      <c r="K421" s="1579"/>
      <c r="L421" s="1048"/>
      <c r="M421" s="118"/>
      <c r="N421" s="1048"/>
      <c r="O421" s="1048"/>
      <c r="P421" s="1711">
        <f>(CS634+CS642+CS658)/I421</f>
        <v>140.2439024390244</v>
      </c>
      <c r="Q421" s="1711"/>
      <c r="R421" s="171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37">
        <v>1</v>
      </c>
      <c r="Q424" s="1437"/>
      <c r="S424" t="s">
        <v>190</v>
      </c>
      <c r="AE424" s="1437">
        <v>1</v>
      </c>
      <c r="AF424" s="1437"/>
    </row>
    <row r="425" spans="1:39" ht="13" customHeight="1">
      <c r="E425" t="s">
        <v>191</v>
      </c>
      <c r="P425" s="1437">
        <v>0</v>
      </c>
      <c r="Q425" s="1437"/>
      <c r="S425" t="s">
        <v>131</v>
      </c>
      <c r="AE425" s="1437" t="s">
        <v>599</v>
      </c>
      <c r="AF425" s="1437"/>
    </row>
    <row r="426" spans="1:39" ht="13" customHeight="1">
      <c r="F426" s="28" t="s">
        <v>132</v>
      </c>
    </row>
    <row r="427" spans="1:39" ht="13" customHeight="1">
      <c r="F427" s="1479"/>
      <c r="G427" s="1479"/>
      <c r="H427" s="1479"/>
      <c r="I427" s="1479"/>
      <c r="J427" s="1479"/>
      <c r="K427" s="1479"/>
      <c r="L427" s="1479"/>
      <c r="M427" s="1479"/>
      <c r="N427" s="1479"/>
      <c r="O427" s="1479"/>
      <c r="P427" s="1479"/>
      <c r="Q427" s="1479"/>
      <c r="R427" s="1479"/>
      <c r="S427" s="1479"/>
      <c r="T427" s="1479"/>
      <c r="U427" s="1479"/>
      <c r="V427" s="1479"/>
      <c r="W427" s="1479"/>
      <c r="X427" s="1479"/>
      <c r="Y427" s="1479"/>
      <c r="Z427" s="1479"/>
      <c r="AA427" s="1479"/>
      <c r="AB427" s="1479"/>
      <c r="AC427" s="1479"/>
      <c r="AD427" s="1479"/>
      <c r="AE427" s="1479"/>
      <c r="AF427" s="1479"/>
      <c r="AG427" s="1479"/>
      <c r="AH427" s="1479"/>
    </row>
    <row r="428" spans="1:39" ht="13" customHeight="1">
      <c r="F428" s="1480"/>
      <c r="G428" s="1480"/>
      <c r="H428" s="1480"/>
      <c r="I428" s="1480"/>
      <c r="J428" s="1480"/>
      <c r="K428" s="1480"/>
      <c r="L428" s="1480"/>
      <c r="M428" s="1480"/>
      <c r="N428" s="1480"/>
      <c r="O428" s="1480"/>
      <c r="P428" s="1480"/>
      <c r="Q428" s="1480"/>
      <c r="R428" s="1480"/>
      <c r="S428" s="1480"/>
      <c r="T428" s="1480"/>
      <c r="U428" s="1480"/>
      <c r="V428" s="1480"/>
      <c r="W428" s="1480"/>
      <c r="X428" s="1480"/>
      <c r="Y428" s="1480"/>
      <c r="Z428" s="1480"/>
      <c r="AA428" s="1480"/>
      <c r="AB428" s="1480"/>
      <c r="AC428" s="1480"/>
      <c r="AD428" s="1480"/>
      <c r="AE428" s="1480"/>
      <c r="AF428" s="1480"/>
      <c r="AG428" s="1480"/>
      <c r="AH428" s="1480"/>
    </row>
    <row r="429" spans="1:39" ht="13" customHeight="1">
      <c r="E429" t="s">
        <v>616</v>
      </c>
      <c r="P429" s="1"/>
      <c r="Q429" s="1437" t="s">
        <v>553</v>
      </c>
      <c r="R429" s="1437"/>
    </row>
    <row r="430" spans="1:39" ht="13" customHeight="1">
      <c r="F430" t="s">
        <v>617</v>
      </c>
      <c r="P430" s="1"/>
      <c r="Q430" s="1"/>
      <c r="AF430" s="1437" t="s">
        <v>599</v>
      </c>
      <c r="AG430" s="1482"/>
    </row>
    <row r="431" spans="1:39" ht="13" customHeight="1"/>
    <row r="432" spans="1:39" ht="13" customHeight="1">
      <c r="A432" s="2"/>
      <c r="B432" s="2"/>
      <c r="C432" s="2"/>
      <c r="E432" s="4" t="s">
        <v>309</v>
      </c>
      <c r="Z432" s="1437" t="s">
        <v>677</v>
      </c>
      <c r="AA432" s="1437"/>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37" t="s">
        <v>599</v>
      </c>
      <c r="AA434" s="1437"/>
    </row>
    <row r="435" spans="1:110" ht="13" customHeight="1"/>
    <row r="436" spans="1:110" ht="13" customHeight="1">
      <c r="A436" s="2" t="s">
        <v>475</v>
      </c>
      <c r="B436" s="2"/>
      <c r="C436" s="2"/>
      <c r="D436" s="2" t="s">
        <v>773</v>
      </c>
      <c r="AF436" s="48"/>
    </row>
    <row r="437" spans="1:110" ht="13" customHeight="1">
      <c r="D437" s="1481" t="s">
        <v>43</v>
      </c>
      <c r="E437" s="1433"/>
      <c r="F437" s="1433"/>
      <c r="G437" s="1433"/>
      <c r="H437" s="1433"/>
      <c r="I437" s="1433"/>
      <c r="J437" s="1433"/>
      <c r="K437" s="1433"/>
      <c r="L437" s="1433"/>
      <c r="M437" s="1433"/>
      <c r="N437" s="1433"/>
      <c r="O437" s="1433"/>
      <c r="P437" s="1433"/>
      <c r="Q437" s="1433"/>
      <c r="R437" s="1433"/>
      <c r="S437" s="1433"/>
      <c r="T437" s="1433"/>
      <c r="U437" s="1433"/>
      <c r="V437" s="1433"/>
      <c r="W437" s="1433"/>
      <c r="X437" s="1433"/>
      <c r="Y437" s="1433"/>
      <c r="Z437" s="1433"/>
      <c r="AA437" s="1433"/>
      <c r="AB437" s="1433"/>
      <c r="AC437" s="1433"/>
      <c r="AD437" s="1433"/>
      <c r="AE437" s="1433"/>
      <c r="AF437" s="1434"/>
      <c r="AG437" s="1455">
        <v>46</v>
      </c>
      <c r="AH437" s="1455"/>
      <c r="AI437" s="1455"/>
      <c r="AJ437" s="1455"/>
    </row>
    <row r="438" spans="1:110" ht="13" customHeight="1">
      <c r="D438" s="1430" t="s">
        <v>1329</v>
      </c>
      <c r="E438" s="1431"/>
      <c r="F438" s="1431"/>
      <c r="G438" s="1431"/>
      <c r="H438" s="1431"/>
      <c r="I438" s="1431"/>
      <c r="J438" s="1431"/>
      <c r="K438" s="1431"/>
      <c r="L438" s="1431"/>
      <c r="M438" s="1431"/>
      <c r="N438" s="1431"/>
      <c r="O438" s="1431"/>
      <c r="P438" s="1431"/>
      <c r="Q438" s="1431"/>
      <c r="R438" s="1431"/>
      <c r="S438" s="1431"/>
      <c r="T438" s="1431"/>
      <c r="U438" s="1431"/>
      <c r="V438" s="1431"/>
      <c r="W438" s="1431"/>
      <c r="X438" s="1431"/>
      <c r="Y438" s="1431"/>
      <c r="Z438" s="1431"/>
      <c r="AA438" s="1431"/>
      <c r="AB438" s="1431"/>
      <c r="AC438" s="1431"/>
      <c r="AD438" s="1431"/>
      <c r="AE438" s="1431"/>
      <c r="AF438" s="1432"/>
      <c r="AG438" s="1488">
        <v>0</v>
      </c>
      <c r="AH438" s="1489"/>
      <c r="AI438" s="1489"/>
      <c r="AJ438" s="1489"/>
    </row>
    <row r="439" spans="1:110" ht="13" customHeight="1">
      <c r="D439" s="1430" t="s">
        <v>1055</v>
      </c>
      <c r="E439" s="1431"/>
      <c r="F439" s="1431"/>
      <c r="G439" s="1431"/>
      <c r="H439" s="1431"/>
      <c r="I439" s="1431"/>
      <c r="J439" s="1431"/>
      <c r="K439" s="1431"/>
      <c r="L439" s="1431"/>
      <c r="M439" s="1431"/>
      <c r="N439" s="1431"/>
      <c r="O439" s="1431"/>
      <c r="P439" s="1431"/>
      <c r="Q439" s="1431"/>
      <c r="R439" s="1431"/>
      <c r="S439" s="1431"/>
      <c r="T439" s="1431"/>
      <c r="U439" s="1431"/>
      <c r="V439" s="1431"/>
      <c r="W439" s="1431"/>
      <c r="X439" s="1431"/>
      <c r="Y439" s="1431"/>
      <c r="Z439" s="1431"/>
      <c r="AA439" s="1431"/>
      <c r="AB439" s="1431"/>
      <c r="AC439" s="1431"/>
      <c r="AD439" s="1431"/>
      <c r="AE439" s="1431"/>
      <c r="AF439" s="1432"/>
      <c r="AG439" s="1455">
        <v>46</v>
      </c>
      <c r="AH439" s="1455"/>
      <c r="AI439" s="1455"/>
      <c r="AJ439" s="1455"/>
    </row>
    <row r="440" spans="1:110" ht="13" customHeight="1">
      <c r="D440" s="1430" t="s">
        <v>1056</v>
      </c>
      <c r="E440" s="1431"/>
      <c r="F440" s="1431"/>
      <c r="G440" s="1431"/>
      <c r="H440" s="1431"/>
      <c r="I440" s="1431"/>
      <c r="J440" s="1431"/>
      <c r="K440" s="1431"/>
      <c r="L440" s="1431"/>
      <c r="M440" s="1431"/>
      <c r="N440" s="1431"/>
      <c r="O440" s="1431"/>
      <c r="P440" s="1431"/>
      <c r="Q440" s="1431"/>
      <c r="R440" s="1431"/>
      <c r="S440" s="1431"/>
      <c r="T440" s="1431"/>
      <c r="U440" s="1431"/>
      <c r="V440" s="1431"/>
      <c r="W440" s="1431"/>
      <c r="X440" s="1431"/>
      <c r="Y440" s="1431"/>
      <c r="Z440" s="1431"/>
      <c r="AA440" s="1431"/>
      <c r="AB440" s="1431"/>
      <c r="AC440" s="1431"/>
      <c r="AD440" s="1431"/>
      <c r="AE440" s="1431"/>
      <c r="AF440" s="1432"/>
      <c r="AG440" s="1455">
        <v>46</v>
      </c>
      <c r="AH440" s="1455"/>
      <c r="AI440" s="1455"/>
      <c r="AJ440" s="1455"/>
    </row>
    <row r="441" spans="1:110" ht="13" customHeight="1">
      <c r="D441" s="1430" t="s">
        <v>1058</v>
      </c>
      <c r="E441" s="1431"/>
      <c r="F441" s="1431"/>
      <c r="G441" s="1431"/>
      <c r="H441" s="1431"/>
      <c r="I441" s="1431"/>
      <c r="J441" s="1431"/>
      <c r="K441" s="1431"/>
      <c r="L441" s="1431"/>
      <c r="M441" s="1431"/>
      <c r="N441" s="1431"/>
      <c r="O441" s="1431"/>
      <c r="P441" s="1431"/>
      <c r="Q441" s="1431"/>
      <c r="R441" s="1431"/>
      <c r="S441" s="1431"/>
      <c r="T441" s="1431"/>
      <c r="U441" s="1431"/>
      <c r="V441" s="1431"/>
      <c r="W441" s="1431"/>
      <c r="X441" s="1431"/>
      <c r="Y441" s="1431"/>
      <c r="Z441" s="1431"/>
      <c r="AA441" s="1431"/>
      <c r="AB441" s="1431"/>
      <c r="AC441" s="1431"/>
      <c r="AD441" s="1431"/>
      <c r="AE441" s="1431"/>
      <c r="AF441" s="1432"/>
      <c r="AG441" s="1461">
        <f>IF(ISERROR(AG440/AG439),"",AG440/AG439)</f>
        <v>1</v>
      </c>
      <c r="AH441" s="1461"/>
      <c r="AI441" s="1461"/>
      <c r="AJ441" s="1461"/>
    </row>
    <row r="442" spans="1:110" ht="13" customHeight="1">
      <c r="D442" s="1430" t="s">
        <v>1057</v>
      </c>
      <c r="E442" s="1431"/>
      <c r="F442" s="1431"/>
      <c r="G442" s="1431"/>
      <c r="H442" s="1431"/>
      <c r="I442" s="1431"/>
      <c r="J442" s="1431"/>
      <c r="K442" s="1431"/>
      <c r="L442" s="1431"/>
      <c r="M442" s="1431"/>
      <c r="N442" s="1431"/>
      <c r="O442" s="1431"/>
      <c r="P442" s="1431"/>
      <c r="Q442" s="1431"/>
      <c r="R442" s="1431"/>
      <c r="S442" s="1431"/>
      <c r="T442" s="1431"/>
      <c r="U442" s="1431"/>
      <c r="V442" s="1431"/>
      <c r="W442" s="1431"/>
      <c r="X442" s="1431"/>
      <c r="Y442" s="1431"/>
      <c r="Z442" s="1431"/>
      <c r="AA442" s="1431"/>
      <c r="AB442" s="1431"/>
      <c r="AC442" s="1431"/>
      <c r="AD442" s="1431"/>
      <c r="AE442" s="1431"/>
      <c r="AF442" s="1432"/>
      <c r="AG442" s="1429">
        <f>22600</f>
        <v>22600</v>
      </c>
      <c r="AH442" s="1429"/>
      <c r="AI442" s="1429"/>
      <c r="AJ442" s="1429"/>
    </row>
    <row r="443" spans="1:110" ht="13" customHeight="1">
      <c r="D443" s="1430" t="s">
        <v>1059</v>
      </c>
      <c r="E443" s="1431"/>
      <c r="F443" s="1431"/>
      <c r="G443" s="1431"/>
      <c r="H443" s="1431"/>
      <c r="I443" s="1431"/>
      <c r="J443" s="1431"/>
      <c r="K443" s="1431"/>
      <c r="L443" s="1431"/>
      <c r="M443" s="1431"/>
      <c r="N443" s="1431"/>
      <c r="O443" s="1431"/>
      <c r="P443" s="1431"/>
      <c r="Q443" s="1431"/>
      <c r="R443" s="1431"/>
      <c r="S443" s="1431"/>
      <c r="T443" s="1431"/>
      <c r="U443" s="1431"/>
      <c r="V443" s="1431"/>
      <c r="W443" s="1431"/>
      <c r="X443" s="1431"/>
      <c r="Y443" s="1431"/>
      <c r="Z443" s="1431"/>
      <c r="AA443" s="1431"/>
      <c r="AB443" s="1431"/>
      <c r="AC443" s="1431"/>
      <c r="AD443" s="1431"/>
      <c r="AE443" s="1431"/>
      <c r="AF443" s="1432"/>
      <c r="AG443" s="1429">
        <f>22600</f>
        <v>22600</v>
      </c>
      <c r="AH443" s="1429"/>
      <c r="AI443" s="1429"/>
      <c r="AJ443" s="1429"/>
    </row>
    <row r="444" spans="1:110" ht="13" customHeight="1">
      <c r="D444" s="1430" t="s">
        <v>1060</v>
      </c>
      <c r="E444" s="1431"/>
      <c r="F444" s="1431"/>
      <c r="G444" s="1431"/>
      <c r="H444" s="1431"/>
      <c r="I444" s="1431"/>
      <c r="J444" s="1431"/>
      <c r="K444" s="1431"/>
      <c r="L444" s="1431"/>
      <c r="M444" s="1431"/>
      <c r="N444" s="1431"/>
      <c r="O444" s="1431"/>
      <c r="P444" s="1431"/>
      <c r="Q444" s="1431"/>
      <c r="R444" s="1431"/>
      <c r="S444" s="1431"/>
      <c r="T444" s="1431"/>
      <c r="U444" s="1431"/>
      <c r="V444" s="1431"/>
      <c r="W444" s="1431"/>
      <c r="X444" s="1431"/>
      <c r="Y444" s="1431"/>
      <c r="Z444" s="1431"/>
      <c r="AA444" s="1431"/>
      <c r="AB444" s="1431"/>
      <c r="AC444" s="1431"/>
      <c r="AD444" s="1431"/>
      <c r="AE444" s="1431"/>
      <c r="AF444" s="1432"/>
      <c r="AG444" s="1461">
        <f>IF(ISERROR(AG443/AG442),"",AG443/AG442)</f>
        <v>1</v>
      </c>
      <c r="AH444" s="1461"/>
      <c r="AI444" s="1461"/>
      <c r="AJ444" s="1461"/>
    </row>
    <row r="445" spans="1:110" ht="13" customHeight="1">
      <c r="D445" s="1430" t="s">
        <v>1061</v>
      </c>
      <c r="E445" s="1431"/>
      <c r="F445" s="1431"/>
      <c r="G445" s="1431"/>
      <c r="H445" s="1431"/>
      <c r="I445" s="1431"/>
      <c r="J445" s="1431"/>
      <c r="K445" s="1431"/>
      <c r="L445" s="1431"/>
      <c r="M445" s="1431"/>
      <c r="N445" s="1431"/>
      <c r="O445" s="1431"/>
      <c r="P445" s="1431"/>
      <c r="Q445" s="1431"/>
      <c r="R445" s="1431"/>
      <c r="S445" s="1431"/>
      <c r="T445" s="1431"/>
      <c r="U445" s="1431"/>
      <c r="V445" s="1431"/>
      <c r="W445" s="1431"/>
      <c r="X445" s="1431"/>
      <c r="Y445" s="1431"/>
      <c r="Z445" s="1431"/>
      <c r="AA445" s="1431"/>
      <c r="AB445" s="1431"/>
      <c r="AC445" s="1431"/>
      <c r="AD445" s="1431"/>
      <c r="AE445" s="1431"/>
      <c r="AF445" s="1432"/>
      <c r="AG445" s="1461">
        <f>MIN(IF(AG441&gt;AG444,AG444,AG441),1)</f>
        <v>1</v>
      </c>
      <c r="AH445" s="1461"/>
      <c r="AI445" s="1461"/>
      <c r="AJ445" s="1461"/>
    </row>
    <row r="446" spans="1:110" ht="13" customHeight="1">
      <c r="D446" s="1430" t="s">
        <v>2402</v>
      </c>
      <c r="E446" s="1433"/>
      <c r="F446" s="1433"/>
      <c r="G446" s="1433"/>
      <c r="H446" s="1433"/>
      <c r="I446" s="1433"/>
      <c r="J446" s="1433"/>
      <c r="K446" s="1433"/>
      <c r="L446" s="1433"/>
      <c r="M446" s="1433"/>
      <c r="N446" s="1433"/>
      <c r="O446" s="1433"/>
      <c r="P446" s="1433"/>
      <c r="Q446" s="1433"/>
      <c r="R446" s="1433"/>
      <c r="S446" s="1433"/>
      <c r="T446" s="1433"/>
      <c r="U446" s="1433"/>
      <c r="V446" s="1433"/>
      <c r="W446" s="1433"/>
      <c r="X446" s="1433"/>
      <c r="Y446" s="1433"/>
      <c r="Z446" s="1433"/>
      <c r="AA446" s="1433"/>
      <c r="AB446" s="1433"/>
      <c r="AC446" s="1433"/>
      <c r="AD446" s="1433"/>
      <c r="AE446" s="1433"/>
      <c r="AF446" s="1434"/>
      <c r="AG446" s="1429">
        <f>1807</f>
        <v>1807</v>
      </c>
      <c r="AH446" s="1429"/>
      <c r="AI446" s="1429"/>
      <c r="AJ446" s="1429"/>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81" t="s">
        <v>577</v>
      </c>
      <c r="E447" s="1433"/>
      <c r="F447" s="1433"/>
      <c r="G447" s="1433"/>
      <c r="H447" s="1433"/>
      <c r="I447" s="1433"/>
      <c r="J447" s="1433"/>
      <c r="K447" s="1433"/>
      <c r="L447" s="1433"/>
      <c r="M447" s="1433"/>
      <c r="N447" s="1433"/>
      <c r="O447" s="1433"/>
      <c r="P447" s="1433"/>
      <c r="Q447" s="1433"/>
      <c r="R447" s="1433"/>
      <c r="S447" s="1433"/>
      <c r="T447" s="1433"/>
      <c r="U447" s="1433"/>
      <c r="V447" s="1433"/>
      <c r="W447" s="1433"/>
      <c r="X447" s="1433"/>
      <c r="Y447" s="1433"/>
      <c r="Z447" s="1433"/>
      <c r="AA447" s="1433"/>
      <c r="AB447" s="1433"/>
      <c r="AC447" s="1433"/>
      <c r="AD447" s="1433"/>
      <c r="AE447" s="1433"/>
      <c r="AF447" s="1434"/>
      <c r="AG447" s="1429">
        <v>0</v>
      </c>
      <c r="AH447" s="1429"/>
      <c r="AI447" s="1429"/>
      <c r="AJ447" s="1429"/>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30" t="s">
        <v>1311</v>
      </c>
      <c r="E448" s="1433"/>
      <c r="F448" s="1433"/>
      <c r="G448" s="1433"/>
      <c r="H448" s="1433"/>
      <c r="I448" s="1433"/>
      <c r="J448" s="1433"/>
      <c r="K448" s="1433"/>
      <c r="L448" s="1433"/>
      <c r="M448" s="1433"/>
      <c r="N448" s="1433"/>
      <c r="O448" s="1433"/>
      <c r="P448" s="1433"/>
      <c r="Q448" s="1433"/>
      <c r="R448" s="1433"/>
      <c r="S448" s="1433"/>
      <c r="T448" s="1433"/>
      <c r="U448" s="1433"/>
      <c r="V448" s="1433"/>
      <c r="W448" s="1433"/>
      <c r="X448" s="1433"/>
      <c r="Y448" s="1433"/>
      <c r="Z448" s="1433"/>
      <c r="AA448" s="1433"/>
      <c r="AB448" s="1433"/>
      <c r="AC448" s="1433"/>
      <c r="AD448" s="1433"/>
      <c r="AE448" s="1433"/>
      <c r="AF448" s="1434"/>
      <c r="AG448" s="1429">
        <f>8123</f>
        <v>8123</v>
      </c>
      <c r="AH448" s="1429"/>
      <c r="AI448" s="1429"/>
      <c r="AJ448" s="1429"/>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30" t="s">
        <v>1062</v>
      </c>
      <c r="E449" s="1433"/>
      <c r="F449" s="1433"/>
      <c r="G449" s="1433"/>
      <c r="H449" s="1433"/>
      <c r="I449" s="1433"/>
      <c r="J449" s="1433"/>
      <c r="K449" s="1433"/>
      <c r="L449" s="1433"/>
      <c r="M449" s="1433"/>
      <c r="N449" s="1433"/>
      <c r="O449" s="1433"/>
      <c r="P449" s="1433"/>
      <c r="Q449" s="1433"/>
      <c r="R449" s="1433"/>
      <c r="S449" s="1433"/>
      <c r="T449" s="1433"/>
      <c r="U449" s="1433"/>
      <c r="V449" s="1433"/>
      <c r="W449" s="1433"/>
      <c r="X449" s="1433"/>
      <c r="Y449" s="1433"/>
      <c r="Z449" s="1433"/>
      <c r="AA449" s="1433"/>
      <c r="AB449" s="1433"/>
      <c r="AC449" s="1433"/>
      <c r="AD449" s="1433"/>
      <c r="AE449" s="1433"/>
      <c r="AF449" s="1434"/>
      <c r="AG449" s="1429">
        <v>0</v>
      </c>
      <c r="AH449" s="1429"/>
      <c r="AI449" s="1429"/>
      <c r="AJ449" s="1429"/>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9" t="s">
        <v>1063</v>
      </c>
      <c r="E450" s="1530"/>
      <c r="F450" s="1530"/>
      <c r="G450" s="1530"/>
      <c r="H450" s="1530"/>
      <c r="I450" s="1530"/>
      <c r="J450" s="1530"/>
      <c r="K450" s="1530"/>
      <c r="L450" s="1530"/>
      <c r="M450" s="1530"/>
      <c r="N450" s="1530"/>
      <c r="O450" s="1530"/>
      <c r="P450" s="1530"/>
      <c r="Q450" s="1530"/>
      <c r="R450" s="1530"/>
      <c r="S450" s="1530"/>
      <c r="T450" s="1530"/>
      <c r="U450" s="1530"/>
      <c r="V450" s="1530"/>
      <c r="W450" s="1530"/>
      <c r="X450" s="1530"/>
      <c r="Y450" s="1530"/>
      <c r="Z450" s="1530"/>
      <c r="AA450" s="1530"/>
      <c r="AB450" s="1530"/>
      <c r="AC450" s="1530"/>
      <c r="AD450" s="1530"/>
      <c r="AE450" s="1530"/>
      <c r="AF450" s="1531"/>
      <c r="AG450" s="1483">
        <f>AG442+AG446+AG448+AG449</f>
        <v>32530</v>
      </c>
      <c r="AH450" s="1483"/>
      <c r="AI450" s="1483"/>
      <c r="AJ450" s="148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32" t="s">
        <v>1312</v>
      </c>
      <c r="E451" s="1532"/>
      <c r="F451" s="1532"/>
      <c r="G451" s="1532"/>
      <c r="H451" s="1532"/>
      <c r="I451" s="1532"/>
      <c r="J451" s="1532"/>
      <c r="K451" s="1532"/>
      <c r="L451" s="1532"/>
      <c r="M451" s="1532"/>
      <c r="N451" s="1532"/>
      <c r="O451" s="1532"/>
      <c r="P451" s="1532"/>
      <c r="Q451" s="1532"/>
      <c r="R451" s="1532"/>
      <c r="S451" s="1532"/>
      <c r="T451" s="1532"/>
      <c r="U451" s="1532"/>
      <c r="V451" s="1532"/>
      <c r="W451" s="1532"/>
      <c r="X451" s="1532"/>
      <c r="Y451" s="1532"/>
      <c r="Z451" s="1532"/>
      <c r="AA451" s="1532"/>
      <c r="AB451" s="1532"/>
      <c r="AC451" s="1532"/>
      <c r="AD451" s="1532"/>
      <c r="AE451" s="1532"/>
      <c r="AF451" s="1532"/>
      <c r="AG451" s="1532"/>
      <c r="AH451" s="1532"/>
      <c r="AI451" s="1532"/>
      <c r="AJ451" s="153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3"/>
      <c r="E452" s="1533"/>
      <c r="F452" s="1533"/>
      <c r="G452" s="1533"/>
      <c r="H452" s="1533"/>
      <c r="I452" s="1533"/>
      <c r="J452" s="1533"/>
      <c r="K452" s="1533"/>
      <c r="L452" s="1533"/>
      <c r="M452" s="1533"/>
      <c r="N452" s="1533"/>
      <c r="O452" s="1533"/>
      <c r="P452" s="1533"/>
      <c r="Q452" s="1533"/>
      <c r="R452" s="1533"/>
      <c r="S452" s="1533"/>
      <c r="T452" s="1533"/>
      <c r="U452" s="1533"/>
      <c r="V452" s="1533"/>
      <c r="W452" s="1533"/>
      <c r="X452" s="1533"/>
      <c r="Y452" s="1533"/>
      <c r="Z452" s="1533"/>
      <c r="AA452" s="1533"/>
      <c r="AB452" s="1533"/>
      <c r="AC452" s="1533"/>
      <c r="AD452" s="1533"/>
      <c r="AE452" s="1533"/>
      <c r="AF452" s="1533"/>
      <c r="AG452" s="1533"/>
      <c r="AH452" s="1533"/>
      <c r="AI452" s="1533"/>
      <c r="AJ452" s="153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41">
        <f ca="1">IF(AG437=0,"",'Sources and Uses Budget'!B105/Application!AG437)</f>
        <v>828814.17002811003</v>
      </c>
      <c r="AD454" s="1441"/>
      <c r="AE454" s="1441"/>
      <c r="AF454" s="144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41">
        <f ca="1">IF(AG437=0,"",'Sources and Uses Budget'!C105/Application!AG437)</f>
        <v>828814.17002811003</v>
      </c>
      <c r="AD455" s="1441"/>
      <c r="AE455" s="1441"/>
      <c r="AF455" s="144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41">
        <f ca="1">IF(AG437=0,"",('Sources and Uses Budget'!$S$107+'Sources and Uses Budget'!$T$107)/Application!AG437)</f>
        <v>751514.32480817824</v>
      </c>
      <c r="AD456" s="1441"/>
      <c r="AE456" s="1441"/>
      <c r="AF456" s="144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45"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445"/>
      <c r="H457" s="1445"/>
      <c r="I457" s="1445"/>
      <c r="J457" s="1445"/>
      <c r="K457" s="1445"/>
      <c r="L457" s="1445"/>
      <c r="M457" s="1445"/>
      <c r="N457" s="1445"/>
      <c r="O457" s="1445"/>
      <c r="P457" s="1445"/>
      <c r="Q457" s="1445"/>
      <c r="R457" s="1445"/>
      <c r="S457" s="1445"/>
      <c r="T457" s="1445"/>
      <c r="U457" s="1445"/>
      <c r="V457" s="1445"/>
      <c r="W457" s="1445"/>
      <c r="X457" s="1445"/>
      <c r="Y457" s="1445"/>
      <c r="Z457" s="1445"/>
      <c r="AA457" s="1445"/>
      <c r="AB457" s="144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45"/>
      <c r="G458" s="1445"/>
      <c r="H458" s="1445"/>
      <c r="I458" s="1445"/>
      <c r="J458" s="1445"/>
      <c r="K458" s="1445"/>
      <c r="L458" s="1445"/>
      <c r="M458" s="1445"/>
      <c r="N458" s="1445"/>
      <c r="O458" s="1445"/>
      <c r="P458" s="1445"/>
      <c r="Q458" s="1445"/>
      <c r="R458" s="1445"/>
      <c r="S458" s="1445"/>
      <c r="T458" s="1445"/>
      <c r="U458" s="1445"/>
      <c r="V458" s="1445"/>
      <c r="W458" s="1445"/>
      <c r="X458" s="1445"/>
      <c r="Y458" s="1445"/>
      <c r="Z458" s="1445"/>
      <c r="AA458" s="1445"/>
      <c r="AB458" s="144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09" t="s">
        <v>2416</v>
      </c>
      <c r="E465" s="1447"/>
      <c r="F465" s="1447"/>
      <c r="G465" s="1447"/>
      <c r="H465" s="1447"/>
      <c r="I465" s="1447"/>
      <c r="J465" s="1447"/>
      <c r="K465" s="1447"/>
      <c r="L465" s="1447"/>
      <c r="M465" s="1447"/>
      <c r="N465" s="1447"/>
      <c r="O465" s="1447"/>
      <c r="P465" s="1447"/>
      <c r="Q465" s="1447"/>
      <c r="R465" s="1447"/>
      <c r="S465" s="1447"/>
      <c r="T465" s="1447"/>
      <c r="U465" s="1447"/>
      <c r="V465" s="1448"/>
      <c r="W465" s="1412">
        <v>46</v>
      </c>
      <c r="X465" s="1413"/>
      <c r="Y465" s="141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46" t="s">
        <v>702</v>
      </c>
      <c r="E466" s="1447"/>
      <c r="F466" s="1447"/>
      <c r="G466" s="1447"/>
      <c r="H466" s="1447"/>
      <c r="I466" s="1447"/>
      <c r="J466" s="1447"/>
      <c r="K466" s="1447"/>
      <c r="L466" s="1447"/>
      <c r="M466" s="1447"/>
      <c r="N466" s="1447"/>
      <c r="O466" s="1447"/>
      <c r="P466" s="1447"/>
      <c r="Q466" s="1447"/>
      <c r="R466" s="1447"/>
      <c r="S466" s="1447"/>
      <c r="T466" s="1447"/>
      <c r="U466" s="1447"/>
      <c r="V466" s="1448"/>
      <c r="W466" s="1412">
        <v>0</v>
      </c>
      <c r="X466" s="1413"/>
      <c r="Y466" s="141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46" t="s">
        <v>703</v>
      </c>
      <c r="E467" s="1447"/>
      <c r="F467" s="1447"/>
      <c r="G467" s="1447"/>
      <c r="H467" s="1447"/>
      <c r="I467" s="1447"/>
      <c r="J467" s="1447"/>
      <c r="K467" s="1447"/>
      <c r="L467" s="1447"/>
      <c r="M467" s="1447"/>
      <c r="N467" s="1447"/>
      <c r="O467" s="1447"/>
      <c r="P467" s="1447"/>
      <c r="Q467" s="1447"/>
      <c r="R467" s="1447"/>
      <c r="S467" s="1447"/>
      <c r="T467" s="1447"/>
      <c r="U467" s="1447"/>
      <c r="V467" s="1448"/>
      <c r="W467" s="1412">
        <v>0</v>
      </c>
      <c r="X467" s="1413"/>
      <c r="Y467" s="141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46" t="s">
        <v>704</v>
      </c>
      <c r="E468" s="1447"/>
      <c r="F468" s="1447"/>
      <c r="G468" s="1447"/>
      <c r="H468" s="1447"/>
      <c r="I468" s="1447"/>
      <c r="J468" s="1447"/>
      <c r="K468" s="1447"/>
      <c r="L468" s="1447"/>
      <c r="M468" s="1447"/>
      <c r="N468" s="1447"/>
      <c r="O468" s="1447"/>
      <c r="P468" s="1447"/>
      <c r="Q468" s="1447"/>
      <c r="R468" s="1447"/>
      <c r="S468" s="1447"/>
      <c r="T468" s="1447"/>
      <c r="U468" s="1447"/>
      <c r="V468" s="1448"/>
      <c r="W468" s="1412">
        <v>0</v>
      </c>
      <c r="X468" s="1413"/>
      <c r="Y468" s="141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46" t="s">
        <v>893</v>
      </c>
      <c r="E469" s="1447"/>
      <c r="F469" s="1447"/>
      <c r="G469" s="1447"/>
      <c r="H469" s="1447"/>
      <c r="I469" s="1447"/>
      <c r="J469" s="1447"/>
      <c r="K469" s="1447"/>
      <c r="L469" s="1447"/>
      <c r="M469" s="1447"/>
      <c r="N469" s="1447"/>
      <c r="O469" s="1447"/>
      <c r="P469" s="1447"/>
      <c r="Q469" s="1447"/>
      <c r="R469" s="1447"/>
      <c r="S469" s="1447"/>
      <c r="T469" s="1447"/>
      <c r="U469" s="1447"/>
      <c r="V469" s="1448"/>
      <c r="W469" s="1412">
        <v>0</v>
      </c>
      <c r="X469" s="1413"/>
      <c r="Y469" s="141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46" t="s">
        <v>705</v>
      </c>
      <c r="E470" s="1447"/>
      <c r="F470" s="1447"/>
      <c r="G470" s="1447"/>
      <c r="H470" s="1447"/>
      <c r="I470" s="1447"/>
      <c r="J470" s="1447"/>
      <c r="K470" s="1447"/>
      <c r="L470" s="1447"/>
      <c r="M470" s="1447"/>
      <c r="N470" s="1447"/>
      <c r="O470" s="1447"/>
      <c r="P470" s="1447"/>
      <c r="Q470" s="1447"/>
      <c r="R470" s="1447"/>
      <c r="S470" s="1447"/>
      <c r="T470" s="1447"/>
      <c r="U470" s="1447"/>
      <c r="V470" s="1448"/>
      <c r="W470" s="1412">
        <v>0</v>
      </c>
      <c r="X470" s="1413"/>
      <c r="Y470" s="141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46" t="s">
        <v>1036</v>
      </c>
      <c r="E471" s="1447"/>
      <c r="F471" s="1447"/>
      <c r="G471" s="1447"/>
      <c r="H471" s="1447"/>
      <c r="I471" s="1447"/>
      <c r="J471" s="1447"/>
      <c r="K471" s="1447"/>
      <c r="L471" s="1447"/>
      <c r="M471" s="1447"/>
      <c r="N471" s="1447"/>
      <c r="O471" s="1447"/>
      <c r="P471" s="1447"/>
      <c r="Q471" s="1447"/>
      <c r="R471" s="1447"/>
      <c r="S471" s="1447"/>
      <c r="T471" s="1447"/>
      <c r="U471" s="1447"/>
      <c r="V471" s="1448"/>
      <c r="W471" s="1412">
        <v>0</v>
      </c>
      <c r="X471" s="1413"/>
      <c r="Y471" s="141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09" t="s">
        <v>2551</v>
      </c>
      <c r="E472" s="1410"/>
      <c r="F472" s="1410"/>
      <c r="G472" s="1410"/>
      <c r="H472" s="1410"/>
      <c r="I472" s="1410"/>
      <c r="J472" s="1410"/>
      <c r="K472" s="1410"/>
      <c r="L472" s="1410"/>
      <c r="M472" s="1410"/>
      <c r="N472" s="1410"/>
      <c r="O472" s="1410"/>
      <c r="P472" s="1410"/>
      <c r="Q472" s="1410"/>
      <c r="R472" s="1410"/>
      <c r="S472" s="1410"/>
      <c r="T472" s="1410"/>
      <c r="U472" s="1410"/>
      <c r="V472" s="1411"/>
      <c r="W472" s="1412">
        <v>0</v>
      </c>
      <c r="X472" s="1413"/>
      <c r="Y472" s="141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09" t="s">
        <v>1765</v>
      </c>
      <c r="E473" s="1447"/>
      <c r="F473" s="1447"/>
      <c r="G473" s="1447"/>
      <c r="H473" s="1447"/>
      <c r="I473" s="1447"/>
      <c r="J473" s="1447"/>
      <c r="K473" s="1447"/>
      <c r="L473" s="1447"/>
      <c r="M473" s="1447"/>
      <c r="N473" s="1447"/>
      <c r="O473" s="1447"/>
      <c r="P473" s="1447"/>
      <c r="Q473" s="1447"/>
      <c r="R473" s="1447"/>
      <c r="S473" s="1447"/>
      <c r="T473" s="1447"/>
      <c r="U473" s="1447"/>
      <c r="V473" s="1448"/>
      <c r="W473" s="1412">
        <v>10</v>
      </c>
      <c r="X473" s="1413"/>
      <c r="Y473" s="141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22" t="s">
        <v>599</v>
      </c>
      <c r="H474" s="1523"/>
      <c r="I474" s="1523"/>
      <c r="J474" s="1523"/>
      <c r="K474" s="1523"/>
      <c r="L474" s="1523"/>
      <c r="M474" s="1523"/>
      <c r="N474" s="1523"/>
      <c r="O474" s="1523"/>
      <c r="P474" s="1523"/>
      <c r="Q474" s="1523"/>
      <c r="R474" s="1523"/>
      <c r="S474" s="1523"/>
      <c r="T474" s="1523"/>
      <c r="U474" s="1523"/>
      <c r="V474" s="1524"/>
      <c r="W474" s="1412">
        <v>0</v>
      </c>
      <c r="X474" s="1413"/>
      <c r="Y474" s="141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t="s">
        <v>2735</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735" t="s">
        <v>819</v>
      </c>
      <c r="B480" s="1735"/>
      <c r="C480" s="1735"/>
      <c r="D480" s="1735"/>
      <c r="E480" s="1735"/>
      <c r="F480" s="1735"/>
      <c r="G480" s="1735"/>
      <c r="H480" s="1735"/>
      <c r="I480" s="1735"/>
      <c r="J480" s="1735"/>
      <c r="K480" s="1735"/>
      <c r="L480" s="1735"/>
      <c r="M480" s="1735"/>
      <c r="N480" s="1735"/>
      <c r="O480" s="1735"/>
      <c r="P480" s="1735"/>
      <c r="Q480" s="1735"/>
      <c r="R480" s="1735"/>
      <c r="S480" s="1735"/>
      <c r="T480" s="1735"/>
      <c r="U480" s="1735"/>
      <c r="V480" s="1735"/>
      <c r="W480" s="1735"/>
      <c r="X480" s="1735"/>
      <c r="Y480" s="1735"/>
      <c r="Z480" s="1735"/>
      <c r="AA480" s="1735"/>
      <c r="AB480" s="1735"/>
      <c r="AC480" s="1735"/>
      <c r="AD480" s="1735"/>
      <c r="AE480" s="1735"/>
      <c r="AF480" s="1735"/>
      <c r="AG480" s="1735"/>
      <c r="AH480" s="1735"/>
      <c r="AI480" s="1735"/>
      <c r="AJ480" s="1735"/>
      <c r="AK480" s="1735"/>
      <c r="AL480" s="1735"/>
      <c r="AM480" s="1735"/>
      <c r="AN480" s="1735"/>
      <c r="AO480" s="1735"/>
      <c r="AP480" s="1735"/>
      <c r="AQ480" s="1735"/>
      <c r="AR480" s="1735"/>
      <c r="AS480" s="1735"/>
      <c r="AT480" s="173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735"/>
      <c r="B481" s="1735"/>
      <c r="C481" s="1735"/>
      <c r="D481" s="1735"/>
      <c r="E481" s="1735"/>
      <c r="F481" s="1735"/>
      <c r="G481" s="1735"/>
      <c r="H481" s="1735"/>
      <c r="I481" s="1735"/>
      <c r="J481" s="1735"/>
      <c r="K481" s="1735"/>
      <c r="L481" s="1735"/>
      <c r="M481" s="1735"/>
      <c r="N481" s="1735"/>
      <c r="O481" s="1735"/>
      <c r="P481" s="1735"/>
      <c r="Q481" s="1735"/>
      <c r="R481" s="1735"/>
      <c r="S481" s="1735"/>
      <c r="T481" s="1735"/>
      <c r="U481" s="1735"/>
      <c r="V481" s="1735"/>
      <c r="W481" s="1735"/>
      <c r="X481" s="1735"/>
      <c r="Y481" s="1735"/>
      <c r="Z481" s="1735"/>
      <c r="AA481" s="1735"/>
      <c r="AB481" s="1735"/>
      <c r="AC481" s="1735"/>
      <c r="AD481" s="1735"/>
      <c r="AE481" s="1735"/>
      <c r="AF481" s="1735"/>
      <c r="AG481" s="1735"/>
      <c r="AH481" s="1735"/>
      <c r="AI481" s="1735"/>
      <c r="AJ481" s="1735"/>
      <c r="AK481" s="1735"/>
      <c r="AL481" s="1735"/>
      <c r="AM481" s="1735"/>
      <c r="AN481" s="1735"/>
      <c r="AO481" s="1735"/>
      <c r="AP481" s="1735"/>
      <c r="AQ481" s="1735"/>
      <c r="AR481" s="1735"/>
      <c r="AS481" s="1735"/>
      <c r="AT481" s="173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510" t="s">
        <v>393</v>
      </c>
      <c r="R485" s="1507"/>
      <c r="S485" s="1507"/>
      <c r="T485" s="1507"/>
      <c r="U485" s="1507"/>
      <c r="V485" s="1507"/>
      <c r="W485" s="1507"/>
      <c r="X485" s="1507"/>
      <c r="Y485" s="1507"/>
      <c r="Z485" s="1507"/>
      <c r="AA485" s="1507"/>
      <c r="AB485" s="1507"/>
      <c r="AC485" s="1507"/>
      <c r="AD485" s="1507"/>
      <c r="AE485" s="1507"/>
      <c r="AF485" s="1507"/>
      <c r="AG485" s="1507"/>
      <c r="AH485" s="1507"/>
      <c r="AI485" s="1507"/>
      <c r="AJ485" s="1507"/>
      <c r="AK485" s="150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442" t="s">
        <v>2736</v>
      </c>
      <c r="R486" s="1443"/>
      <c r="S486" s="1443"/>
      <c r="T486" s="1443"/>
      <c r="U486" s="1443"/>
      <c r="V486" s="1443"/>
      <c r="W486" s="1443"/>
      <c r="X486" s="1443"/>
      <c r="Y486" s="1443"/>
      <c r="Z486" s="1443"/>
      <c r="AA486" s="1443"/>
      <c r="AB486" s="1443"/>
      <c r="AC486" s="1443"/>
      <c r="AD486" s="1443"/>
      <c r="AE486" s="1443"/>
      <c r="AF486" s="1443"/>
      <c r="AG486" s="1443"/>
      <c r="AH486" s="1443"/>
      <c r="AI486" s="1443"/>
      <c r="AJ486" s="1443"/>
      <c r="AK486" s="1444"/>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442" t="s">
        <v>2736</v>
      </c>
      <c r="R487" s="1443"/>
      <c r="S487" s="1443"/>
      <c r="T487" s="1443"/>
      <c r="U487" s="1443"/>
      <c r="V487" s="1443"/>
      <c r="W487" s="1443"/>
      <c r="X487" s="1443"/>
      <c r="Y487" s="1443"/>
      <c r="Z487" s="1443"/>
      <c r="AA487" s="1443"/>
      <c r="AB487" s="1443"/>
      <c r="AC487" s="1443"/>
      <c r="AD487" s="1443"/>
      <c r="AE487" s="1443"/>
      <c r="AF487" s="1443"/>
      <c r="AG487" s="1443"/>
      <c r="AH487" s="1443"/>
      <c r="AI487" s="1443"/>
      <c r="AJ487" s="1443"/>
      <c r="AK487" s="1444"/>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442" t="s">
        <v>2736</v>
      </c>
      <c r="R488" s="1443"/>
      <c r="S488" s="1443"/>
      <c r="T488" s="1443"/>
      <c r="U488" s="1443"/>
      <c r="V488" s="1443"/>
      <c r="W488" s="1443"/>
      <c r="X488" s="1443"/>
      <c r="Y488" s="1443"/>
      <c r="Z488" s="1443"/>
      <c r="AA488" s="1443"/>
      <c r="AB488" s="1443"/>
      <c r="AC488" s="1443"/>
      <c r="AD488" s="1443"/>
      <c r="AE488" s="1443"/>
      <c r="AF488" s="1443"/>
      <c r="AG488" s="1443"/>
      <c r="AH488" s="1443"/>
      <c r="AI488" s="1443"/>
      <c r="AJ488" s="1443"/>
      <c r="AK488" s="144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2" t="s">
        <v>397</v>
      </c>
      <c r="C489" s="1463"/>
      <c r="D489" s="1463"/>
      <c r="E489" s="1463"/>
      <c r="F489" s="1463"/>
      <c r="G489" s="1463"/>
      <c r="H489" s="1463"/>
      <c r="I489" s="1463"/>
      <c r="J489" s="1463"/>
      <c r="K489" s="1463"/>
      <c r="L489" s="1463"/>
      <c r="M489" s="1463"/>
      <c r="N489" s="1463"/>
      <c r="O489" s="1463"/>
      <c r="P489" s="1464"/>
      <c r="Q489" s="1468" t="s">
        <v>677</v>
      </c>
      <c r="R489" s="1469"/>
      <c r="S489" s="1502" t="s">
        <v>166</v>
      </c>
      <c r="T489" s="1503"/>
      <c r="U489" s="1503"/>
      <c r="V489" s="1503"/>
      <c r="W489" s="1503"/>
      <c r="X489" s="1503"/>
      <c r="Y489" s="1503"/>
      <c r="Z489" s="1503"/>
      <c r="AA489" s="1503"/>
      <c r="AB489" s="1503"/>
      <c r="AC489" s="1503"/>
      <c r="AD489" s="1503"/>
      <c r="AE489" s="1503"/>
      <c r="AF489" s="1503"/>
      <c r="AG489" s="1503"/>
      <c r="AH489" s="1503"/>
      <c r="AI489" s="1503"/>
      <c r="AJ489" s="1503"/>
      <c r="AK489" s="150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65"/>
      <c r="C490" s="1466"/>
      <c r="D490" s="1466"/>
      <c r="E490" s="1466"/>
      <c r="F490" s="1466"/>
      <c r="G490" s="1466"/>
      <c r="H490" s="1466"/>
      <c r="I490" s="1466"/>
      <c r="J490" s="1466"/>
      <c r="K490" s="1466"/>
      <c r="L490" s="1466"/>
      <c r="M490" s="1466"/>
      <c r="N490" s="1466"/>
      <c r="O490" s="1466"/>
      <c r="P490" s="1467"/>
      <c r="Q490" s="1470"/>
      <c r="R490" s="1471"/>
      <c r="S490" s="1505"/>
      <c r="T490" s="1480"/>
      <c r="U490" s="1480"/>
      <c r="V490" s="1480"/>
      <c r="W490" s="1480"/>
      <c r="X490" s="1480"/>
      <c r="Y490" s="1480"/>
      <c r="Z490" s="1480"/>
      <c r="AA490" s="1480"/>
      <c r="AB490" s="1480"/>
      <c r="AC490" s="1480"/>
      <c r="AD490" s="1480"/>
      <c r="AE490" s="1480"/>
      <c r="AF490" s="1480"/>
      <c r="AG490" s="1480"/>
      <c r="AH490" s="1480"/>
      <c r="AI490" s="1480"/>
      <c r="AJ490" s="1480"/>
      <c r="AK490" s="150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1783</v>
      </c>
      <c r="C491" s="907"/>
      <c r="D491" s="907"/>
      <c r="E491" s="907"/>
      <c r="F491" s="907"/>
      <c r="G491" s="907"/>
      <c r="H491" s="907"/>
      <c r="I491" s="907"/>
      <c r="J491" s="907"/>
      <c r="K491" s="907"/>
      <c r="L491" s="907"/>
      <c r="M491" s="907"/>
      <c r="N491" s="907"/>
      <c r="O491" s="907"/>
      <c r="P491" s="907"/>
      <c r="Q491" s="1449" t="s">
        <v>677</v>
      </c>
      <c r="R491" s="1450"/>
      <c r="S491" s="1450"/>
      <c r="T491" s="1450"/>
      <c r="U491" s="1450"/>
      <c r="V491" s="1450"/>
      <c r="W491" s="1450"/>
      <c r="X491" s="1450"/>
      <c r="Y491" s="1450"/>
      <c r="Z491" s="1450"/>
      <c r="AA491" s="1450"/>
      <c r="AB491" s="1450"/>
      <c r="AC491" s="1450"/>
      <c r="AD491" s="1450"/>
      <c r="AE491" s="1450"/>
      <c r="AF491" s="1450"/>
      <c r="AG491" s="1450"/>
      <c r="AH491" s="1450"/>
      <c r="AI491" s="1450"/>
      <c r="AJ491" s="1450"/>
      <c r="AK491" s="145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442" t="s">
        <v>2737</v>
      </c>
      <c r="R492" s="1443"/>
      <c r="S492" s="1443"/>
      <c r="T492" s="1443"/>
      <c r="U492" s="1443"/>
      <c r="V492" s="1443"/>
      <c r="W492" s="1443"/>
      <c r="X492" s="1443"/>
      <c r="Y492" s="1443"/>
      <c r="Z492" s="1443"/>
      <c r="AA492" s="1443"/>
      <c r="AB492" s="1443"/>
      <c r="AC492" s="1443"/>
      <c r="AD492" s="1443"/>
      <c r="AE492" s="1443"/>
      <c r="AF492" s="1443"/>
      <c r="AG492" s="1443"/>
      <c r="AH492" s="1443"/>
      <c r="AI492" s="1443"/>
      <c r="AJ492" s="1443"/>
      <c r="AK492" s="144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442" t="s">
        <v>2738</v>
      </c>
      <c r="R493" s="1443"/>
      <c r="S493" s="1443"/>
      <c r="T493" s="1443"/>
      <c r="U493" s="1443"/>
      <c r="V493" s="1443"/>
      <c r="W493" s="1443"/>
      <c r="X493" s="1443"/>
      <c r="Y493" s="1443"/>
      <c r="Z493" s="1443"/>
      <c r="AA493" s="1443"/>
      <c r="AB493" s="1443"/>
      <c r="AC493" s="1443"/>
      <c r="AD493" s="1443"/>
      <c r="AE493" s="1443"/>
      <c r="AF493" s="1443"/>
      <c r="AG493" s="1443"/>
      <c r="AH493" s="1443"/>
      <c r="AI493" s="1443"/>
      <c r="AJ493" s="1443"/>
      <c r="AK493" s="144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1780</v>
      </c>
      <c r="C494" s="5"/>
      <c r="D494" s="5"/>
      <c r="E494" s="5"/>
      <c r="F494" s="5"/>
      <c r="G494" s="5"/>
      <c r="H494" s="5"/>
      <c r="I494" s="5"/>
      <c r="J494" s="5"/>
      <c r="K494" s="5"/>
      <c r="L494" s="5"/>
      <c r="M494" s="5"/>
      <c r="N494" s="5"/>
      <c r="O494" s="5"/>
      <c r="P494" s="5"/>
      <c r="Q494" s="1442" t="s">
        <v>2739</v>
      </c>
      <c r="R494" s="1443"/>
      <c r="S494" s="1443"/>
      <c r="T494" s="1443"/>
      <c r="U494" s="1443"/>
      <c r="V494" s="1443"/>
      <c r="W494" s="1443"/>
      <c r="X494" s="1443"/>
      <c r="Y494" s="1443"/>
      <c r="Z494" s="1443"/>
      <c r="AA494" s="1443"/>
      <c r="AB494" s="1443"/>
      <c r="AC494" s="1443"/>
      <c r="AD494" s="1443"/>
      <c r="AE494" s="1443"/>
      <c r="AF494" s="1443"/>
      <c r="AG494" s="1443"/>
      <c r="AH494" s="1443"/>
      <c r="AI494" s="1443"/>
      <c r="AJ494" s="1443"/>
      <c r="AK494" s="144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1781</v>
      </c>
      <c r="C495" s="5"/>
      <c r="D495" s="5"/>
      <c r="E495" s="5"/>
      <c r="F495" s="5"/>
      <c r="G495" s="5"/>
      <c r="H495" s="5"/>
      <c r="I495" s="5"/>
      <c r="J495" s="5"/>
      <c r="K495" s="5"/>
      <c r="L495" s="5"/>
      <c r="M495" s="1452">
        <v>0</v>
      </c>
      <c r="N495" s="1453"/>
      <c r="O495" s="1453"/>
      <c r="P495" s="1454"/>
      <c r="Q495" s="121" t="s">
        <v>1782</v>
      </c>
      <c r="R495" s="5"/>
      <c r="S495" s="5"/>
      <c r="T495" s="5"/>
      <c r="U495" s="5"/>
      <c r="V495" s="5"/>
      <c r="W495" s="5"/>
      <c r="X495" s="5"/>
      <c r="Y495" s="5"/>
      <c r="Z495" s="5"/>
      <c r="AA495" s="5"/>
      <c r="AB495" s="5"/>
      <c r="AC495" s="5"/>
      <c r="AD495" s="5"/>
      <c r="AE495" s="5"/>
      <c r="AF495" s="5"/>
      <c r="AG495" s="5"/>
      <c r="AH495" s="1452">
        <v>57</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0" t="s">
        <v>401</v>
      </c>
      <c r="AD499" s="1507"/>
      <c r="AE499" s="1507"/>
      <c r="AF499" s="1507"/>
      <c r="AG499" s="1507"/>
      <c r="AH499" s="1507"/>
      <c r="AI499" s="1507"/>
      <c r="AJ499" s="1507"/>
      <c r="AK499" s="150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0" t="s">
        <v>402</v>
      </c>
      <c r="AD500" s="1507"/>
      <c r="AE500" s="1507"/>
      <c r="AF500" s="1507"/>
      <c r="AG500" s="50" t="s">
        <v>403</v>
      </c>
      <c r="AH500" s="1507" t="s">
        <v>404</v>
      </c>
      <c r="AI500" s="1507"/>
      <c r="AJ500" s="1507"/>
      <c r="AK500" s="150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00" t="s">
        <v>405</v>
      </c>
      <c r="C501" s="1401"/>
      <c r="D501" s="1401"/>
      <c r="E501" s="1401"/>
      <c r="F501" s="1401"/>
      <c r="G501" s="1401"/>
      <c r="H501" s="1402"/>
      <c r="I501" s="42" t="s">
        <v>406</v>
      </c>
      <c r="J501" s="42"/>
      <c r="K501" s="42"/>
      <c r="L501" s="42"/>
      <c r="M501" s="42"/>
      <c r="N501" s="42"/>
      <c r="O501" s="42"/>
      <c r="P501" s="42"/>
      <c r="Q501" s="42"/>
      <c r="R501" s="42"/>
      <c r="S501" s="42"/>
      <c r="T501" s="42"/>
      <c r="U501" s="42"/>
      <c r="V501" s="42"/>
      <c r="W501" s="42"/>
      <c r="AC501" s="1435">
        <v>8</v>
      </c>
      <c r="AD501" s="1436"/>
      <c r="AE501" s="1436"/>
      <c r="AF501" s="1436"/>
      <c r="AG501" s="13" t="s">
        <v>403</v>
      </c>
      <c r="AH501" s="1420">
        <v>2020</v>
      </c>
      <c r="AI501" s="1420"/>
      <c r="AJ501" s="1420"/>
      <c r="AK501" s="142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03"/>
      <c r="C502" s="1404"/>
      <c r="D502" s="1404"/>
      <c r="E502" s="1404"/>
      <c r="F502" s="1404"/>
      <c r="G502" s="1404"/>
      <c r="H502" s="1405"/>
      <c r="I502" s="48" t="s">
        <v>407</v>
      </c>
      <c r="J502" s="48"/>
      <c r="K502" s="48"/>
      <c r="L502" s="48"/>
      <c r="M502" s="48"/>
      <c r="N502" s="48"/>
      <c r="O502" s="48"/>
      <c r="P502" s="48"/>
      <c r="Q502" s="48"/>
      <c r="R502" s="48"/>
      <c r="S502" s="48"/>
      <c r="T502" s="48"/>
      <c r="U502" s="48"/>
      <c r="V502" s="48"/>
      <c r="W502" s="48"/>
      <c r="X502" s="48"/>
      <c r="Y502" s="48"/>
      <c r="Z502" s="48"/>
      <c r="AA502" s="48"/>
      <c r="AB502" s="48"/>
      <c r="AC502" s="1435">
        <v>5</v>
      </c>
      <c r="AD502" s="1436"/>
      <c r="AE502" s="1436"/>
      <c r="AF502" s="1436"/>
      <c r="AG502" s="38" t="s">
        <v>403</v>
      </c>
      <c r="AH502" s="1420">
        <v>2019</v>
      </c>
      <c r="AI502" s="1420"/>
      <c r="AJ502" s="1420"/>
      <c r="AK502" s="142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00" t="s">
        <v>408</v>
      </c>
      <c r="C503" s="1401"/>
      <c r="D503" s="1401"/>
      <c r="E503" s="1401"/>
      <c r="F503" s="1401"/>
      <c r="G503" s="1401"/>
      <c r="H503" s="1402"/>
      <c r="I503" s="42" t="s">
        <v>409</v>
      </c>
      <c r="J503" s="42"/>
      <c r="K503" s="42"/>
      <c r="L503" s="42"/>
      <c r="M503" s="42"/>
      <c r="N503" s="42"/>
      <c r="O503" s="42"/>
      <c r="P503" s="42"/>
      <c r="Q503" s="42"/>
      <c r="R503" s="42"/>
      <c r="S503" s="42"/>
      <c r="T503" s="42"/>
      <c r="U503" s="42"/>
      <c r="V503" s="42"/>
      <c r="W503" s="42"/>
      <c r="AC503" s="1435" t="s">
        <v>599</v>
      </c>
      <c r="AD503" s="1436"/>
      <c r="AE503" s="1436"/>
      <c r="AF503" s="1436"/>
      <c r="AG503" s="13" t="s">
        <v>403</v>
      </c>
      <c r="AH503" s="1420"/>
      <c r="AI503" s="1420"/>
      <c r="AJ503" s="1420"/>
      <c r="AK503" s="142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03"/>
      <c r="C504" s="1404"/>
      <c r="D504" s="1404"/>
      <c r="E504" s="1404"/>
      <c r="F504" s="1404"/>
      <c r="G504" s="1404"/>
      <c r="H504" s="1405"/>
      <c r="I504" t="s">
        <v>410</v>
      </c>
      <c r="AC504" s="1435" t="s">
        <v>599</v>
      </c>
      <c r="AD504" s="1436"/>
      <c r="AE504" s="1436"/>
      <c r="AF504" s="1436"/>
      <c r="AG504" s="13" t="s">
        <v>403</v>
      </c>
      <c r="AH504" s="1420"/>
      <c r="AI504" s="1420"/>
      <c r="AJ504" s="1420"/>
      <c r="AK504" s="142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03"/>
      <c r="C505" s="1404"/>
      <c r="D505" s="1404"/>
      <c r="E505" s="1404"/>
      <c r="F505" s="1404"/>
      <c r="G505" s="1404"/>
      <c r="H505" s="1405"/>
      <c r="I505" t="s">
        <v>411</v>
      </c>
      <c r="AC505" s="1435">
        <v>2</v>
      </c>
      <c r="AD505" s="1436"/>
      <c r="AE505" s="1436"/>
      <c r="AF505" s="1436"/>
      <c r="AG505" s="13" t="s">
        <v>403</v>
      </c>
      <c r="AH505" s="1420">
        <v>2022</v>
      </c>
      <c r="AI505" s="1420"/>
      <c r="AJ505" s="1420"/>
      <c r="AK505" s="142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03"/>
      <c r="C506" s="1404"/>
      <c r="D506" s="1404"/>
      <c r="E506" s="1404"/>
      <c r="F506" s="1404"/>
      <c r="G506" s="1404"/>
      <c r="H506" s="1405"/>
      <c r="I506" t="s">
        <v>412</v>
      </c>
      <c r="AC506" s="1435" t="s">
        <v>599</v>
      </c>
      <c r="AD506" s="1436"/>
      <c r="AE506" s="1436"/>
      <c r="AF506" s="1436"/>
      <c r="AG506" s="13" t="s">
        <v>403</v>
      </c>
      <c r="AH506" s="1420"/>
      <c r="AI506" s="1420"/>
      <c r="AJ506" s="1420"/>
      <c r="AK506" s="142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03"/>
      <c r="C507" s="1404"/>
      <c r="D507" s="1404"/>
      <c r="E507" s="1404"/>
      <c r="F507" s="1404"/>
      <c r="G507" s="1404"/>
      <c r="H507" s="1405"/>
      <c r="I507" s="3" t="s">
        <v>413</v>
      </c>
      <c r="AC507" s="1355">
        <v>10</v>
      </c>
      <c r="AD507" s="1356"/>
      <c r="AE507" s="1356"/>
      <c r="AF507" s="1356"/>
      <c r="AG507" s="13" t="s">
        <v>403</v>
      </c>
      <c r="AH507" s="1420">
        <v>2023</v>
      </c>
      <c r="AI507" s="1420"/>
      <c r="AJ507" s="1420"/>
      <c r="AK507" s="142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03"/>
      <c r="C508" s="1404"/>
      <c r="D508" s="1404"/>
      <c r="E508" s="1404"/>
      <c r="F508" s="1404"/>
      <c r="G508" s="1404"/>
      <c r="H508" s="1405"/>
      <c r="I508" s="931" t="s">
        <v>170</v>
      </c>
      <c r="J508" s="48"/>
      <c r="K508" s="48"/>
      <c r="L508" s="1415" t="s">
        <v>335</v>
      </c>
      <c r="M508" s="1416"/>
      <c r="N508" s="1416"/>
      <c r="O508" s="1416"/>
      <c r="P508" s="1416"/>
      <c r="Q508" s="1416"/>
      <c r="R508" s="1416"/>
      <c r="S508" s="1416"/>
      <c r="T508" s="1416"/>
      <c r="U508" s="1416"/>
      <c r="V508" s="1416"/>
      <c r="W508" s="1416"/>
      <c r="X508" s="1416"/>
      <c r="Y508" s="1416"/>
      <c r="Z508" s="1416"/>
      <c r="AA508" s="1416"/>
      <c r="AB508" s="1500"/>
      <c r="AC508" s="1435" t="s">
        <v>599</v>
      </c>
      <c r="AD508" s="1436"/>
      <c r="AE508" s="1436"/>
      <c r="AF508" s="1436"/>
      <c r="AG508" s="38" t="s">
        <v>403</v>
      </c>
      <c r="AH508" s="1420"/>
      <c r="AI508" s="1420"/>
      <c r="AJ508" s="1420"/>
      <c r="AK508" s="142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1787</v>
      </c>
      <c r="AC509" s="1455" t="s">
        <v>553</v>
      </c>
      <c r="AD509" s="1455"/>
      <c r="AE509" s="1455"/>
      <c r="AF509" s="1455"/>
      <c r="AG509" s="13"/>
      <c r="AH509" s="1305"/>
      <c r="AI509" s="1305"/>
      <c r="AJ509" s="1305"/>
      <c r="AK509" s="145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1784</v>
      </c>
      <c r="AC510" s="1355">
        <v>3</v>
      </c>
      <c r="AD510" s="1356"/>
      <c r="AE510" s="1356"/>
      <c r="AF510" s="1357"/>
      <c r="AG510" s="13"/>
      <c r="AH510" s="1305"/>
      <c r="AI510" s="1305"/>
      <c r="AJ510" s="1305"/>
      <c r="AK510" s="145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511" t="s">
        <v>2740</v>
      </c>
      <c r="AD512" s="1512"/>
      <c r="AE512" s="1512"/>
      <c r="AF512" s="1513"/>
      <c r="AG512" s="38"/>
      <c r="AH512" s="1439"/>
      <c r="AI512" s="1439"/>
      <c r="AJ512" s="1439"/>
      <c r="AK512" s="144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57" t="s">
        <v>402</v>
      </c>
      <c r="AD513" s="1458"/>
      <c r="AE513" s="1458"/>
      <c r="AF513" s="1458"/>
      <c r="AG513" s="38" t="s">
        <v>403</v>
      </c>
      <c r="AH513" s="1458" t="s">
        <v>404</v>
      </c>
      <c r="AI513" s="1458"/>
      <c r="AJ513" s="1458"/>
      <c r="AK513" s="1495"/>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00" t="s">
        <v>414</v>
      </c>
      <c r="C514" s="1401"/>
      <c r="D514" s="1401"/>
      <c r="E514" s="1401"/>
      <c r="F514" s="1401"/>
      <c r="G514" s="1401"/>
      <c r="H514" s="1402"/>
      <c r="I514" s="42" t="s">
        <v>415</v>
      </c>
      <c r="J514" s="42"/>
      <c r="K514" s="42"/>
      <c r="L514" s="42"/>
      <c r="M514" s="42"/>
      <c r="N514" s="42"/>
      <c r="O514" s="42"/>
      <c r="P514" s="42"/>
      <c r="Q514" s="42"/>
      <c r="R514" s="42"/>
      <c r="S514" s="42"/>
      <c r="T514" s="42"/>
      <c r="U514" s="42"/>
      <c r="V514" s="42"/>
      <c r="W514" s="42"/>
      <c r="AC514" s="1435">
        <v>10</v>
      </c>
      <c r="AD514" s="1436"/>
      <c r="AE514" s="1436"/>
      <c r="AF514" s="1436"/>
      <c r="AG514" s="13" t="s">
        <v>403</v>
      </c>
      <c r="AH514" s="1420">
        <v>2023</v>
      </c>
      <c r="AI514" s="1420"/>
      <c r="AJ514" s="1420"/>
      <c r="AK514" s="1421"/>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03"/>
      <c r="C515" s="1404"/>
      <c r="D515" s="1404"/>
      <c r="E515" s="1404"/>
      <c r="F515" s="1404"/>
      <c r="G515" s="1404"/>
      <c r="H515" s="1405"/>
      <c r="I515" t="s">
        <v>416</v>
      </c>
      <c r="AC515" s="1435">
        <v>12</v>
      </c>
      <c r="AD515" s="1436"/>
      <c r="AE515" s="1436"/>
      <c r="AF515" s="1436"/>
      <c r="AG515" s="13" t="s">
        <v>403</v>
      </c>
      <c r="AH515" s="1420">
        <v>2023</v>
      </c>
      <c r="AI515" s="1420"/>
      <c r="AJ515" s="1420"/>
      <c r="AK515" s="1421"/>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03"/>
      <c r="C516" s="1404"/>
      <c r="D516" s="1404"/>
      <c r="E516" s="1404"/>
      <c r="F516" s="1404"/>
      <c r="G516" s="1404"/>
      <c r="H516" s="1405"/>
      <c r="I516" s="48" t="s">
        <v>417</v>
      </c>
      <c r="J516" s="48"/>
      <c r="K516" s="48"/>
      <c r="L516" s="48"/>
      <c r="M516" s="48"/>
      <c r="N516" s="48"/>
      <c r="O516" s="48"/>
      <c r="P516" s="48"/>
      <c r="Q516" s="48"/>
      <c r="R516" s="48"/>
      <c r="S516" s="48"/>
      <c r="T516" s="48"/>
      <c r="U516" s="48"/>
      <c r="V516" s="48"/>
      <c r="W516" s="48"/>
      <c r="X516" s="48"/>
      <c r="Y516" s="48"/>
      <c r="Z516" s="48"/>
      <c r="AA516" s="48"/>
      <c r="AB516" s="48"/>
      <c r="AC516" s="1435">
        <v>4</v>
      </c>
      <c r="AD516" s="1436"/>
      <c r="AE516" s="1436"/>
      <c r="AF516" s="1436"/>
      <c r="AG516" s="38" t="s">
        <v>403</v>
      </c>
      <c r="AH516" s="1420">
        <v>2025</v>
      </c>
      <c r="AI516" s="1420"/>
      <c r="AJ516" s="1420"/>
      <c r="AK516" s="1421"/>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00" t="s">
        <v>418</v>
      </c>
      <c r="C517" s="1401"/>
      <c r="D517" s="1401"/>
      <c r="E517" s="1401"/>
      <c r="F517" s="1401"/>
      <c r="G517" s="1401"/>
      <c r="H517" s="1402"/>
      <c r="I517" s="42" t="s">
        <v>415</v>
      </c>
      <c r="J517" s="42"/>
      <c r="K517" s="42"/>
      <c r="L517" s="42"/>
      <c r="M517" s="42"/>
      <c r="N517" s="42"/>
      <c r="O517" s="42"/>
      <c r="P517" s="42"/>
      <c r="Q517" s="42"/>
      <c r="R517" s="42"/>
      <c r="S517" s="42"/>
      <c r="T517" s="42"/>
      <c r="U517" s="42"/>
      <c r="V517" s="42"/>
      <c r="W517" s="42"/>
      <c r="X517" s="42"/>
      <c r="Y517" s="42"/>
      <c r="Z517" s="42"/>
      <c r="AA517" s="42"/>
      <c r="AB517" s="42"/>
      <c r="AC517" s="1355">
        <v>10</v>
      </c>
      <c r="AD517" s="1356"/>
      <c r="AE517" s="1356"/>
      <c r="AF517" s="1356"/>
      <c r="AG517" s="129" t="s">
        <v>403</v>
      </c>
      <c r="AH517" s="1420">
        <v>2023</v>
      </c>
      <c r="AI517" s="1420"/>
      <c r="AJ517" s="1420"/>
      <c r="AK517" s="1421"/>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03"/>
      <c r="C518" s="1404"/>
      <c r="D518" s="1404"/>
      <c r="E518" s="1404"/>
      <c r="F518" s="1404"/>
      <c r="G518" s="1404"/>
      <c r="H518" s="1405"/>
      <c r="I518" t="s">
        <v>416</v>
      </c>
      <c r="AC518" s="1435">
        <v>12</v>
      </c>
      <c r="AD518" s="1436"/>
      <c r="AE518" s="1436"/>
      <c r="AF518" s="1436"/>
      <c r="AG518" s="13" t="s">
        <v>403</v>
      </c>
      <c r="AH518" s="1420">
        <v>2023</v>
      </c>
      <c r="AI518" s="1420"/>
      <c r="AJ518" s="1420"/>
      <c r="AK518" s="1421"/>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06"/>
      <c r="C519" s="1407"/>
      <c r="D519" s="1407"/>
      <c r="E519" s="1407"/>
      <c r="F519" s="1407"/>
      <c r="G519" s="1407"/>
      <c r="H519" s="1408"/>
      <c r="I519" s="48" t="s">
        <v>417</v>
      </c>
      <c r="J519" s="48"/>
      <c r="K519" s="48"/>
      <c r="L519" s="48"/>
      <c r="M519" s="48"/>
      <c r="N519" s="48"/>
      <c r="O519" s="48"/>
      <c r="P519" s="48"/>
      <c r="Q519" s="48"/>
      <c r="R519" s="48"/>
      <c r="S519" s="48"/>
      <c r="T519" s="48"/>
      <c r="U519" s="48"/>
      <c r="V519" s="48"/>
      <c r="W519" s="48"/>
      <c r="X519" s="48"/>
      <c r="Y519" s="48"/>
      <c r="Z519" s="48"/>
      <c r="AA519" s="48"/>
      <c r="AB519" s="48"/>
      <c r="AC519" s="1435">
        <v>3</v>
      </c>
      <c r="AD519" s="1436"/>
      <c r="AE519" s="1436"/>
      <c r="AF519" s="1436"/>
      <c r="AG519" s="38" t="s">
        <v>403</v>
      </c>
      <c r="AH519" s="1420">
        <v>2027</v>
      </c>
      <c r="AI519" s="1420"/>
      <c r="AJ519" s="1420"/>
      <c r="AK519" s="1421"/>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00" t="s">
        <v>419</v>
      </c>
      <c r="C520" s="1401"/>
      <c r="D520" s="1401"/>
      <c r="E520" s="1401"/>
      <c r="F520" s="1401"/>
      <c r="G520" s="1401"/>
      <c r="H520" s="1402"/>
      <c r="I520" s="41" t="s">
        <v>420</v>
      </c>
      <c r="J520" s="42"/>
      <c r="K520" s="42"/>
      <c r="L520" s="42"/>
      <c r="M520" s="42"/>
      <c r="N520" s="42"/>
      <c r="O520" s="1415" t="s">
        <v>2741</v>
      </c>
      <c r="P520" s="1416"/>
      <c r="Q520" s="1416"/>
      <c r="R520" s="1416"/>
      <c r="S520" s="1416"/>
      <c r="T520" s="1416"/>
      <c r="U520" s="1416"/>
      <c r="V520" s="1416"/>
      <c r="W520" s="1416"/>
      <c r="X520" s="1416"/>
      <c r="Y520" s="1416"/>
      <c r="Z520" s="1416"/>
      <c r="AA520" s="1416"/>
      <c r="AB520" s="58"/>
      <c r="AC520" s="1355" t="s">
        <v>599</v>
      </c>
      <c r="AD520" s="1356"/>
      <c r="AE520" s="1356"/>
      <c r="AF520" s="1356"/>
      <c r="AG520" s="129" t="s">
        <v>403</v>
      </c>
      <c r="AH520" s="1420"/>
      <c r="AI520" s="1420"/>
      <c r="AJ520" s="1420"/>
      <c r="AK520" s="1421"/>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03"/>
      <c r="C521" s="1404"/>
      <c r="D521" s="1404"/>
      <c r="E521" s="1404"/>
      <c r="F521" s="1404"/>
      <c r="G521" s="1404"/>
      <c r="H521" s="1405"/>
      <c r="I521" s="114" t="s">
        <v>421</v>
      </c>
      <c r="AB521" s="65"/>
      <c r="AC521" s="1435">
        <v>7</v>
      </c>
      <c r="AD521" s="1436"/>
      <c r="AE521" s="1436"/>
      <c r="AF521" s="1436"/>
      <c r="AG521" s="13" t="s">
        <v>403</v>
      </c>
      <c r="AH521" s="1420">
        <v>2021</v>
      </c>
      <c r="AI521" s="1420"/>
      <c r="AJ521" s="1420"/>
      <c r="AK521" s="1421"/>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03"/>
      <c r="C522" s="1404"/>
      <c r="D522" s="1404"/>
      <c r="E522" s="1404"/>
      <c r="F522" s="1404"/>
      <c r="G522" s="1404"/>
      <c r="H522" s="1405"/>
      <c r="I522" s="47" t="s">
        <v>422</v>
      </c>
      <c r="J522" s="48"/>
      <c r="K522" s="48"/>
      <c r="L522" s="48"/>
      <c r="M522" s="48"/>
      <c r="N522" s="48"/>
      <c r="O522" s="48"/>
      <c r="P522" s="48"/>
      <c r="Q522" s="48"/>
      <c r="R522" s="48"/>
      <c r="S522" s="48"/>
      <c r="T522" s="48"/>
      <c r="U522" s="48"/>
      <c r="V522" s="48"/>
      <c r="W522" s="48"/>
      <c r="X522" s="48"/>
      <c r="Y522" s="48"/>
      <c r="Z522" s="48"/>
      <c r="AA522" s="48"/>
      <c r="AB522" s="49"/>
      <c r="AC522" s="1435">
        <v>7</v>
      </c>
      <c r="AD522" s="1436"/>
      <c r="AE522" s="1436"/>
      <c r="AF522" s="1436"/>
      <c r="AG522" s="38" t="s">
        <v>403</v>
      </c>
      <c r="AH522" s="1420">
        <v>2021</v>
      </c>
      <c r="AI522" s="1420"/>
      <c r="AJ522" s="1420"/>
      <c r="AK522" s="1421"/>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03"/>
      <c r="C523" s="1404"/>
      <c r="D523" s="1404"/>
      <c r="E523" s="1404"/>
      <c r="F523" s="1404"/>
      <c r="G523" s="1404"/>
      <c r="H523" s="1405"/>
      <c r="I523" s="42" t="s">
        <v>423</v>
      </c>
      <c r="J523" s="42"/>
      <c r="K523" s="42"/>
      <c r="L523" s="42"/>
      <c r="M523" s="42"/>
      <c r="N523" s="42"/>
      <c r="O523" s="1415" t="s">
        <v>2797</v>
      </c>
      <c r="P523" s="1416"/>
      <c r="Q523" s="1416"/>
      <c r="R523" s="1416"/>
      <c r="S523" s="1416"/>
      <c r="T523" s="1416"/>
      <c r="U523" s="1416"/>
      <c r="V523" s="1416"/>
      <c r="W523" s="1416"/>
      <c r="X523" s="1416"/>
      <c r="Y523" s="1416"/>
      <c r="Z523" s="1416"/>
      <c r="AA523" s="1416"/>
      <c r="AC523" s="1435" t="s">
        <v>599</v>
      </c>
      <c r="AD523" s="1436"/>
      <c r="AE523" s="1436"/>
      <c r="AF523" s="1436"/>
      <c r="AG523" s="13" t="s">
        <v>403</v>
      </c>
      <c r="AH523" s="1420"/>
      <c r="AI523" s="1420"/>
      <c r="AJ523" s="1420"/>
      <c r="AK523" s="1421"/>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03"/>
      <c r="C524" s="1404"/>
      <c r="D524" s="1404"/>
      <c r="E524" s="1404"/>
      <c r="F524" s="1404"/>
      <c r="G524" s="1404"/>
      <c r="H524" s="1405"/>
      <c r="I524" t="s">
        <v>421</v>
      </c>
      <c r="AC524" s="1435">
        <v>3</v>
      </c>
      <c r="AD524" s="1436"/>
      <c r="AE524" s="1436"/>
      <c r="AF524" s="1436"/>
      <c r="AG524" s="13" t="s">
        <v>403</v>
      </c>
      <c r="AH524" s="1420">
        <v>2023</v>
      </c>
      <c r="AI524" s="1420"/>
      <c r="AJ524" s="1420"/>
      <c r="AK524" s="1421"/>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03"/>
      <c r="C525" s="1404"/>
      <c r="D525" s="1404"/>
      <c r="E525" s="1404"/>
      <c r="F525" s="1404"/>
      <c r="G525" s="1404"/>
      <c r="H525" s="1405"/>
      <c r="I525" s="48" t="s">
        <v>422</v>
      </c>
      <c r="J525" s="48"/>
      <c r="K525" s="48"/>
      <c r="L525" s="48"/>
      <c r="M525" s="48"/>
      <c r="N525" s="48"/>
      <c r="O525" s="48"/>
      <c r="P525" s="48"/>
      <c r="Q525" s="48"/>
      <c r="R525" s="48"/>
      <c r="S525" s="48"/>
      <c r="T525" s="48"/>
      <c r="U525" s="48"/>
      <c r="V525" s="48"/>
      <c r="W525" s="48"/>
      <c r="X525" s="48"/>
      <c r="Y525" s="48"/>
      <c r="Z525" s="48"/>
      <c r="AA525" s="48"/>
      <c r="AB525" s="48"/>
      <c r="AC525" s="1435">
        <v>6</v>
      </c>
      <c r="AD525" s="1436"/>
      <c r="AE525" s="1436"/>
      <c r="AF525" s="1436"/>
      <c r="AG525" s="38" t="s">
        <v>403</v>
      </c>
      <c r="AH525" s="1420">
        <v>2023</v>
      </c>
      <c r="AI525" s="1420"/>
      <c r="AJ525" s="1420"/>
      <c r="AK525" s="1421"/>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03"/>
      <c r="C526" s="1404"/>
      <c r="D526" s="1404"/>
      <c r="E526" s="1404"/>
      <c r="F526" s="1404"/>
      <c r="G526" s="1404"/>
      <c r="H526" s="1405"/>
      <c r="I526" s="42" t="s">
        <v>423</v>
      </c>
      <c r="J526" s="42"/>
      <c r="K526" s="42"/>
      <c r="L526" s="42"/>
      <c r="M526" s="42"/>
      <c r="N526" s="42"/>
      <c r="O526" s="1415" t="s">
        <v>2788</v>
      </c>
      <c r="P526" s="1416"/>
      <c r="Q526" s="1416"/>
      <c r="R526" s="1416"/>
      <c r="S526" s="1416"/>
      <c r="T526" s="1416"/>
      <c r="U526" s="1416"/>
      <c r="V526" s="1416"/>
      <c r="W526" s="1416"/>
      <c r="X526" s="1416"/>
      <c r="Y526" s="1416"/>
      <c r="Z526" s="1416"/>
      <c r="AA526" s="1416"/>
      <c r="AC526" s="1435" t="s">
        <v>599</v>
      </c>
      <c r="AD526" s="1436"/>
      <c r="AE526" s="1436"/>
      <c r="AF526" s="1436"/>
      <c r="AG526" s="13" t="s">
        <v>403</v>
      </c>
      <c r="AH526" s="1420"/>
      <c r="AI526" s="1420"/>
      <c r="AJ526" s="1420"/>
      <c r="AK526" s="1421"/>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03"/>
      <c r="C527" s="1404"/>
      <c r="D527" s="1404"/>
      <c r="E527" s="1404"/>
      <c r="F527" s="1404"/>
      <c r="G527" s="1404"/>
      <c r="H527" s="1405"/>
      <c r="I527" t="s">
        <v>421</v>
      </c>
      <c r="AC527" s="1435">
        <v>1</v>
      </c>
      <c r="AD527" s="1436"/>
      <c r="AE527" s="1436"/>
      <c r="AF527" s="1436"/>
      <c r="AG527" s="13" t="s">
        <v>403</v>
      </c>
      <c r="AH527" s="1420">
        <v>2024</v>
      </c>
      <c r="AI527" s="1420"/>
      <c r="AJ527" s="1420"/>
      <c r="AK527" s="1421"/>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03"/>
      <c r="C528" s="1404"/>
      <c r="D528" s="1404"/>
      <c r="E528" s="1404"/>
      <c r="F528" s="1404"/>
      <c r="G528" s="1404"/>
      <c r="H528" s="1405"/>
      <c r="I528" s="48" t="s">
        <v>422</v>
      </c>
      <c r="J528" s="48"/>
      <c r="K528" s="48"/>
      <c r="L528" s="48"/>
      <c r="M528" s="48"/>
      <c r="N528" s="48"/>
      <c r="O528" s="48"/>
      <c r="P528" s="48"/>
      <c r="Q528" s="48"/>
      <c r="R528" s="48"/>
      <c r="S528" s="48"/>
      <c r="T528" s="48"/>
      <c r="U528" s="48"/>
      <c r="V528" s="48"/>
      <c r="W528" s="48"/>
      <c r="X528" s="48"/>
      <c r="Y528" s="48"/>
      <c r="Z528" s="48"/>
      <c r="AA528" s="48"/>
      <c r="AB528" s="48"/>
      <c r="AC528" s="1435">
        <v>4</v>
      </c>
      <c r="AD528" s="1436"/>
      <c r="AE528" s="1436"/>
      <c r="AF528" s="1436"/>
      <c r="AG528" s="38" t="s">
        <v>403</v>
      </c>
      <c r="AH528" s="1420">
        <v>2024</v>
      </c>
      <c r="AI528" s="1420"/>
      <c r="AJ528" s="1420"/>
      <c r="AK528" s="1421"/>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03"/>
      <c r="C529" s="1404"/>
      <c r="D529" s="1404"/>
      <c r="E529" s="1404"/>
      <c r="F529" s="1404"/>
      <c r="G529" s="1404"/>
      <c r="H529" s="1405"/>
      <c r="I529" s="42" t="s">
        <v>423</v>
      </c>
      <c r="J529" s="42"/>
      <c r="K529" s="42"/>
      <c r="L529" s="42"/>
      <c r="M529" s="42"/>
      <c r="N529" s="42"/>
      <c r="O529" s="1415" t="s">
        <v>2742</v>
      </c>
      <c r="P529" s="1416"/>
      <c r="Q529" s="1416"/>
      <c r="R529" s="1416"/>
      <c r="S529" s="1416"/>
      <c r="T529" s="1416"/>
      <c r="U529" s="1416"/>
      <c r="V529" s="1416"/>
      <c r="W529" s="1416"/>
      <c r="X529" s="1416"/>
      <c r="Y529" s="1416"/>
      <c r="Z529" s="1416"/>
      <c r="AA529" s="1416"/>
      <c r="AC529" s="1435" t="s">
        <v>599</v>
      </c>
      <c r="AD529" s="1436"/>
      <c r="AE529" s="1436"/>
      <c r="AF529" s="1436"/>
      <c r="AG529" s="13" t="s">
        <v>403</v>
      </c>
      <c r="AH529" s="1420"/>
      <c r="AI529" s="1420"/>
      <c r="AJ529" s="1420"/>
      <c r="AK529" s="1421"/>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03"/>
      <c r="C530" s="1404"/>
      <c r="D530" s="1404"/>
      <c r="E530" s="1404"/>
      <c r="F530" s="1404"/>
      <c r="G530" s="1404"/>
      <c r="H530" s="1405"/>
      <c r="I530" t="s">
        <v>421</v>
      </c>
      <c r="AC530" s="1435">
        <v>2</v>
      </c>
      <c r="AD530" s="1436"/>
      <c r="AE530" s="1436"/>
      <c r="AF530" s="1436"/>
      <c r="AG530" s="13" t="s">
        <v>403</v>
      </c>
      <c r="AH530" s="1420">
        <v>2024</v>
      </c>
      <c r="AI530" s="1420"/>
      <c r="AJ530" s="1420"/>
      <c r="AK530" s="1421"/>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03"/>
      <c r="C531" s="1404"/>
      <c r="D531" s="1404"/>
      <c r="E531" s="1404"/>
      <c r="F531" s="1404"/>
      <c r="G531" s="1404"/>
      <c r="H531" s="1405"/>
      <c r="I531" s="48" t="s">
        <v>422</v>
      </c>
      <c r="J531" s="48"/>
      <c r="K531" s="48"/>
      <c r="L531" s="48"/>
      <c r="M531" s="48"/>
      <c r="N531" s="48"/>
      <c r="O531" s="48"/>
      <c r="P531" s="48"/>
      <c r="Q531" s="48"/>
      <c r="R531" s="48"/>
      <c r="S531" s="48"/>
      <c r="T531" s="48"/>
      <c r="U531" s="48"/>
      <c r="V531" s="48"/>
      <c r="W531" s="48"/>
      <c r="X531" s="48"/>
      <c r="Y531" s="48"/>
      <c r="Z531" s="48"/>
      <c r="AA531" s="48"/>
      <c r="AB531" s="48"/>
      <c r="AC531" s="1435">
        <v>6</v>
      </c>
      <c r="AD531" s="1436"/>
      <c r="AE531" s="1436"/>
      <c r="AF531" s="1436"/>
      <c r="AG531" s="38" t="s">
        <v>403</v>
      </c>
      <c r="AH531" s="1420">
        <v>2024</v>
      </c>
      <c r="AI531" s="1420"/>
      <c r="AJ531" s="1420"/>
      <c r="AK531" s="1421"/>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03"/>
      <c r="C532" s="1404"/>
      <c r="D532" s="1404"/>
      <c r="E532" s="1404"/>
      <c r="F532" s="1404"/>
      <c r="G532" s="1404"/>
      <c r="H532" s="1405"/>
      <c r="I532" s="42" t="s">
        <v>423</v>
      </c>
      <c r="J532" s="42"/>
      <c r="K532" s="42"/>
      <c r="L532" s="42"/>
      <c r="M532" s="42"/>
      <c r="N532" s="42"/>
      <c r="O532" s="1415"/>
      <c r="P532" s="1416"/>
      <c r="Q532" s="1416"/>
      <c r="R532" s="1416"/>
      <c r="S532" s="1416"/>
      <c r="T532" s="1416"/>
      <c r="U532" s="1416"/>
      <c r="V532" s="1416"/>
      <c r="W532" s="1416"/>
      <c r="X532" s="1416"/>
      <c r="Y532" s="1416"/>
      <c r="Z532" s="1416"/>
      <c r="AA532" s="1416"/>
      <c r="AC532" s="1435"/>
      <c r="AD532" s="1436"/>
      <c r="AE532" s="1436"/>
      <c r="AF532" s="1436"/>
      <c r="AG532" s="13" t="s">
        <v>403</v>
      </c>
      <c r="AH532" s="1420"/>
      <c r="AI532" s="1420"/>
      <c r="AJ532" s="1420"/>
      <c r="AK532" s="1421"/>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03"/>
      <c r="C533" s="1404"/>
      <c r="D533" s="1404"/>
      <c r="E533" s="1404"/>
      <c r="F533" s="1404"/>
      <c r="G533" s="1404"/>
      <c r="H533" s="1405"/>
      <c r="I533" t="s">
        <v>421</v>
      </c>
      <c r="AC533" s="1435"/>
      <c r="AD533" s="1436"/>
      <c r="AE533" s="1436"/>
      <c r="AF533" s="1436"/>
      <c r="AG533" s="38" t="s">
        <v>403</v>
      </c>
      <c r="AH533" s="1420"/>
      <c r="AI533" s="1420"/>
      <c r="AJ533" s="1420"/>
      <c r="AK533" s="1421"/>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03"/>
      <c r="C534" s="1404"/>
      <c r="D534" s="1404"/>
      <c r="E534" s="1404"/>
      <c r="F534" s="1404"/>
      <c r="G534" s="1404"/>
      <c r="H534" s="1405"/>
      <c r="I534" s="48" t="s">
        <v>422</v>
      </c>
      <c r="J534" s="48"/>
      <c r="K534" s="48"/>
      <c r="L534" s="48"/>
      <c r="M534" s="48"/>
      <c r="N534" s="48"/>
      <c r="O534" s="48"/>
      <c r="P534" s="48"/>
      <c r="Q534" s="48"/>
      <c r="R534" s="48"/>
      <c r="S534" s="48"/>
      <c r="T534" s="48"/>
      <c r="U534" s="48"/>
      <c r="V534" s="48"/>
      <c r="W534" s="48"/>
      <c r="X534" s="48"/>
      <c r="Y534" s="48"/>
      <c r="Z534" s="48"/>
      <c r="AA534" s="48"/>
      <c r="AB534" s="48"/>
      <c r="AC534" s="1435"/>
      <c r="AD534" s="1436"/>
      <c r="AE534" s="1436"/>
      <c r="AF534" s="1436"/>
      <c r="AG534" s="13" t="s">
        <v>403</v>
      </c>
      <c r="AH534" s="1420"/>
      <c r="AI534" s="1420"/>
      <c r="AJ534" s="1420"/>
      <c r="AK534" s="1421"/>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03"/>
      <c r="C535" s="1404"/>
      <c r="D535" s="1404"/>
      <c r="E535" s="1404"/>
      <c r="F535" s="1404"/>
      <c r="G535" s="1404"/>
      <c r="H535" s="1405"/>
      <c r="I535" s="42" t="s">
        <v>423</v>
      </c>
      <c r="J535" s="42"/>
      <c r="K535" s="42"/>
      <c r="L535" s="42"/>
      <c r="M535" s="42"/>
      <c r="N535" s="42"/>
      <c r="O535" s="1415"/>
      <c r="P535" s="1416"/>
      <c r="Q535" s="1416"/>
      <c r="R535" s="1416"/>
      <c r="S535" s="1416"/>
      <c r="T535" s="1416"/>
      <c r="U535" s="1416"/>
      <c r="V535" s="1416"/>
      <c r="W535" s="1416"/>
      <c r="X535" s="1416"/>
      <c r="Y535" s="1416"/>
      <c r="Z535" s="1416"/>
      <c r="AA535" s="1416"/>
      <c r="AC535" s="1435"/>
      <c r="AD535" s="1436"/>
      <c r="AE535" s="1436"/>
      <c r="AF535" s="1436"/>
      <c r="AG535" s="38" t="s">
        <v>403</v>
      </c>
      <c r="AH535" s="1420"/>
      <c r="AI535" s="1420"/>
      <c r="AJ535" s="1420"/>
      <c r="AK535" s="1421"/>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03"/>
      <c r="C536" s="1404"/>
      <c r="D536" s="1404"/>
      <c r="E536" s="1404"/>
      <c r="F536" s="1404"/>
      <c r="G536" s="1404"/>
      <c r="H536" s="1405"/>
      <c r="I536" t="s">
        <v>421</v>
      </c>
      <c r="AC536" s="1435"/>
      <c r="AD536" s="1436"/>
      <c r="AE536" s="1436"/>
      <c r="AF536" s="1436"/>
      <c r="AG536" s="13" t="s">
        <v>403</v>
      </c>
      <c r="AH536" s="1420"/>
      <c r="AI536" s="1420"/>
      <c r="AJ536" s="1420"/>
      <c r="AK536" s="1421"/>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03"/>
      <c r="C537" s="1404"/>
      <c r="D537" s="1404"/>
      <c r="E537" s="1404"/>
      <c r="F537" s="1404"/>
      <c r="G537" s="1404"/>
      <c r="H537" s="1405"/>
      <c r="I537" s="48" t="s">
        <v>422</v>
      </c>
      <c r="J537" s="48"/>
      <c r="K537" s="48"/>
      <c r="L537" s="48"/>
      <c r="M537" s="48"/>
      <c r="N537" s="48"/>
      <c r="O537" s="48"/>
      <c r="P537" s="48"/>
      <c r="Q537" s="48"/>
      <c r="R537" s="48"/>
      <c r="S537" s="48"/>
      <c r="T537" s="48"/>
      <c r="U537" s="48"/>
      <c r="V537" s="48"/>
      <c r="W537" s="48"/>
      <c r="X537" s="48"/>
      <c r="Y537" s="48"/>
      <c r="Z537" s="48"/>
      <c r="AA537" s="48"/>
      <c r="AB537" s="48"/>
      <c r="AC537" s="1435"/>
      <c r="AD537" s="1436"/>
      <c r="AE537" s="1436"/>
      <c r="AF537" s="1436"/>
      <c r="AG537" s="38" t="s">
        <v>403</v>
      </c>
      <c r="AH537" s="1420"/>
      <c r="AI537" s="1420"/>
      <c r="AJ537" s="1420"/>
      <c r="AK537" s="1421"/>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03"/>
      <c r="C538" s="1404"/>
      <c r="D538" s="1404"/>
      <c r="E538" s="1404"/>
      <c r="F538" s="1404"/>
      <c r="G538" s="1404"/>
      <c r="H538" s="1405"/>
      <c r="I538" s="42" t="s">
        <v>570</v>
      </c>
      <c r="J538" s="42"/>
      <c r="K538" s="42"/>
      <c r="L538" s="42"/>
      <c r="M538" s="42"/>
      <c r="N538" s="42"/>
      <c r="O538" s="42"/>
      <c r="P538" s="42"/>
      <c r="Q538" s="42"/>
      <c r="R538" s="42"/>
      <c r="S538" s="42"/>
      <c r="T538" s="42"/>
      <c r="U538" s="42"/>
      <c r="V538" s="42"/>
      <c r="W538" s="42"/>
      <c r="AC538" s="1435">
        <v>7</v>
      </c>
      <c r="AD538" s="1436"/>
      <c r="AE538" s="1436"/>
      <c r="AF538" s="1436"/>
      <c r="AG538" s="38" t="s">
        <v>403</v>
      </c>
      <c r="AH538" s="1420">
        <v>2025</v>
      </c>
      <c r="AI538" s="1420"/>
      <c r="AJ538" s="1420"/>
      <c r="AK538" s="142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03"/>
      <c r="C539" s="1404"/>
      <c r="D539" s="1404"/>
      <c r="E539" s="1404"/>
      <c r="F539" s="1404"/>
      <c r="G539" s="1404"/>
      <c r="H539" s="1405"/>
      <c r="I539" t="s">
        <v>571</v>
      </c>
      <c r="AC539" s="1435">
        <v>4</v>
      </c>
      <c r="AD539" s="1436"/>
      <c r="AE539" s="1436"/>
      <c r="AF539" s="1436"/>
      <c r="AG539" s="13" t="s">
        <v>403</v>
      </c>
      <c r="AH539" s="1420">
        <v>2025</v>
      </c>
      <c r="AI539" s="1420"/>
      <c r="AJ539" s="1420"/>
      <c r="AK539" s="142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03"/>
      <c r="C540" s="1404"/>
      <c r="D540" s="1404"/>
      <c r="E540" s="1404"/>
      <c r="F540" s="1404"/>
      <c r="G540" s="1404"/>
      <c r="H540" s="1405"/>
      <c r="I540" t="s">
        <v>572</v>
      </c>
      <c r="AC540" s="1435">
        <v>9</v>
      </c>
      <c r="AD540" s="1436"/>
      <c r="AE540" s="1436"/>
      <c r="AF540" s="1436"/>
      <c r="AG540" s="38" t="s">
        <v>403</v>
      </c>
      <c r="AH540" s="1420">
        <v>2026</v>
      </c>
      <c r="AI540" s="1420"/>
      <c r="AJ540" s="1420"/>
      <c r="AK540" s="142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03"/>
      <c r="C541" s="1404"/>
      <c r="D541" s="1404"/>
      <c r="E541" s="1404"/>
      <c r="F541" s="1404"/>
      <c r="G541" s="1404"/>
      <c r="H541" s="1405"/>
      <c r="I541" t="s">
        <v>573</v>
      </c>
      <c r="AC541" s="1435">
        <v>9</v>
      </c>
      <c r="AD541" s="1436"/>
      <c r="AE541" s="1436"/>
      <c r="AF541" s="1436"/>
      <c r="AG541" s="38" t="s">
        <v>403</v>
      </c>
      <c r="AH541" s="1420">
        <v>2026</v>
      </c>
      <c r="AI541" s="1420"/>
      <c r="AJ541" s="1420"/>
      <c r="AK541" s="142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06"/>
      <c r="C542" s="1407"/>
      <c r="D542" s="1407"/>
      <c r="E542" s="1407"/>
      <c r="F542" s="1407"/>
      <c r="G542" s="1407"/>
      <c r="H542" s="1408"/>
      <c r="I542" s="48" t="s">
        <v>459</v>
      </c>
      <c r="J542" s="48"/>
      <c r="K542" s="48"/>
      <c r="L542" s="48"/>
      <c r="M542" s="48"/>
      <c r="N542" s="48"/>
      <c r="O542" s="48"/>
      <c r="P542" s="48"/>
      <c r="Q542" s="48"/>
      <c r="R542" s="48"/>
      <c r="S542" s="48"/>
      <c r="T542" s="48"/>
      <c r="U542" s="48"/>
      <c r="V542" s="48"/>
      <c r="W542" s="48"/>
      <c r="X542" s="48"/>
      <c r="Y542" s="48"/>
      <c r="Z542" s="48"/>
      <c r="AA542" s="48"/>
      <c r="AB542" s="48"/>
      <c r="AC542" s="1435">
        <v>4</v>
      </c>
      <c r="AD542" s="1436"/>
      <c r="AE542" s="1436"/>
      <c r="AF542" s="1436"/>
      <c r="AG542" s="38" t="s">
        <v>403</v>
      </c>
      <c r="AH542" s="1420">
        <v>2027</v>
      </c>
      <c r="AI542" s="1420"/>
      <c r="AJ542" s="1420"/>
      <c r="AK542" s="142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6" t="s">
        <v>551</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00" t="s">
        <v>2420</v>
      </c>
      <c r="C551" s="1401"/>
      <c r="D551" s="1401"/>
      <c r="E551" s="1401"/>
      <c r="F551" s="1401"/>
      <c r="G551" s="1401"/>
      <c r="H551" s="1401"/>
      <c r="I551" s="1401"/>
      <c r="J551" s="1401"/>
      <c r="K551" s="1401"/>
      <c r="L551" s="1402"/>
      <c r="M551" s="1400" t="s">
        <v>2421</v>
      </c>
      <c r="N551" s="1401"/>
      <c r="O551" s="1401"/>
      <c r="P551" s="1402"/>
      <c r="Q551" s="1400" t="s">
        <v>2447</v>
      </c>
      <c r="R551" s="1401"/>
      <c r="S551" s="1402"/>
      <c r="T551" s="1400" t="s">
        <v>2448</v>
      </c>
      <c r="U551" s="1401"/>
      <c r="V551" s="1402"/>
      <c r="W551" s="1400" t="s">
        <v>461</v>
      </c>
      <c r="X551" s="1401"/>
      <c r="Y551" s="1402"/>
      <c r="Z551" s="1400" t="s">
        <v>2041</v>
      </c>
      <c r="AA551" s="1401"/>
      <c r="AB551" s="1401"/>
      <c r="AC551" s="1401"/>
      <c r="AD551" s="1402"/>
      <c r="AE551" s="1400" t="s">
        <v>1863</v>
      </c>
      <c r="AF551" s="1401"/>
      <c r="AG551" s="1401"/>
      <c r="AH551" s="1402"/>
      <c r="AI551" s="1400" t="s">
        <v>1864</v>
      </c>
      <c r="AJ551" s="1401"/>
      <c r="AK551" s="1401"/>
      <c r="AL551" s="1402"/>
      <c r="AM551" s="1400" t="s">
        <v>462</v>
      </c>
      <c r="AN551" s="1401"/>
      <c r="AO551" s="1401"/>
      <c r="AP551" s="1401"/>
      <c r="AQ551" s="1401"/>
      <c r="AR551" s="1401"/>
      <c r="AS551" s="1402"/>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03"/>
      <c r="C552" s="1404"/>
      <c r="D552" s="1404"/>
      <c r="E552" s="1404"/>
      <c r="F552" s="1404"/>
      <c r="G552" s="1404"/>
      <c r="H552" s="1404"/>
      <c r="I552" s="1404"/>
      <c r="J552" s="1404"/>
      <c r="K552" s="1404"/>
      <c r="L552" s="1405"/>
      <c r="M552" s="1403"/>
      <c r="N552" s="1404"/>
      <c r="O552" s="1404"/>
      <c r="P552" s="1405"/>
      <c r="Q552" s="1403"/>
      <c r="R552" s="1404"/>
      <c r="S552" s="1405"/>
      <c r="T552" s="1403"/>
      <c r="U552" s="1404"/>
      <c r="V552" s="1405"/>
      <c r="W552" s="1403"/>
      <c r="X552" s="1404"/>
      <c r="Y552" s="1405"/>
      <c r="Z552" s="1403"/>
      <c r="AA552" s="1404"/>
      <c r="AB552" s="1404"/>
      <c r="AC552" s="1404"/>
      <c r="AD552" s="1405"/>
      <c r="AE552" s="1403"/>
      <c r="AF552" s="1404"/>
      <c r="AG552" s="1404"/>
      <c r="AH552" s="1405"/>
      <c r="AI552" s="1403"/>
      <c r="AJ552" s="1404"/>
      <c r="AK552" s="1404"/>
      <c r="AL552" s="1405"/>
      <c r="AM552" s="1403"/>
      <c r="AN552" s="1404"/>
      <c r="AO552" s="1404"/>
      <c r="AP552" s="1404"/>
      <c r="AQ552" s="1404"/>
      <c r="AR552" s="1404"/>
      <c r="AS552" s="140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06"/>
      <c r="C553" s="1407"/>
      <c r="D553" s="1407"/>
      <c r="E553" s="1407"/>
      <c r="F553" s="1407"/>
      <c r="G553" s="1407"/>
      <c r="H553" s="1407"/>
      <c r="I553" s="1407"/>
      <c r="J553" s="1407"/>
      <c r="K553" s="1407"/>
      <c r="L553" s="1408"/>
      <c r="M553" s="1406"/>
      <c r="N553" s="1407"/>
      <c r="O553" s="1407"/>
      <c r="P553" s="1408"/>
      <c r="Q553" s="1406"/>
      <c r="R553" s="1407"/>
      <c r="S553" s="1408"/>
      <c r="T553" s="1406"/>
      <c r="U553" s="1407"/>
      <c r="V553" s="1408"/>
      <c r="W553" s="1406"/>
      <c r="X553" s="1407"/>
      <c r="Y553" s="1408"/>
      <c r="Z553" s="1406"/>
      <c r="AA553" s="1407"/>
      <c r="AB553" s="1407"/>
      <c r="AC553" s="1407"/>
      <c r="AD553" s="1408"/>
      <c r="AE553" s="1406"/>
      <c r="AF553" s="1407"/>
      <c r="AG553" s="1407"/>
      <c r="AH553" s="1408"/>
      <c r="AI553" s="1406"/>
      <c r="AJ553" s="1407"/>
      <c r="AK553" s="1407"/>
      <c r="AL553" s="1408"/>
      <c r="AM553" s="1406"/>
      <c r="AN553" s="1407"/>
      <c r="AO553" s="1407"/>
      <c r="AP553" s="1407"/>
      <c r="AQ553" s="1407"/>
      <c r="AR553" s="1407"/>
      <c r="AS553" s="140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9" t="s">
        <v>2766</v>
      </c>
      <c r="D554" s="1509"/>
      <c r="E554" s="1509"/>
      <c r="F554" s="1509"/>
      <c r="G554" s="1509"/>
      <c r="H554" s="1509"/>
      <c r="I554" s="1509"/>
      <c r="J554" s="1509"/>
      <c r="K554" s="1509"/>
      <c r="L554" s="1509"/>
      <c r="M554" s="1509" t="s">
        <v>2437</v>
      </c>
      <c r="N554" s="1509"/>
      <c r="O554" s="1509"/>
      <c r="P554" s="1509"/>
      <c r="Q554" s="1423">
        <v>27</v>
      </c>
      <c r="R554" s="1423"/>
      <c r="S554" s="1424"/>
      <c r="T554" s="1422">
        <v>0</v>
      </c>
      <c r="U554" s="1423"/>
      <c r="V554" s="1424"/>
      <c r="W554" s="1496">
        <f>[1]budgets!$F$22</f>
        <v>7.4999999999999997E-2</v>
      </c>
      <c r="X554" s="1497"/>
      <c r="Y554" s="1498"/>
      <c r="Z554" s="1501" t="s">
        <v>2754</v>
      </c>
      <c r="AA554" s="1501"/>
      <c r="AB554" s="1501"/>
      <c r="AC554" s="1501"/>
      <c r="AD554" s="1501"/>
      <c r="AE554" s="1417">
        <v>1</v>
      </c>
      <c r="AF554" s="1418"/>
      <c r="AG554" s="1418"/>
      <c r="AH554" s="1419"/>
      <c r="AI554" s="1492"/>
      <c r="AJ554" s="1493"/>
      <c r="AK554" s="1493"/>
      <c r="AL554" s="1494"/>
      <c r="AM554" s="1426">
        <f>[1]budgets!$B$22</f>
        <v>19063641.07794103</v>
      </c>
      <c r="AN554" s="1427"/>
      <c r="AO554" s="1427"/>
      <c r="AP554" s="1427"/>
      <c r="AQ554" s="1427"/>
      <c r="AR554" s="1427"/>
      <c r="AS554" s="142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99" t="s">
        <v>2765</v>
      </c>
      <c r="D555" s="1499"/>
      <c r="E555" s="1499"/>
      <c r="F555" s="1499"/>
      <c r="G555" s="1499"/>
      <c r="H555" s="1499"/>
      <c r="I555" s="1499"/>
      <c r="J555" s="1499"/>
      <c r="K555" s="1499"/>
      <c r="L555" s="1499"/>
      <c r="M555" s="1509" t="s">
        <v>2436</v>
      </c>
      <c r="N555" s="1509"/>
      <c r="O555" s="1509"/>
      <c r="P555" s="1509"/>
      <c r="Q555" s="1422">
        <v>27</v>
      </c>
      <c r="R555" s="1423"/>
      <c r="S555" s="1424"/>
      <c r="T555" s="1422">
        <v>0</v>
      </c>
      <c r="U555" s="1423"/>
      <c r="V555" s="1424"/>
      <c r="W555" s="1496">
        <f>W554</f>
        <v>7.4999999999999997E-2</v>
      </c>
      <c r="X555" s="1497"/>
      <c r="Y555" s="1498"/>
      <c r="Z555" s="1501" t="s">
        <v>2754</v>
      </c>
      <c r="AA555" s="1501"/>
      <c r="AB555" s="1501"/>
      <c r="AC555" s="1501"/>
      <c r="AD555" s="1501"/>
      <c r="AE555" s="1417">
        <v>1</v>
      </c>
      <c r="AF555" s="1418"/>
      <c r="AG555" s="1418"/>
      <c r="AH555" s="1419"/>
      <c r="AI555" s="1492"/>
      <c r="AJ555" s="1493"/>
      <c r="AK555" s="1493"/>
      <c r="AL555" s="1494"/>
      <c r="AM555" s="1426">
        <f>[1]budgets!$B$23</f>
        <v>7911195.8612227216</v>
      </c>
      <c r="AN555" s="1427"/>
      <c r="AO555" s="1427"/>
      <c r="AP555" s="1427"/>
      <c r="AQ555" s="1427"/>
      <c r="AR555" s="1427"/>
      <c r="AS555" s="142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99" t="s">
        <v>2741</v>
      </c>
      <c r="D556" s="1499"/>
      <c r="E556" s="1499"/>
      <c r="F556" s="1499"/>
      <c r="G556" s="1499"/>
      <c r="H556" s="1499"/>
      <c r="I556" s="1499"/>
      <c r="J556" s="1499"/>
      <c r="K556" s="1499"/>
      <c r="L556" s="1499"/>
      <c r="M556" s="1509" t="s">
        <v>2433</v>
      </c>
      <c r="N556" s="1509"/>
      <c r="O556" s="1509"/>
      <c r="P556" s="1509"/>
      <c r="Q556" s="1422">
        <v>660</v>
      </c>
      <c r="R556" s="1423"/>
      <c r="S556" s="1424"/>
      <c r="T556" s="1422">
        <v>0</v>
      </c>
      <c r="U556" s="1423"/>
      <c r="V556" s="1424"/>
      <c r="W556" s="1496">
        <v>0.03</v>
      </c>
      <c r="X556" s="1497"/>
      <c r="Y556" s="1498"/>
      <c r="Z556" s="1501" t="s">
        <v>2756</v>
      </c>
      <c r="AA556" s="1501"/>
      <c r="AB556" s="1501"/>
      <c r="AC556" s="1501"/>
      <c r="AD556" s="1501"/>
      <c r="AE556" s="1417">
        <v>2</v>
      </c>
      <c r="AF556" s="1418"/>
      <c r="AG556" s="1418"/>
      <c r="AH556" s="1419"/>
      <c r="AI556" s="1492"/>
      <c r="AJ556" s="1493"/>
      <c r="AK556" s="1493"/>
      <c r="AL556" s="1494"/>
      <c r="AM556" s="1426">
        <f>[1]budgets!$C$8</f>
        <v>5000000</v>
      </c>
      <c r="AN556" s="1427"/>
      <c r="AO556" s="1427"/>
      <c r="AP556" s="1427"/>
      <c r="AQ556" s="1427"/>
      <c r="AR556" s="1427"/>
      <c r="AS556" s="142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499" t="s">
        <v>2755</v>
      </c>
      <c r="D557" s="1499"/>
      <c r="E557" s="1499"/>
      <c r="F557" s="1499"/>
      <c r="G557" s="1499"/>
      <c r="H557" s="1499"/>
      <c r="I557" s="1499"/>
      <c r="J557" s="1499"/>
      <c r="K557" s="1499"/>
      <c r="L557" s="1499"/>
      <c r="M557" s="1509" t="s">
        <v>2433</v>
      </c>
      <c r="N557" s="1509"/>
      <c r="O557" s="1509"/>
      <c r="P557" s="1509"/>
      <c r="Q557" s="1422">
        <v>660</v>
      </c>
      <c r="R557" s="1423"/>
      <c r="S557" s="1424"/>
      <c r="T557" s="1422">
        <v>0</v>
      </c>
      <c r="U557" s="1423"/>
      <c r="V557" s="1424"/>
      <c r="W557" s="1496">
        <v>0.03</v>
      </c>
      <c r="X557" s="1497"/>
      <c r="Y557" s="1498"/>
      <c r="Z557" s="1501" t="s">
        <v>2756</v>
      </c>
      <c r="AA557" s="1501"/>
      <c r="AB557" s="1501"/>
      <c r="AC557" s="1501"/>
      <c r="AD557" s="1501"/>
      <c r="AE557" s="1417">
        <v>3</v>
      </c>
      <c r="AF557" s="1418"/>
      <c r="AG557" s="1418"/>
      <c r="AH557" s="1419"/>
      <c r="AI557" s="1492"/>
      <c r="AJ557" s="1493"/>
      <c r="AK557" s="1493"/>
      <c r="AL557" s="1494"/>
      <c r="AM557" s="1426">
        <f>[1]budgets!$C$10</f>
        <v>551582</v>
      </c>
      <c r="AN557" s="1427"/>
      <c r="AO557" s="1427"/>
      <c r="AP557" s="1427"/>
      <c r="AQ557" s="1427"/>
      <c r="AR557" s="1427"/>
      <c r="AS557" s="142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499" t="s">
        <v>2564</v>
      </c>
      <c r="D558" s="1499"/>
      <c r="E558" s="1499"/>
      <c r="F558" s="1499"/>
      <c r="G558" s="1499"/>
      <c r="H558" s="1499"/>
      <c r="I558" s="1499"/>
      <c r="J558" s="1499"/>
      <c r="K558" s="1499"/>
      <c r="L558" s="1499"/>
      <c r="M558" s="1509" t="s">
        <v>2433</v>
      </c>
      <c r="N558" s="1509"/>
      <c r="O558" s="1509"/>
      <c r="P558" s="1509"/>
      <c r="Q558" s="1422">
        <v>660</v>
      </c>
      <c r="R558" s="1423"/>
      <c r="S558" s="1424"/>
      <c r="T558" s="1422">
        <v>0</v>
      </c>
      <c r="U558" s="1423"/>
      <c r="V558" s="1424"/>
      <c r="W558" s="1496">
        <v>0</v>
      </c>
      <c r="X558" s="1497"/>
      <c r="Y558" s="1498"/>
      <c r="Z558" s="1501" t="s">
        <v>2756</v>
      </c>
      <c r="AA558" s="1501"/>
      <c r="AB558" s="1501"/>
      <c r="AC558" s="1501"/>
      <c r="AD558" s="1501"/>
      <c r="AE558" s="1417">
        <v>4</v>
      </c>
      <c r="AF558" s="1418"/>
      <c r="AG558" s="1418"/>
      <c r="AH558" s="1419"/>
      <c r="AI558" s="1492"/>
      <c r="AJ558" s="1493"/>
      <c r="AK558" s="1493"/>
      <c r="AL558" s="1494"/>
      <c r="AM558" s="1426">
        <f>[1]budgets!$C$6</f>
        <v>690000</v>
      </c>
      <c r="AN558" s="1427"/>
      <c r="AO558" s="1427"/>
      <c r="AP558" s="1427"/>
      <c r="AQ558" s="1427"/>
      <c r="AR558" s="1427"/>
      <c r="AS558" s="1428"/>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499" t="s">
        <v>2767</v>
      </c>
      <c r="D559" s="1499"/>
      <c r="E559" s="1499"/>
      <c r="F559" s="1499"/>
      <c r="G559" s="1499"/>
      <c r="H559" s="1499"/>
      <c r="I559" s="1499"/>
      <c r="J559" s="1499"/>
      <c r="K559" s="1499"/>
      <c r="L559" s="1499"/>
      <c r="M559" s="1509" t="s">
        <v>2428</v>
      </c>
      <c r="N559" s="1509"/>
      <c r="O559" s="1509"/>
      <c r="P559" s="1509"/>
      <c r="Q559" s="1422"/>
      <c r="R559" s="1423"/>
      <c r="S559" s="1424"/>
      <c r="T559" s="1422"/>
      <c r="U559" s="1423"/>
      <c r="V559" s="1424"/>
      <c r="W559" s="1496"/>
      <c r="X559" s="1497"/>
      <c r="Y559" s="1498"/>
      <c r="Z559" s="1501" t="s">
        <v>599</v>
      </c>
      <c r="AA559" s="1501"/>
      <c r="AB559" s="1501"/>
      <c r="AC559" s="1501"/>
      <c r="AD559" s="1501"/>
      <c r="AE559" s="1417"/>
      <c r="AF559" s="1418"/>
      <c r="AG559" s="1418"/>
      <c r="AH559" s="1419"/>
      <c r="AI559" s="1492"/>
      <c r="AJ559" s="1493"/>
      <c r="AK559" s="1493"/>
      <c r="AL559" s="1494"/>
      <c r="AM559" s="1426">
        <f>([1]budgets!$C$16+[1]budgets!$C$17)*0.1</f>
        <v>2060312.8821293057</v>
      </c>
      <c r="AN559" s="1427"/>
      <c r="AO559" s="1427"/>
      <c r="AP559" s="1427"/>
      <c r="AQ559" s="1427"/>
      <c r="AR559" s="1427"/>
      <c r="AS559" s="1428"/>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499" t="s">
        <v>2768</v>
      </c>
      <c r="D560" s="1499"/>
      <c r="E560" s="1499"/>
      <c r="F560" s="1499"/>
      <c r="G560" s="1499"/>
      <c r="H560" s="1499"/>
      <c r="I560" s="1499"/>
      <c r="J560" s="1499"/>
      <c r="K560" s="1499"/>
      <c r="L560" s="1499"/>
      <c r="M560" s="1509" t="s">
        <v>2427</v>
      </c>
      <c r="N560" s="1509"/>
      <c r="O560" s="1509"/>
      <c r="P560" s="1509"/>
      <c r="Q560" s="1422"/>
      <c r="R560" s="1423"/>
      <c r="S560" s="1424"/>
      <c r="T560" s="1422"/>
      <c r="U560" s="1423"/>
      <c r="V560" s="1424"/>
      <c r="W560" s="1496"/>
      <c r="X560" s="1497"/>
      <c r="Y560" s="1498"/>
      <c r="Z560" s="1501" t="s">
        <v>599</v>
      </c>
      <c r="AA560" s="1501"/>
      <c r="AB560" s="1501"/>
      <c r="AC560" s="1501"/>
      <c r="AD560" s="1501"/>
      <c r="AE560" s="1417"/>
      <c r="AF560" s="1418"/>
      <c r="AG560" s="1418"/>
      <c r="AH560" s="1419"/>
      <c r="AI560" s="1492"/>
      <c r="AJ560" s="1493"/>
      <c r="AK560" s="1493"/>
      <c r="AL560" s="1494"/>
      <c r="AM560" s="1426">
        <f>[1]budgets!$C$15</f>
        <v>100</v>
      </c>
      <c r="AN560" s="1427"/>
      <c r="AO560" s="1427"/>
      <c r="AP560" s="1427"/>
      <c r="AQ560" s="1427"/>
      <c r="AR560" s="1427"/>
      <c r="AS560" s="142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499"/>
      <c r="D561" s="1499"/>
      <c r="E561" s="1499"/>
      <c r="F561" s="1499"/>
      <c r="G561" s="1499"/>
      <c r="H561" s="1499"/>
      <c r="I561" s="1499"/>
      <c r="J561" s="1499"/>
      <c r="K561" s="1499"/>
      <c r="L561" s="1499"/>
      <c r="M561" s="1509" t="s">
        <v>1290</v>
      </c>
      <c r="N561" s="1509"/>
      <c r="O561" s="1509"/>
      <c r="P561" s="1509"/>
      <c r="Q561" s="1422"/>
      <c r="R561" s="1423"/>
      <c r="S561" s="1424"/>
      <c r="T561" s="1422"/>
      <c r="U561" s="1423"/>
      <c r="V561" s="1424"/>
      <c r="W561" s="1496"/>
      <c r="X561" s="1497"/>
      <c r="Y561" s="1498"/>
      <c r="Z561" s="1501" t="s">
        <v>1290</v>
      </c>
      <c r="AA561" s="1501"/>
      <c r="AB561" s="1501"/>
      <c r="AC561" s="1501"/>
      <c r="AD561" s="1501"/>
      <c r="AE561" s="1417"/>
      <c r="AF561" s="1418"/>
      <c r="AG561" s="1418"/>
      <c r="AH561" s="1419"/>
      <c r="AI561" s="1492"/>
      <c r="AJ561" s="1493"/>
      <c r="AK561" s="1493"/>
      <c r="AL561" s="1494"/>
      <c r="AM561" s="1426"/>
      <c r="AN561" s="1427"/>
      <c r="AO561" s="1427"/>
      <c r="AP561" s="1427"/>
      <c r="AQ561" s="1427"/>
      <c r="AR561" s="1427"/>
      <c r="AS561" s="142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499"/>
      <c r="D562" s="1499"/>
      <c r="E562" s="1499"/>
      <c r="F562" s="1499"/>
      <c r="G562" s="1499"/>
      <c r="H562" s="1499"/>
      <c r="I562" s="1499"/>
      <c r="J562" s="1499"/>
      <c r="K562" s="1499"/>
      <c r="L562" s="1499"/>
      <c r="M562" s="1509" t="s">
        <v>1290</v>
      </c>
      <c r="N562" s="1509"/>
      <c r="O562" s="1509"/>
      <c r="P562" s="1509"/>
      <c r="Q562" s="1422"/>
      <c r="R562" s="1423"/>
      <c r="S562" s="1424"/>
      <c r="T562" s="1422"/>
      <c r="U562" s="1423"/>
      <c r="V562" s="1424"/>
      <c r="W562" s="1496"/>
      <c r="X562" s="1497"/>
      <c r="Y562" s="1498"/>
      <c r="Z562" s="1501" t="s">
        <v>1290</v>
      </c>
      <c r="AA562" s="1501"/>
      <c r="AB562" s="1501"/>
      <c r="AC562" s="1501"/>
      <c r="AD562" s="1501"/>
      <c r="AE562" s="1417"/>
      <c r="AF562" s="1418"/>
      <c r="AG562" s="1418"/>
      <c r="AH562" s="1419"/>
      <c r="AI562" s="1492"/>
      <c r="AJ562" s="1493"/>
      <c r="AK562" s="1493"/>
      <c r="AL562" s="1494"/>
      <c r="AM562" s="1426"/>
      <c r="AN562" s="1427"/>
      <c r="AO562" s="1427"/>
      <c r="AP562" s="1427"/>
      <c r="AQ562" s="1427"/>
      <c r="AR562" s="1427"/>
      <c r="AS562" s="142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499"/>
      <c r="D563" s="1499"/>
      <c r="E563" s="1499"/>
      <c r="F563" s="1499"/>
      <c r="G563" s="1499"/>
      <c r="H563" s="1499"/>
      <c r="I563" s="1499"/>
      <c r="J563" s="1499"/>
      <c r="K563" s="1499"/>
      <c r="L563" s="1499"/>
      <c r="M563" s="1509" t="s">
        <v>1290</v>
      </c>
      <c r="N563" s="1509"/>
      <c r="O563" s="1509"/>
      <c r="P563" s="1509"/>
      <c r="Q563" s="1422"/>
      <c r="R563" s="1423"/>
      <c r="S563" s="1424"/>
      <c r="T563" s="1422"/>
      <c r="U563" s="1423"/>
      <c r="V563" s="1424"/>
      <c r="W563" s="1496"/>
      <c r="X563" s="1497"/>
      <c r="Y563" s="1498"/>
      <c r="Z563" s="1501" t="s">
        <v>1290</v>
      </c>
      <c r="AA563" s="1501"/>
      <c r="AB563" s="1501"/>
      <c r="AC563" s="1501"/>
      <c r="AD563" s="1501"/>
      <c r="AE563" s="1417"/>
      <c r="AF563" s="1418"/>
      <c r="AG563" s="1418"/>
      <c r="AH563" s="1419"/>
      <c r="AI563" s="1492"/>
      <c r="AJ563" s="1493"/>
      <c r="AK563" s="1493"/>
      <c r="AL563" s="1494"/>
      <c r="AM563" s="1426"/>
      <c r="AN563" s="1427"/>
      <c r="AO563" s="1427"/>
      <c r="AP563" s="1427"/>
      <c r="AQ563" s="1427"/>
      <c r="AR563" s="1427"/>
      <c r="AS563" s="142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499"/>
      <c r="D564" s="1499"/>
      <c r="E564" s="1499"/>
      <c r="F564" s="1499"/>
      <c r="G564" s="1499"/>
      <c r="H564" s="1499"/>
      <c r="I564" s="1499"/>
      <c r="J564" s="1499"/>
      <c r="K564" s="1499"/>
      <c r="L564" s="1499"/>
      <c r="M564" s="1509" t="s">
        <v>1290</v>
      </c>
      <c r="N564" s="1509"/>
      <c r="O564" s="1509"/>
      <c r="P564" s="1509"/>
      <c r="Q564" s="1422"/>
      <c r="R564" s="1423"/>
      <c r="S564" s="1424"/>
      <c r="T564" s="1422"/>
      <c r="U564" s="1423"/>
      <c r="V564" s="1424"/>
      <c r="W564" s="1496"/>
      <c r="X564" s="1497"/>
      <c r="Y564" s="1498"/>
      <c r="Z564" s="1501" t="s">
        <v>1290</v>
      </c>
      <c r="AA564" s="1501"/>
      <c r="AB564" s="1501"/>
      <c r="AC564" s="1501"/>
      <c r="AD564" s="1501"/>
      <c r="AE564" s="1417"/>
      <c r="AF564" s="1418"/>
      <c r="AG564" s="1418"/>
      <c r="AH564" s="1419"/>
      <c r="AI564" s="1492"/>
      <c r="AJ564" s="1493"/>
      <c r="AK564" s="1493"/>
      <c r="AL564" s="1494"/>
      <c r="AM564" s="1426"/>
      <c r="AN564" s="1427"/>
      <c r="AO564" s="1427"/>
      <c r="AP564" s="1427"/>
      <c r="AQ564" s="1427"/>
      <c r="AR564" s="1427"/>
      <c r="AS564" s="142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499"/>
      <c r="D565" s="1499"/>
      <c r="E565" s="1499"/>
      <c r="F565" s="1499"/>
      <c r="G565" s="1499"/>
      <c r="H565" s="1499"/>
      <c r="I565" s="1499"/>
      <c r="J565" s="1499"/>
      <c r="K565" s="1499"/>
      <c r="L565" s="1499"/>
      <c r="M565" s="1509" t="s">
        <v>1290</v>
      </c>
      <c r="N565" s="1509"/>
      <c r="O565" s="1509"/>
      <c r="P565" s="1509"/>
      <c r="Q565" s="1422"/>
      <c r="R565" s="1423"/>
      <c r="S565" s="1424"/>
      <c r="T565" s="1422"/>
      <c r="U565" s="1423"/>
      <c r="V565" s="1424"/>
      <c r="W565" s="1496"/>
      <c r="X565" s="1497"/>
      <c r="Y565" s="1498"/>
      <c r="Z565" s="1501" t="s">
        <v>1290</v>
      </c>
      <c r="AA565" s="1501"/>
      <c r="AB565" s="1501"/>
      <c r="AC565" s="1501"/>
      <c r="AD565" s="1501"/>
      <c r="AE565" s="1417"/>
      <c r="AF565" s="1418"/>
      <c r="AG565" s="1418"/>
      <c r="AH565" s="1419"/>
      <c r="AI565" s="1492"/>
      <c r="AJ565" s="1493"/>
      <c r="AK565" s="1493"/>
      <c r="AL565" s="1494"/>
      <c r="AM565" s="1426"/>
      <c r="AN565" s="1427"/>
      <c r="AO565" s="1427"/>
      <c r="AP565" s="1427"/>
      <c r="AQ565" s="1427"/>
      <c r="AR565" s="1427"/>
      <c r="AS565" s="142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02" t="s">
        <v>127</v>
      </c>
      <c r="C566" s="1603"/>
      <c r="D566" s="1603"/>
      <c r="E566" s="1603"/>
      <c r="F566" s="1603"/>
      <c r="G566" s="1603"/>
      <c r="H566" s="1603"/>
      <c r="I566" s="1603"/>
      <c r="J566" s="1603"/>
      <c r="K566" s="1603"/>
      <c r="L566" s="1603"/>
      <c r="M566" s="1603"/>
      <c r="N566" s="1603"/>
      <c r="O566" s="1603"/>
      <c r="P566" s="1603"/>
      <c r="Q566" s="1603"/>
      <c r="R566" s="1603"/>
      <c r="S566" s="1603"/>
      <c r="T566" s="1603"/>
      <c r="U566" s="1702"/>
      <c r="V566" s="1603"/>
      <c r="W566" s="1603"/>
      <c r="X566" s="1603"/>
      <c r="Y566" s="1603"/>
      <c r="Z566" s="1603"/>
      <c r="AA566" s="1603"/>
      <c r="AB566" s="1603"/>
      <c r="AC566" s="1603"/>
      <c r="AD566" s="1603"/>
      <c r="AE566" s="1603"/>
      <c r="AF566" s="1603"/>
      <c r="AG566" s="1603"/>
      <c r="AH566" s="1603"/>
      <c r="AI566" s="1603"/>
      <c r="AJ566" s="1603"/>
      <c r="AK566" s="1603"/>
      <c r="AL566" s="1604"/>
      <c r="AM566" s="1590">
        <f>SUM(AM554:AS565)</f>
        <v>35276831.821293056</v>
      </c>
      <c r="AN566" s="1591"/>
      <c r="AO566" s="1591"/>
      <c r="AP566" s="1591"/>
      <c r="AQ566" s="1591"/>
      <c r="AR566" s="1591"/>
      <c r="AS566" s="1592"/>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516" t="str">
        <f>C554</f>
        <v>US Bank - Tax Exempt construction loan</v>
      </c>
      <c r="H568" s="1516"/>
      <c r="I568" s="1516"/>
      <c r="J568" s="1516"/>
      <c r="K568" s="1516"/>
      <c r="L568" s="1516"/>
      <c r="M568" s="1516"/>
      <c r="N568" s="1516"/>
      <c r="O568" s="1516"/>
      <c r="P568" s="1516"/>
      <c r="Q568" s="1516"/>
      <c r="R568" s="1516"/>
      <c r="S568" s="8"/>
      <c r="T568" s="55" t="s">
        <v>113</v>
      </c>
      <c r="U568" t="s">
        <v>471</v>
      </c>
      <c r="Z568" s="1516" t="str">
        <f>C555</f>
        <v>US Bank - Taxable construction loan</v>
      </c>
      <c r="AA568" s="1516"/>
      <c r="AB568" s="1516"/>
      <c r="AC568" s="1516"/>
      <c r="AD568" s="1516"/>
      <c r="AE568" s="1516"/>
      <c r="AF568" s="1516"/>
      <c r="AG568" s="1516"/>
      <c r="AH568" s="1516"/>
      <c r="AI568" s="1516"/>
      <c r="AJ568" s="1516"/>
      <c r="AK568" s="151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60" t="s">
        <v>2769</v>
      </c>
      <c r="H569" s="1460"/>
      <c r="I569" s="1460"/>
      <c r="J569" s="1460"/>
      <c r="K569" s="1460"/>
      <c r="L569" s="1460"/>
      <c r="M569" s="1460"/>
      <c r="N569" s="1460"/>
      <c r="O569" s="1460"/>
      <c r="P569" s="1460"/>
      <c r="Q569" s="1460"/>
      <c r="R569" s="1460"/>
      <c r="S569" s="8"/>
      <c r="T569" s="22"/>
      <c r="U569" t="s">
        <v>85</v>
      </c>
      <c r="Z569" s="1460" t="s">
        <v>2769</v>
      </c>
      <c r="AA569" s="1460"/>
      <c r="AB569" s="1460"/>
      <c r="AC569" s="1460"/>
      <c r="AD569" s="1460"/>
      <c r="AE569" s="1460"/>
      <c r="AF569" s="1460"/>
      <c r="AG569" s="1460"/>
      <c r="AH569" s="1460"/>
      <c r="AI569" s="1460"/>
      <c r="AJ569" s="1460"/>
      <c r="AK569" s="146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60" t="s">
        <v>2770</v>
      </c>
      <c r="H570" s="1460"/>
      <c r="I570" s="1460"/>
      <c r="J570" s="1460"/>
      <c r="K570" s="1460"/>
      <c r="L570" s="1460"/>
      <c r="M570" s="1460"/>
      <c r="N570" s="1460"/>
      <c r="O570" s="1460"/>
      <c r="P570" s="1460"/>
      <c r="Q570" s="1460"/>
      <c r="R570" s="1460"/>
      <c r="T570" s="22"/>
      <c r="U570" t="s">
        <v>588</v>
      </c>
      <c r="Z570" s="1443" t="s">
        <v>2770</v>
      </c>
      <c r="AA570" s="1443"/>
      <c r="AB570" s="1443"/>
      <c r="AC570" s="1443"/>
      <c r="AD570" s="1443"/>
      <c r="AE570" s="1443"/>
      <c r="AF570" s="1443"/>
      <c r="AG570" s="1443"/>
      <c r="AH570" s="1443"/>
      <c r="AI570" s="1443"/>
      <c r="AJ570" s="1443"/>
      <c r="AK570" s="144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60" t="s">
        <v>2771</v>
      </c>
      <c r="H571" s="1460"/>
      <c r="I571" s="1460"/>
      <c r="J571" s="1460"/>
      <c r="K571" s="1460"/>
      <c r="L571" s="1460"/>
      <c r="M571" s="1460"/>
      <c r="N571" s="1460"/>
      <c r="O571" s="1460"/>
      <c r="P571" s="1460"/>
      <c r="Q571" s="1460"/>
      <c r="R571" s="1460"/>
      <c r="S571" s="8"/>
      <c r="T571" s="22"/>
      <c r="U571" t="s">
        <v>17</v>
      </c>
      <c r="Z571" s="1443" t="s">
        <v>2771</v>
      </c>
      <c r="AA571" s="1443"/>
      <c r="AB571" s="1443"/>
      <c r="AC571" s="1443"/>
      <c r="AD571" s="1443"/>
      <c r="AE571" s="1443"/>
      <c r="AF571" s="1443"/>
      <c r="AG571" s="1443"/>
      <c r="AH571" s="1443"/>
      <c r="AI571" s="1443"/>
      <c r="AJ571" s="1443"/>
      <c r="AK571" s="144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75" t="s">
        <v>2772</v>
      </c>
      <c r="H572" s="1475"/>
      <c r="I572" s="1475"/>
      <c r="J572" s="1475"/>
      <c r="K572" s="1475"/>
      <c r="L572" s="1475"/>
      <c r="O572" s="33" t="s">
        <v>207</v>
      </c>
      <c r="P572" s="1438"/>
      <c r="Q572" s="1438"/>
      <c r="R572" s="1438"/>
      <c r="S572" s="10"/>
      <c r="T572" s="22"/>
      <c r="U572" t="s">
        <v>317</v>
      </c>
      <c r="Z572" s="1475" t="s">
        <v>2772</v>
      </c>
      <c r="AA572" s="1475"/>
      <c r="AB572" s="1475"/>
      <c r="AC572" s="1475"/>
      <c r="AD572" s="1475"/>
      <c r="AE572" s="1475"/>
      <c r="AH572" s="33" t="s">
        <v>207</v>
      </c>
      <c r="AI572" s="1438"/>
      <c r="AJ572" s="1438"/>
      <c r="AK572" s="1438"/>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60" t="s">
        <v>2773</v>
      </c>
      <c r="I573" s="1460"/>
      <c r="J573" s="1460"/>
      <c r="K573" s="1460"/>
      <c r="L573" s="1460"/>
      <c r="M573" s="1460"/>
      <c r="N573" s="1460"/>
      <c r="O573" s="1460"/>
      <c r="P573" s="1460"/>
      <c r="Q573" s="1460"/>
      <c r="R573" s="1460"/>
      <c r="S573" s="8"/>
      <c r="T573" s="22"/>
      <c r="U573" t="s">
        <v>18</v>
      </c>
      <c r="AA573" s="1460" t="s">
        <v>2773</v>
      </c>
      <c r="AB573" s="1460"/>
      <c r="AC573" s="1460"/>
      <c r="AD573" s="1460"/>
      <c r="AE573" s="1460"/>
      <c r="AF573" s="1460"/>
      <c r="AG573" s="1460"/>
      <c r="AH573" s="1460"/>
      <c r="AI573" s="1460"/>
      <c r="AJ573" s="1460"/>
      <c r="AK573" s="146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578" t="s">
        <v>2761</v>
      </c>
      <c r="N574" s="1578"/>
      <c r="O574" s="1578"/>
      <c r="P574" s="1578"/>
      <c r="Q574" s="1578"/>
      <c r="R574" s="1578"/>
      <c r="S574" s="8"/>
      <c r="T574" s="22"/>
      <c r="U574" s="348" t="s">
        <v>1291</v>
      </c>
      <c r="AA574" s="8"/>
      <c r="AB574" s="8"/>
      <c r="AC574" s="8"/>
      <c r="AD574" s="8"/>
      <c r="AE574" s="8"/>
      <c r="AF574" s="1265"/>
      <c r="AG574" s="1265" t="s">
        <v>2761</v>
      </c>
      <c r="AH574" s="1265"/>
      <c r="AI574" s="1265"/>
      <c r="AJ574" s="1265"/>
      <c r="AK574" s="126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37" t="s">
        <v>553</v>
      </c>
      <c r="O575" s="1437"/>
      <c r="T575" s="22"/>
      <c r="U575" t="s">
        <v>20</v>
      </c>
      <c r="AG575" s="1437" t="s">
        <v>553</v>
      </c>
      <c r="AH575" s="1437"/>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516" t="str">
        <f>C556</f>
        <v>Alameda Affordable Housing Trust Fund</v>
      </c>
      <c r="H577" s="1516"/>
      <c r="I577" s="1516"/>
      <c r="J577" s="1516"/>
      <c r="K577" s="1516"/>
      <c r="L577" s="1516"/>
      <c r="M577" s="1516"/>
      <c r="N577" s="1516"/>
      <c r="O577" s="1516"/>
      <c r="P577" s="1516"/>
      <c r="Q577" s="1516"/>
      <c r="R577" s="1516"/>
      <c r="T577" s="55" t="s">
        <v>589</v>
      </c>
      <c r="U577" t="s">
        <v>471</v>
      </c>
      <c r="Z577" s="1516" t="str">
        <f>C557</f>
        <v>City of Alameda PLHA</v>
      </c>
      <c r="AA577" s="1516"/>
      <c r="AB577" s="1516"/>
      <c r="AC577" s="1516"/>
      <c r="AD577" s="1516"/>
      <c r="AE577" s="1516"/>
      <c r="AF577" s="1516"/>
      <c r="AG577" s="1516"/>
      <c r="AH577" s="1516"/>
      <c r="AI577" s="1516"/>
      <c r="AJ577" s="1516"/>
      <c r="AK577" s="151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60" t="s">
        <v>2652</v>
      </c>
      <c r="H578" s="1460"/>
      <c r="I578" s="1460"/>
      <c r="J578" s="1460"/>
      <c r="K578" s="1460"/>
      <c r="L578" s="1460"/>
      <c r="M578" s="1460"/>
      <c r="N578" s="1460"/>
      <c r="O578" s="1460"/>
      <c r="P578" s="1460"/>
      <c r="Q578" s="1460"/>
      <c r="R578" s="1460"/>
      <c r="T578" s="22"/>
      <c r="U578" t="s">
        <v>85</v>
      </c>
      <c r="Z578" s="1460" t="s">
        <v>2782</v>
      </c>
      <c r="AA578" s="1460"/>
      <c r="AB578" s="1460"/>
      <c r="AC578" s="1460"/>
      <c r="AD578" s="1460"/>
      <c r="AE578" s="1460"/>
      <c r="AF578" s="1460"/>
      <c r="AG578" s="1460"/>
      <c r="AH578" s="1460"/>
      <c r="AI578" s="1460"/>
      <c r="AJ578" s="1460"/>
      <c r="AK578" s="146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43" t="s">
        <v>2774</v>
      </c>
      <c r="H579" s="1443"/>
      <c r="I579" s="1443"/>
      <c r="J579" s="1443"/>
      <c r="K579" s="1443"/>
      <c r="L579" s="1443"/>
      <c r="M579" s="1443"/>
      <c r="N579" s="1443"/>
      <c r="O579" s="1443"/>
      <c r="P579" s="1443"/>
      <c r="Q579" s="1443"/>
      <c r="R579" s="1443"/>
      <c r="T579" s="22"/>
      <c r="U579" t="s">
        <v>588</v>
      </c>
      <c r="Z579" s="1443" t="s">
        <v>484</v>
      </c>
      <c r="AA579" s="1443"/>
      <c r="AB579" s="1443"/>
      <c r="AC579" s="1443"/>
      <c r="AD579" s="1443"/>
      <c r="AE579" s="1443"/>
      <c r="AF579" s="1443"/>
      <c r="AG579" s="1443"/>
      <c r="AH579" s="1443"/>
      <c r="AI579" s="1443"/>
      <c r="AJ579" s="1443"/>
      <c r="AK579" s="144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43" t="s">
        <v>2654</v>
      </c>
      <c r="H580" s="1443"/>
      <c r="I580" s="1443"/>
      <c r="J580" s="1443"/>
      <c r="K580" s="1443"/>
      <c r="L580" s="1443"/>
      <c r="M580" s="1443"/>
      <c r="N580" s="1443"/>
      <c r="O580" s="1443"/>
      <c r="P580" s="1443"/>
      <c r="Q580" s="1443"/>
      <c r="R580" s="1443"/>
      <c r="T580" s="22"/>
      <c r="U580" t="s">
        <v>17</v>
      </c>
      <c r="Z580" s="1443" t="s">
        <v>2783</v>
      </c>
      <c r="AA580" s="1443"/>
      <c r="AB580" s="1443"/>
      <c r="AC580" s="1443"/>
      <c r="AD580" s="1443"/>
      <c r="AE580" s="1443"/>
      <c r="AF580" s="1443"/>
      <c r="AG580" s="1443"/>
      <c r="AH580" s="1443"/>
      <c r="AI580" s="1443"/>
      <c r="AJ580" s="1443"/>
      <c r="AK580" s="144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75" t="s">
        <v>2655</v>
      </c>
      <c r="H581" s="1475"/>
      <c r="I581" s="1475"/>
      <c r="J581" s="1475"/>
      <c r="K581" s="1475"/>
      <c r="L581" s="1475"/>
      <c r="O581" s="33" t="s">
        <v>207</v>
      </c>
      <c r="P581" s="1438"/>
      <c r="Q581" s="1438"/>
      <c r="R581" s="1438"/>
      <c r="T581" s="22"/>
      <c r="U581" t="s">
        <v>317</v>
      </c>
      <c r="Z581" s="1550" t="s">
        <v>2784</v>
      </c>
      <c r="AA581" s="1475"/>
      <c r="AB581" s="1475"/>
      <c r="AC581" s="1475"/>
      <c r="AD581" s="1475"/>
      <c r="AE581" s="1475"/>
      <c r="AH581" s="33" t="s">
        <v>207</v>
      </c>
      <c r="AI581" s="1438"/>
      <c r="AJ581" s="1438"/>
      <c r="AK581" s="1438"/>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60" t="s">
        <v>2785</v>
      </c>
      <c r="I582" s="1460"/>
      <c r="J582" s="1460"/>
      <c r="K582" s="1460"/>
      <c r="L582" s="1460"/>
      <c r="M582" s="1460"/>
      <c r="N582" s="1460"/>
      <c r="O582" s="1460"/>
      <c r="P582" s="1460"/>
      <c r="Q582" s="1460"/>
      <c r="R582" s="1460"/>
      <c r="T582" s="22"/>
      <c r="U582" t="s">
        <v>18</v>
      </c>
      <c r="AA582" s="1460" t="s">
        <v>2785</v>
      </c>
      <c r="AB582" s="1460"/>
      <c r="AC582" s="1460"/>
      <c r="AD582" s="1460"/>
      <c r="AE582" s="1460"/>
      <c r="AF582" s="1460"/>
      <c r="AG582" s="1460"/>
      <c r="AH582" s="1460"/>
      <c r="AI582" s="1460"/>
      <c r="AJ582" s="1460"/>
      <c r="AK582" s="146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37" t="s">
        <v>553</v>
      </c>
      <c r="O583" s="1437"/>
      <c r="T583" s="22"/>
      <c r="U583" t="s">
        <v>20</v>
      </c>
      <c r="AG583" s="1437" t="s">
        <v>553</v>
      </c>
      <c r="AH583" s="1437"/>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516" t="str">
        <f>C558</f>
        <v>FHLB AHP</v>
      </c>
      <c r="H585" s="1516"/>
      <c r="I585" s="1516"/>
      <c r="J585" s="1516"/>
      <c r="K585" s="1516"/>
      <c r="L585" s="1516"/>
      <c r="M585" s="1516"/>
      <c r="N585" s="1516"/>
      <c r="O585" s="1516"/>
      <c r="P585" s="1516"/>
      <c r="Q585" s="1516"/>
      <c r="R585" s="1516"/>
      <c r="T585" s="55" t="s">
        <v>592</v>
      </c>
      <c r="U585" t="s">
        <v>471</v>
      </c>
      <c r="Z585" s="1516" t="str">
        <f>C559</f>
        <v>LP Equity during construction</v>
      </c>
      <c r="AA585" s="1516"/>
      <c r="AB585" s="1516"/>
      <c r="AC585" s="1516"/>
      <c r="AD585" s="1516"/>
      <c r="AE585" s="1516"/>
      <c r="AF585" s="1516"/>
      <c r="AG585" s="1516"/>
      <c r="AH585" s="1516"/>
      <c r="AI585" s="1516"/>
      <c r="AJ585" s="1516"/>
      <c r="AK585" s="151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60" t="s">
        <v>2777</v>
      </c>
      <c r="H586" s="1460"/>
      <c r="I586" s="1460"/>
      <c r="J586" s="1460"/>
      <c r="K586" s="1460"/>
      <c r="L586" s="1460"/>
      <c r="M586" s="1460"/>
      <c r="N586" s="1460"/>
      <c r="O586" s="1460"/>
      <c r="P586" s="1460"/>
      <c r="Q586" s="1460"/>
      <c r="R586" s="1460"/>
      <c r="T586" s="22"/>
      <c r="U586" t="s">
        <v>85</v>
      </c>
      <c r="Z586" s="1460" t="s">
        <v>2697</v>
      </c>
      <c r="AA586" s="1460"/>
      <c r="AB586" s="1460"/>
      <c r="AC586" s="1460"/>
      <c r="AD586" s="1460"/>
      <c r="AE586" s="1460"/>
      <c r="AF586" s="1460"/>
      <c r="AG586" s="1460"/>
      <c r="AH586" s="1460"/>
      <c r="AI586" s="1460"/>
      <c r="AJ586" s="1460"/>
      <c r="AK586" s="146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60" t="s">
        <v>2778</v>
      </c>
      <c r="H587" s="1460"/>
      <c r="I587" s="1460"/>
      <c r="J587" s="1460"/>
      <c r="K587" s="1460"/>
      <c r="L587" s="1460"/>
      <c r="M587" s="1460"/>
      <c r="N587" s="1460"/>
      <c r="O587" s="1460"/>
      <c r="P587" s="1460"/>
      <c r="Q587" s="1460"/>
      <c r="R587" s="1460"/>
      <c r="T587" s="22"/>
      <c r="U587" t="s">
        <v>588</v>
      </c>
      <c r="Z587" s="1443"/>
      <c r="AA587" s="1443"/>
      <c r="AB587" s="1443"/>
      <c r="AC587" s="1443"/>
      <c r="AD587" s="1443"/>
      <c r="AE587" s="1443"/>
      <c r="AF587" s="1443"/>
      <c r="AG587" s="1443"/>
      <c r="AH587" s="1443"/>
      <c r="AI587" s="1443"/>
      <c r="AJ587" s="1443"/>
      <c r="AK587" s="144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60" t="s">
        <v>2779</v>
      </c>
      <c r="H588" s="1460"/>
      <c r="I588" s="1460"/>
      <c r="J588" s="1460"/>
      <c r="K588" s="1460"/>
      <c r="L588" s="1460"/>
      <c r="M588" s="1460"/>
      <c r="N588" s="1460"/>
      <c r="O588" s="1460"/>
      <c r="P588" s="1460"/>
      <c r="Q588" s="1460"/>
      <c r="R588" s="1460"/>
      <c r="T588" s="22"/>
      <c r="U588" t="s">
        <v>17</v>
      </c>
      <c r="Z588" s="1443"/>
      <c r="AA588" s="1443"/>
      <c r="AB588" s="1443"/>
      <c r="AC588" s="1443"/>
      <c r="AD588" s="1443"/>
      <c r="AE588" s="1443"/>
      <c r="AF588" s="1443"/>
      <c r="AG588" s="1443"/>
      <c r="AH588" s="1443"/>
      <c r="AI588" s="1443"/>
      <c r="AJ588" s="1443"/>
      <c r="AK588" s="1443"/>
    </row>
    <row r="589" spans="1:110" ht="13" customHeight="1">
      <c r="A589" s="22"/>
      <c r="B589" t="s">
        <v>317</v>
      </c>
      <c r="G589" s="1475" t="s">
        <v>2780</v>
      </c>
      <c r="H589" s="1475"/>
      <c r="I589" s="1475"/>
      <c r="J589" s="1475"/>
      <c r="K589" s="1475"/>
      <c r="L589" s="1475"/>
      <c r="O589" s="33" t="s">
        <v>207</v>
      </c>
      <c r="P589" s="1438"/>
      <c r="Q589" s="1438"/>
      <c r="R589" s="1438"/>
      <c r="T589" s="22"/>
      <c r="U589" t="s">
        <v>317</v>
      </c>
      <c r="Z589" s="1475"/>
      <c r="AA589" s="1475"/>
      <c r="AB589" s="1475"/>
      <c r="AC589" s="1475"/>
      <c r="AD589" s="1475"/>
      <c r="AE589" s="1475"/>
      <c r="AH589" s="33" t="s">
        <v>207</v>
      </c>
      <c r="AI589" s="1438"/>
      <c r="AJ589" s="1438"/>
      <c r="AK589" s="1438"/>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60" t="s">
        <v>2781</v>
      </c>
      <c r="I590" s="1460"/>
      <c r="J590" s="1460"/>
      <c r="K590" s="1460"/>
      <c r="L590" s="1460"/>
      <c r="M590" s="1460"/>
      <c r="N590" s="1460"/>
      <c r="O590" s="1460"/>
      <c r="P590" s="1460"/>
      <c r="Q590" s="1460"/>
      <c r="R590" s="1460"/>
      <c r="T590" s="22"/>
      <c r="U590" t="s">
        <v>18</v>
      </c>
      <c r="AA590" s="1460" t="s">
        <v>2775</v>
      </c>
      <c r="AB590" s="1460"/>
      <c r="AC590" s="1460"/>
      <c r="AD590" s="1460"/>
      <c r="AE590" s="1460"/>
      <c r="AF590" s="1460"/>
      <c r="AG590" s="1460"/>
      <c r="AH590" s="1460"/>
      <c r="AI590" s="1460"/>
      <c r="AJ590" s="1460"/>
      <c r="AK590" s="146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37" t="s">
        <v>553</v>
      </c>
      <c r="O591" s="1437"/>
      <c r="T591" s="22"/>
      <c r="U591" t="s">
        <v>20</v>
      </c>
      <c r="AG591" s="1437" t="s">
        <v>677</v>
      </c>
      <c r="AH591" s="1437"/>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516" t="str">
        <f>C560</f>
        <v>GP Equity</v>
      </c>
      <c r="H593" s="1516"/>
      <c r="I593" s="1516"/>
      <c r="J593" s="1516"/>
      <c r="K593" s="1516"/>
      <c r="L593" s="1516"/>
      <c r="M593" s="1516"/>
      <c r="N593" s="1516"/>
      <c r="O593" s="1516"/>
      <c r="P593" s="1516"/>
      <c r="Q593" s="1516"/>
      <c r="R593" s="1516"/>
      <c r="T593" s="55" t="s">
        <v>464</v>
      </c>
      <c r="U593" t="s">
        <v>471</v>
      </c>
      <c r="Z593" s="1516">
        <f>C561</f>
        <v>0</v>
      </c>
      <c r="AA593" s="1516"/>
      <c r="AB593" s="1516"/>
      <c r="AC593" s="1516"/>
      <c r="AD593" s="1516"/>
      <c r="AE593" s="1516"/>
      <c r="AF593" s="1516"/>
      <c r="AG593" s="1516"/>
      <c r="AH593" s="1516"/>
      <c r="AI593" s="1516"/>
      <c r="AJ593" s="1516"/>
      <c r="AK593" s="151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60" t="s">
        <v>2652</v>
      </c>
      <c r="H594" s="1460"/>
      <c r="I594" s="1460"/>
      <c r="J594" s="1460"/>
      <c r="K594" s="1460"/>
      <c r="L594" s="1460"/>
      <c r="M594" s="1460"/>
      <c r="N594" s="1460"/>
      <c r="O594" s="1460"/>
      <c r="P594" s="1460"/>
      <c r="Q594" s="1460"/>
      <c r="R594" s="1460"/>
      <c r="S594"/>
      <c r="T594" s="22"/>
      <c r="U594" t="s">
        <v>85</v>
      </c>
      <c r="V594"/>
      <c r="W594"/>
      <c r="X594"/>
      <c r="Y594"/>
      <c r="Z594" s="1460"/>
      <c r="AA594" s="1460"/>
      <c r="AB594" s="1460"/>
      <c r="AC594" s="1460"/>
      <c r="AD594" s="1460"/>
      <c r="AE594" s="1460"/>
      <c r="AF594" s="1460"/>
      <c r="AG594" s="1460"/>
      <c r="AH594" s="1460"/>
      <c r="AI594" s="1460"/>
      <c r="AJ594" s="1460"/>
      <c r="AK594" s="146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60" t="s">
        <v>2774</v>
      </c>
      <c r="H595" s="1460"/>
      <c r="I595" s="1460"/>
      <c r="J595" s="1460"/>
      <c r="K595" s="1460"/>
      <c r="L595" s="1460"/>
      <c r="M595" s="1460"/>
      <c r="N595" s="1460"/>
      <c r="O595" s="1460"/>
      <c r="P595" s="1460"/>
      <c r="Q595" s="1460"/>
      <c r="R595" s="1460"/>
      <c r="S595"/>
      <c r="T595" s="22"/>
      <c r="U595" t="s">
        <v>588</v>
      </c>
      <c r="V595"/>
      <c r="W595"/>
      <c r="X595"/>
      <c r="Y595"/>
      <c r="Z595" s="1443"/>
      <c r="AA595" s="1443"/>
      <c r="AB595" s="1443"/>
      <c r="AC595" s="1443"/>
      <c r="AD595" s="1443"/>
      <c r="AE595" s="1443"/>
      <c r="AF595" s="1443"/>
      <c r="AG595" s="1443"/>
      <c r="AH595" s="1443"/>
      <c r="AI595" s="1443"/>
      <c r="AJ595" s="1443"/>
      <c r="AK595" s="144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60" t="s">
        <v>2654</v>
      </c>
      <c r="H596" s="1460"/>
      <c r="I596" s="1460"/>
      <c r="J596" s="1460"/>
      <c r="K596" s="1460"/>
      <c r="L596" s="1460"/>
      <c r="M596" s="1460"/>
      <c r="N596" s="1460"/>
      <c r="O596" s="1460"/>
      <c r="P596" s="1460"/>
      <c r="Q596" s="1460"/>
      <c r="R596" s="1460"/>
      <c r="S596"/>
      <c r="T596" s="22"/>
      <c r="U596" t="s">
        <v>17</v>
      </c>
      <c r="V596"/>
      <c r="W596"/>
      <c r="X596"/>
      <c r="Y596"/>
      <c r="Z596" s="1443"/>
      <c r="AA596" s="1443"/>
      <c r="AB596" s="1443"/>
      <c r="AC596" s="1443"/>
      <c r="AD596" s="1443"/>
      <c r="AE596" s="1443"/>
      <c r="AF596" s="1443"/>
      <c r="AG596" s="1443"/>
      <c r="AH596" s="1443"/>
      <c r="AI596" s="1443"/>
      <c r="AJ596" s="1443"/>
      <c r="AK596" s="1443"/>
      <c r="AL596"/>
      <c r="AM596"/>
      <c r="AN596"/>
      <c r="AO596"/>
      <c r="AP596"/>
      <c r="AQ596"/>
      <c r="AR596"/>
      <c r="AS596"/>
      <c r="AT596"/>
      <c r="AU596"/>
      <c r="AV596"/>
      <c r="AW596"/>
      <c r="AX596"/>
      <c r="AY596"/>
      <c r="BA596" s="4" t="s">
        <v>325</v>
      </c>
      <c r="BB596" s="3"/>
      <c r="BC596" s="3"/>
      <c r="BD596" s="3"/>
      <c r="BE596" s="121" t="s">
        <v>482</v>
      </c>
      <c r="BF596" s="122"/>
      <c r="BG596" s="1398"/>
      <c r="BH596" s="1399"/>
      <c r="BI596" s="121" t="s">
        <v>483</v>
      </c>
      <c r="BJ596" s="122"/>
      <c r="BK596" s="1398"/>
      <c r="BL596" s="1399"/>
      <c r="BM596" s="3"/>
      <c r="BN596" s="1525" t="s">
        <v>641</v>
      </c>
      <c r="BO596" s="1526"/>
      <c r="BP596" s="1526"/>
      <c r="BQ596" s="1526"/>
      <c r="BR596" s="1527"/>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3" customHeight="1">
      <c r="A597" s="22"/>
      <c r="B597" t="s">
        <v>317</v>
      </c>
      <c r="C597"/>
      <c r="D597"/>
      <c r="E597"/>
      <c r="F597"/>
      <c r="G597" s="1475" t="s">
        <v>2655</v>
      </c>
      <c r="H597" s="1475"/>
      <c r="I597" s="1475"/>
      <c r="J597" s="1475"/>
      <c r="K597" s="1475"/>
      <c r="L597" s="1475"/>
      <c r="M597"/>
      <c r="N597"/>
      <c r="O597" s="33" t="s">
        <v>207</v>
      </c>
      <c r="P597" s="1438"/>
      <c r="Q597" s="1438"/>
      <c r="R597" s="1438"/>
      <c r="S597"/>
      <c r="T597" s="22"/>
      <c r="U597" t="s">
        <v>317</v>
      </c>
      <c r="V597"/>
      <c r="W597"/>
      <c r="X597"/>
      <c r="Y597"/>
      <c r="Z597" s="1475"/>
      <c r="AA597" s="1475"/>
      <c r="AB597" s="1475"/>
      <c r="AC597" s="1475"/>
      <c r="AD597" s="1475"/>
      <c r="AE597" s="1475"/>
      <c r="AF597"/>
      <c r="AG597"/>
      <c r="AH597" s="33" t="s">
        <v>207</v>
      </c>
      <c r="AI597" s="1438"/>
      <c r="AJ597" s="1438"/>
      <c r="AK597" s="1438"/>
      <c r="AL597"/>
      <c r="AM597"/>
      <c r="AN597"/>
      <c r="AO597"/>
      <c r="AP597"/>
      <c r="AQ597"/>
      <c r="AR597"/>
      <c r="AS597"/>
      <c r="AT597"/>
      <c r="AU597"/>
      <c r="AV597"/>
      <c r="AW597"/>
      <c r="AX597"/>
      <c r="AY597"/>
      <c r="BA597" s="4" t="s">
        <v>326</v>
      </c>
      <c r="BB597" s="3"/>
      <c r="BC597" s="3"/>
      <c r="BD597" s="3"/>
      <c r="BE597" s="1389">
        <f t="shared" ref="BE597:BE631" si="1">IF(AND(AC718&lt;=0.5,AC718&gt;=0.36),1,0)</f>
        <v>0</v>
      </c>
      <c r="BF597" s="1391"/>
      <c r="BG597" s="1398">
        <f t="shared" ref="BG597:BG631" si="2">IF(BE597=1,G718,0)</f>
        <v>0</v>
      </c>
      <c r="BH597" s="1399"/>
      <c r="BI597" s="1389">
        <f t="shared" ref="BI597:BI631" si="3">IF(AND(AC718&lt;=0.35,AC718&gt;0),1,0)</f>
        <v>1</v>
      </c>
      <c r="BJ597" s="1391"/>
      <c r="BK597" s="1398">
        <f t="shared" ref="BK597:BK631" si="4">IF(BI597=1,G718,0)</f>
        <v>20</v>
      </c>
      <c r="BL597" s="1399"/>
      <c r="BM597" s="3"/>
      <c r="BN597" s="1395">
        <f t="shared" ref="BN597:BN631" si="5">IF(B718="SRO/Studio",G718,0)</f>
        <v>20</v>
      </c>
      <c r="BO597" s="1396"/>
      <c r="BP597" s="1396"/>
      <c r="BQ597" s="1396"/>
      <c r="BR597" s="1397"/>
      <c r="BS597" s="1394">
        <f t="shared" ref="BS597:BS631" si="6">IF(B718="1 Bedroom",G718,0)</f>
        <v>0</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3">
        <f t="shared" ref="CS597:CS631" si="11">IF(AND(B718="SRO/Studio",AC718&lt;=0.3),G718,0)</f>
        <v>20</v>
      </c>
      <c r="CT597" s="1393"/>
      <c r="CU597" s="1393"/>
      <c r="CV597" s="1393"/>
      <c r="CW597" s="1393"/>
      <c r="CX597" s="1393">
        <f t="shared" ref="CX597:CX631" si="12">IF(AND(B718="1 Bedroom",AC718&lt;=0.3),G718,0)</f>
        <v>0</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89">
        <f t="shared" ref="DX597:DX631" si="17">IF(BN597&gt;0,O718,"")</f>
        <v>757</v>
      </c>
      <c r="DY597" s="1390"/>
      <c r="DZ597" s="1390"/>
      <c r="EA597" s="1390"/>
      <c r="EB597" s="1391"/>
      <c r="EC597" s="1389" t="str">
        <f t="shared" ref="EC597:EC631" si="18">IF(BS597&gt;0,O718,"")</f>
        <v/>
      </c>
      <c r="ED597" s="1390"/>
      <c r="EE597" s="1390"/>
      <c r="EF597" s="1390"/>
      <c r="EG597" s="1391"/>
      <c r="EH597" s="1389" t="str">
        <f t="shared" ref="EH597:EH631" si="19">IF(BX597&gt;0,O718,"")</f>
        <v/>
      </c>
      <c r="EI597" s="1390"/>
      <c r="EJ597" s="1390"/>
      <c r="EK597" s="1390"/>
      <c r="EL597" s="1391"/>
      <c r="EM597" s="1389" t="str">
        <f t="shared" ref="EM597:EM631" si="20">IF(CC597&gt;0,O718,"")</f>
        <v/>
      </c>
      <c r="EN597" s="1390"/>
      <c r="EO597" s="1390"/>
      <c r="EP597" s="1390"/>
      <c r="EQ597" s="1391"/>
      <c r="ER597" s="1389" t="str">
        <f t="shared" ref="ER597:ER631" si="21">IF(CH597&gt;0,O718,"")</f>
        <v/>
      </c>
      <c r="ES597" s="1390"/>
      <c r="ET597" s="1390"/>
      <c r="EU597" s="1390"/>
      <c r="EV597" s="1391"/>
      <c r="EW597" s="1389" t="str">
        <f t="shared" ref="EW597:EW631" si="22">IF(CM597&gt;0,O718,"")</f>
        <v/>
      </c>
      <c r="EX597" s="1390"/>
      <c r="EY597" s="1390"/>
      <c r="EZ597" s="1390"/>
      <c r="FA597" s="1391"/>
    </row>
    <row r="598" spans="1:157" s="4" customFormat="1" ht="13" customHeight="1">
      <c r="A598" s="22"/>
      <c r="B598" t="s">
        <v>18</v>
      </c>
      <c r="C598"/>
      <c r="D598"/>
      <c r="E598"/>
      <c r="F598"/>
      <c r="G598"/>
      <c r="H598" s="1460" t="s">
        <v>2776</v>
      </c>
      <c r="I598" s="1460"/>
      <c r="J598" s="1460"/>
      <c r="K598" s="1460"/>
      <c r="L598" s="1460"/>
      <c r="M598" s="1460"/>
      <c r="N598" s="1460"/>
      <c r="O598" s="1460"/>
      <c r="P598" s="1460"/>
      <c r="Q598" s="1460"/>
      <c r="R598" s="1460"/>
      <c r="S598"/>
      <c r="T598" s="22"/>
      <c r="U598" t="s">
        <v>18</v>
      </c>
      <c r="V598"/>
      <c r="W598"/>
      <c r="X598"/>
      <c r="Y598"/>
      <c r="Z598"/>
      <c r="AA598" s="1460"/>
      <c r="AB598" s="1460"/>
      <c r="AC598" s="1460"/>
      <c r="AD598" s="1460"/>
      <c r="AE598" s="1460"/>
      <c r="AF598" s="1460"/>
      <c r="AG598" s="1460"/>
      <c r="AH598" s="1460"/>
      <c r="AI598" s="1460"/>
      <c r="AJ598" s="1460"/>
      <c r="AK598" s="1460"/>
      <c r="AL598"/>
      <c r="AM598"/>
      <c r="AN598"/>
      <c r="AO598"/>
      <c r="AP598"/>
      <c r="AQ598"/>
      <c r="AR598"/>
      <c r="AS598"/>
      <c r="AT598"/>
      <c r="AU598"/>
      <c r="AV598"/>
      <c r="AW598"/>
      <c r="AX598"/>
      <c r="AY598"/>
      <c r="BA598" s="4" t="s">
        <v>163</v>
      </c>
      <c r="BB598" s="3"/>
      <c r="BC598" s="3"/>
      <c r="BD598" s="3"/>
      <c r="BE598" s="1389">
        <f t="shared" si="1"/>
        <v>0</v>
      </c>
      <c r="BF598" s="1391"/>
      <c r="BG598" s="1398">
        <f t="shared" si="2"/>
        <v>0</v>
      </c>
      <c r="BH598" s="1399"/>
      <c r="BI598" s="1389">
        <f t="shared" si="3"/>
        <v>1</v>
      </c>
      <c r="BJ598" s="1391"/>
      <c r="BK598" s="1398">
        <f t="shared" si="4"/>
        <v>5</v>
      </c>
      <c r="BL598" s="1399"/>
      <c r="BM598" s="3"/>
      <c r="BN598" s="1395">
        <f t="shared" si="5"/>
        <v>5</v>
      </c>
      <c r="BO598" s="1396"/>
      <c r="BP598" s="1396"/>
      <c r="BQ598" s="1396"/>
      <c r="BR598" s="1397"/>
      <c r="BS598" s="1394">
        <f t="shared" si="6"/>
        <v>0</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3">
        <f t="shared" si="11"/>
        <v>5</v>
      </c>
      <c r="CT598" s="1393"/>
      <c r="CU598" s="1393"/>
      <c r="CV598" s="1393"/>
      <c r="CW598" s="1393"/>
      <c r="CX598" s="1393">
        <f t="shared" si="12"/>
        <v>0</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89">
        <f t="shared" si="17"/>
        <v>300</v>
      </c>
      <c r="DY598" s="1390"/>
      <c r="DZ598" s="1390"/>
      <c r="EA598" s="1390"/>
      <c r="EB598" s="1391"/>
      <c r="EC598" s="1389" t="str">
        <f t="shared" si="18"/>
        <v/>
      </c>
      <c r="ED598" s="1390"/>
      <c r="EE598" s="1390"/>
      <c r="EF598" s="1390"/>
      <c r="EG598" s="1391"/>
      <c r="EH598" s="1389" t="str">
        <f t="shared" si="19"/>
        <v/>
      </c>
      <c r="EI598" s="1390"/>
      <c r="EJ598" s="1390"/>
      <c r="EK598" s="1390"/>
      <c r="EL598" s="1391"/>
      <c r="EM598" s="1389" t="str">
        <f t="shared" si="20"/>
        <v/>
      </c>
      <c r="EN598" s="1390"/>
      <c r="EO598" s="1390"/>
      <c r="EP598" s="1390"/>
      <c r="EQ598" s="1391"/>
      <c r="ER598" s="1389" t="str">
        <f t="shared" si="21"/>
        <v/>
      </c>
      <c r="ES598" s="1390"/>
      <c r="ET598" s="1390"/>
      <c r="EU598" s="1390"/>
      <c r="EV598" s="1391"/>
      <c r="EW598" s="1389" t="str">
        <f t="shared" si="22"/>
        <v/>
      </c>
      <c r="EX598" s="1390"/>
      <c r="EY598" s="1390"/>
      <c r="EZ598" s="1390"/>
      <c r="FA598" s="1391"/>
    </row>
    <row r="599" spans="1:157" ht="13" customHeight="1">
      <c r="A599" s="22"/>
      <c r="B599" t="s">
        <v>20</v>
      </c>
      <c r="N599" s="1437" t="s">
        <v>553</v>
      </c>
      <c r="O599" s="1437"/>
      <c r="T599" s="22"/>
      <c r="U599" t="s">
        <v>20</v>
      </c>
      <c r="AG599" s="1437" t="s">
        <v>677</v>
      </c>
      <c r="AH599" s="1437"/>
      <c r="BA599" s="4" t="s">
        <v>164</v>
      </c>
      <c r="BB599" s="3"/>
      <c r="BC599" s="3"/>
      <c r="BD599" s="3"/>
      <c r="BE599" s="1389">
        <f t="shared" si="1"/>
        <v>0</v>
      </c>
      <c r="BF599" s="1391"/>
      <c r="BG599" s="1398">
        <f t="shared" si="2"/>
        <v>0</v>
      </c>
      <c r="BH599" s="1399"/>
      <c r="BI599" s="1389">
        <f t="shared" si="3"/>
        <v>1</v>
      </c>
      <c r="BJ599" s="1391"/>
      <c r="BK599" s="1398">
        <f t="shared" si="4"/>
        <v>20</v>
      </c>
      <c r="BL599" s="1399"/>
      <c r="BM599" s="3"/>
      <c r="BN599" s="1395">
        <f t="shared" si="5"/>
        <v>0</v>
      </c>
      <c r="BO599" s="1396"/>
      <c r="BP599" s="1396"/>
      <c r="BQ599" s="1396"/>
      <c r="BR599" s="1397"/>
      <c r="BS599" s="1394">
        <f t="shared" si="6"/>
        <v>20</v>
      </c>
      <c r="BT599" s="1394"/>
      <c r="BU599" s="1394"/>
      <c r="BV599" s="1394"/>
      <c r="BW599" s="1394"/>
      <c r="BX599" s="1394">
        <f t="shared" si="7"/>
        <v>0</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3">
        <f t="shared" si="11"/>
        <v>0</v>
      </c>
      <c r="CT599" s="1393"/>
      <c r="CU599" s="1393"/>
      <c r="CV599" s="1393"/>
      <c r="CW599" s="1393"/>
      <c r="CX599" s="1393">
        <f t="shared" si="12"/>
        <v>20</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89" t="str">
        <f t="shared" si="17"/>
        <v/>
      </c>
      <c r="DY599" s="1390"/>
      <c r="DZ599" s="1390"/>
      <c r="EA599" s="1390"/>
      <c r="EB599" s="1391"/>
      <c r="EC599" s="1389">
        <f t="shared" si="18"/>
        <v>809</v>
      </c>
      <c r="ED599" s="1390"/>
      <c r="EE599" s="1390"/>
      <c r="EF599" s="1390"/>
      <c r="EG599" s="1391"/>
      <c r="EH599" s="1389" t="str">
        <f t="shared" si="19"/>
        <v/>
      </c>
      <c r="EI599" s="1390"/>
      <c r="EJ599" s="1390"/>
      <c r="EK599" s="1390"/>
      <c r="EL599" s="1391"/>
      <c r="EM599" s="1389" t="str">
        <f t="shared" si="20"/>
        <v/>
      </c>
      <c r="EN599" s="1390"/>
      <c r="EO599" s="1390"/>
      <c r="EP599" s="1390"/>
      <c r="EQ599" s="1391"/>
      <c r="ER599" s="1389" t="str">
        <f t="shared" si="21"/>
        <v/>
      </c>
      <c r="ES599" s="1390"/>
      <c r="ET599" s="1390"/>
      <c r="EU599" s="1390"/>
      <c r="EV599" s="1391"/>
      <c r="EW599" s="1389" t="str">
        <f t="shared" si="22"/>
        <v/>
      </c>
      <c r="EX599" s="1390"/>
      <c r="EY599" s="1390"/>
      <c r="EZ599" s="1390"/>
      <c r="FA599" s="1391"/>
    </row>
    <row r="600" spans="1:157" ht="13" customHeight="1">
      <c r="A600" s="22"/>
      <c r="T600" s="22"/>
      <c r="BA600" s="4" t="s">
        <v>165</v>
      </c>
      <c r="BB600" s="3"/>
      <c r="BC600" s="3"/>
      <c r="BD600" s="3"/>
      <c r="BE600" s="1389">
        <f t="shared" si="1"/>
        <v>0</v>
      </c>
      <c r="BF600" s="1391"/>
      <c r="BG600" s="1398">
        <f t="shared" si="2"/>
        <v>0</v>
      </c>
      <c r="BH600" s="1399"/>
      <c r="BI600" s="1389">
        <f t="shared" si="3"/>
        <v>1</v>
      </c>
      <c r="BJ600" s="1391"/>
      <c r="BK600" s="1398">
        <f t="shared" si="4"/>
        <v>1</v>
      </c>
      <c r="BL600" s="1399"/>
      <c r="BM600" s="3"/>
      <c r="BN600" s="1395">
        <f t="shared" si="5"/>
        <v>0</v>
      </c>
      <c r="BO600" s="1396"/>
      <c r="BP600" s="1396"/>
      <c r="BQ600" s="1396"/>
      <c r="BR600" s="1397"/>
      <c r="BS600" s="1394">
        <f t="shared" si="6"/>
        <v>1</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3">
        <f t="shared" si="11"/>
        <v>0</v>
      </c>
      <c r="CT600" s="1393"/>
      <c r="CU600" s="1393"/>
      <c r="CV600" s="1393"/>
      <c r="CW600" s="1393"/>
      <c r="CX600" s="1393">
        <f t="shared" si="12"/>
        <v>1</v>
      </c>
      <c r="CY600" s="1393"/>
      <c r="CZ600" s="1393"/>
      <c r="DA600" s="1393"/>
      <c r="DB600" s="1393"/>
      <c r="DC600" s="1393">
        <f t="shared" si="13"/>
        <v>0</v>
      </c>
      <c r="DD600" s="1393"/>
      <c r="DE600" s="1393"/>
      <c r="DF600" s="1393"/>
      <c r="DG600" s="1393"/>
      <c r="DH600" s="1393">
        <f t="shared" si="14"/>
        <v>0</v>
      </c>
      <c r="DI600" s="1393"/>
      <c r="DJ600" s="1393"/>
      <c r="DK600" s="1393"/>
      <c r="DL600" s="1393"/>
      <c r="DM600" s="1393">
        <f t="shared" si="15"/>
        <v>0</v>
      </c>
      <c r="DN600" s="1393"/>
      <c r="DO600" s="1393"/>
      <c r="DP600" s="1393"/>
      <c r="DQ600" s="1393"/>
      <c r="DR600" s="1393">
        <f t="shared" si="16"/>
        <v>0</v>
      </c>
      <c r="DS600" s="1393"/>
      <c r="DT600" s="1393"/>
      <c r="DU600" s="1393"/>
      <c r="DV600" s="1393"/>
      <c r="DX600" s="1389" t="str">
        <f t="shared" si="17"/>
        <v/>
      </c>
      <c r="DY600" s="1390"/>
      <c r="DZ600" s="1390"/>
      <c r="EA600" s="1390"/>
      <c r="EB600" s="1391"/>
      <c r="EC600" s="1389">
        <f t="shared" si="18"/>
        <v>300</v>
      </c>
      <c r="ED600" s="1390"/>
      <c r="EE600" s="1390"/>
      <c r="EF600" s="1390"/>
      <c r="EG600" s="1391"/>
      <c r="EH600" s="1389" t="str">
        <f t="shared" si="19"/>
        <v/>
      </c>
      <c r="EI600" s="1390"/>
      <c r="EJ600" s="1390"/>
      <c r="EK600" s="1390"/>
      <c r="EL600" s="1391"/>
      <c r="EM600" s="1389" t="str">
        <f t="shared" si="20"/>
        <v/>
      </c>
      <c r="EN600" s="1390"/>
      <c r="EO600" s="1390"/>
      <c r="EP600" s="1390"/>
      <c r="EQ600" s="1391"/>
      <c r="ER600" s="1389" t="str">
        <f t="shared" si="21"/>
        <v/>
      </c>
      <c r="ES600" s="1390"/>
      <c r="ET600" s="1390"/>
      <c r="EU600" s="1390"/>
      <c r="EV600" s="1391"/>
      <c r="EW600" s="1389" t="str">
        <f t="shared" si="22"/>
        <v/>
      </c>
      <c r="EX600" s="1390"/>
      <c r="EY600" s="1390"/>
      <c r="EZ600" s="1390"/>
      <c r="FA600" s="1391"/>
    </row>
    <row r="601" spans="1:157" ht="13" customHeight="1">
      <c r="A601" s="55" t="s">
        <v>469</v>
      </c>
      <c r="B601" t="s">
        <v>471</v>
      </c>
      <c r="G601" s="1516">
        <f>C562</f>
        <v>0</v>
      </c>
      <c r="H601" s="1516"/>
      <c r="I601" s="1516"/>
      <c r="J601" s="1516"/>
      <c r="K601" s="1516"/>
      <c r="L601" s="1516"/>
      <c r="M601" s="1516"/>
      <c r="N601" s="1516"/>
      <c r="O601" s="1516"/>
      <c r="P601" s="1516"/>
      <c r="Q601" s="1516"/>
      <c r="R601" s="1516"/>
      <c r="T601" s="55" t="s">
        <v>654</v>
      </c>
      <c r="U601" t="s">
        <v>471</v>
      </c>
      <c r="Z601" s="1516">
        <f>C563</f>
        <v>0</v>
      </c>
      <c r="AA601" s="1516"/>
      <c r="AB601" s="1516"/>
      <c r="AC601" s="1516"/>
      <c r="AD601" s="1516"/>
      <c r="AE601" s="1516"/>
      <c r="AF601" s="1516"/>
      <c r="AG601" s="1516"/>
      <c r="AH601" s="1516"/>
      <c r="AI601" s="1516"/>
      <c r="AJ601" s="1516"/>
      <c r="AK601" s="1516"/>
      <c r="BA601" s="4" t="s">
        <v>30</v>
      </c>
      <c r="BB601" s="3"/>
      <c r="BC601" s="3"/>
      <c r="BD601" s="3"/>
      <c r="BE601" s="1389">
        <f t="shared" si="1"/>
        <v>0</v>
      </c>
      <c r="BF601" s="1391"/>
      <c r="BG601" s="1398">
        <f t="shared" si="2"/>
        <v>0</v>
      </c>
      <c r="BH601" s="1399"/>
      <c r="BI601" s="1389">
        <f t="shared" si="3"/>
        <v>0</v>
      </c>
      <c r="BJ601" s="1391"/>
      <c r="BK601" s="1398">
        <f t="shared" si="4"/>
        <v>0</v>
      </c>
      <c r="BL601" s="1399"/>
      <c r="BM601" s="3"/>
      <c r="BN601" s="1395">
        <f t="shared" si="5"/>
        <v>0</v>
      </c>
      <c r="BO601" s="1396"/>
      <c r="BP601" s="1396"/>
      <c r="BQ601" s="1396"/>
      <c r="BR601" s="1397"/>
      <c r="BS601" s="1394">
        <f t="shared" si="6"/>
        <v>0</v>
      </c>
      <c r="BT601" s="1394"/>
      <c r="BU601" s="1394"/>
      <c r="BV601" s="1394"/>
      <c r="BW601" s="1394"/>
      <c r="BX601" s="1394">
        <f t="shared" si="7"/>
        <v>0</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3">
        <f t="shared" si="11"/>
        <v>0</v>
      </c>
      <c r="CT601" s="1393"/>
      <c r="CU601" s="1393"/>
      <c r="CV601" s="1393"/>
      <c r="CW601" s="1393"/>
      <c r="CX601" s="1393">
        <f t="shared" si="12"/>
        <v>0</v>
      </c>
      <c r="CY601" s="1393"/>
      <c r="CZ601" s="1393"/>
      <c r="DA601" s="1393"/>
      <c r="DB601" s="1393"/>
      <c r="DC601" s="1393">
        <f t="shared" si="13"/>
        <v>0</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89" t="str">
        <f t="shared" si="17"/>
        <v/>
      </c>
      <c r="DY601" s="1390"/>
      <c r="DZ601" s="1390"/>
      <c r="EA601" s="1390"/>
      <c r="EB601" s="1391"/>
      <c r="EC601" s="1389" t="str">
        <f t="shared" si="18"/>
        <v/>
      </c>
      <c r="ED601" s="1390"/>
      <c r="EE601" s="1390"/>
      <c r="EF601" s="1390"/>
      <c r="EG601" s="1391"/>
      <c r="EH601" s="1389" t="str">
        <f t="shared" si="19"/>
        <v/>
      </c>
      <c r="EI601" s="1390"/>
      <c r="EJ601" s="1390"/>
      <c r="EK601" s="1390"/>
      <c r="EL601" s="1391"/>
      <c r="EM601" s="1389" t="str">
        <f t="shared" si="20"/>
        <v/>
      </c>
      <c r="EN601" s="1390"/>
      <c r="EO601" s="1390"/>
      <c r="EP601" s="1390"/>
      <c r="EQ601" s="1391"/>
      <c r="ER601" s="1389" t="str">
        <f t="shared" si="21"/>
        <v/>
      </c>
      <c r="ES601" s="1390"/>
      <c r="ET601" s="1390"/>
      <c r="EU601" s="1390"/>
      <c r="EV601" s="1391"/>
      <c r="EW601" s="1389" t="str">
        <f t="shared" si="22"/>
        <v/>
      </c>
      <c r="EX601" s="1390"/>
      <c r="EY601" s="1390"/>
      <c r="EZ601" s="1390"/>
      <c r="FA601" s="1391"/>
    </row>
    <row r="602" spans="1:157" ht="13" customHeight="1">
      <c r="A602" s="22"/>
      <c r="B602" t="s">
        <v>85</v>
      </c>
      <c r="G602" s="1460"/>
      <c r="H602" s="1460"/>
      <c r="I602" s="1460"/>
      <c r="J602" s="1460"/>
      <c r="K602" s="1460"/>
      <c r="L602" s="1460"/>
      <c r="M602" s="1460"/>
      <c r="N602" s="1460"/>
      <c r="O602" s="1460"/>
      <c r="P602" s="1460"/>
      <c r="Q602" s="1460"/>
      <c r="R602" s="1460"/>
      <c r="T602" s="22"/>
      <c r="U602" t="s">
        <v>85</v>
      </c>
      <c r="Z602" s="1460"/>
      <c r="AA602" s="1460"/>
      <c r="AB602" s="1460"/>
      <c r="AC602" s="1460"/>
      <c r="AD602" s="1460"/>
      <c r="AE602" s="1460"/>
      <c r="AF602" s="1460"/>
      <c r="AG602" s="1460"/>
      <c r="AH602" s="1460"/>
      <c r="AI602" s="1460"/>
      <c r="AJ602" s="1460"/>
      <c r="AK602" s="1460"/>
      <c r="AZ602" s="3"/>
      <c r="BA602" s="3"/>
      <c r="BB602" s="3"/>
      <c r="BC602" s="3"/>
      <c r="BD602" s="3"/>
      <c r="BE602" s="1389">
        <f t="shared" si="1"/>
        <v>0</v>
      </c>
      <c r="BF602" s="1391"/>
      <c r="BG602" s="1398">
        <f t="shared" si="2"/>
        <v>0</v>
      </c>
      <c r="BH602" s="1399"/>
      <c r="BI602" s="1389">
        <f t="shared" si="3"/>
        <v>0</v>
      </c>
      <c r="BJ602" s="1391"/>
      <c r="BK602" s="1398">
        <f t="shared" si="4"/>
        <v>0</v>
      </c>
      <c r="BL602" s="1399"/>
      <c r="BM602" s="3"/>
      <c r="BN602" s="1395">
        <f t="shared" si="5"/>
        <v>0</v>
      </c>
      <c r="BO602" s="1396"/>
      <c r="BP602" s="1396"/>
      <c r="BQ602" s="1396"/>
      <c r="BR602" s="1397"/>
      <c r="BS602" s="1394">
        <f t="shared" si="6"/>
        <v>0</v>
      </c>
      <c r="BT602" s="1394"/>
      <c r="BU602" s="1394"/>
      <c r="BV602" s="1394"/>
      <c r="BW602" s="1394"/>
      <c r="BX602" s="1394">
        <f t="shared" si="7"/>
        <v>0</v>
      </c>
      <c r="BY602" s="1394"/>
      <c r="BZ602" s="1394"/>
      <c r="CA602" s="1394"/>
      <c r="CB602" s="1394"/>
      <c r="CC602" s="1394">
        <f t="shared" si="8"/>
        <v>0</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89" t="str">
        <f t="shared" si="17"/>
        <v/>
      </c>
      <c r="DY602" s="1390"/>
      <c r="DZ602" s="1390"/>
      <c r="EA602" s="1390"/>
      <c r="EB602" s="1391"/>
      <c r="EC602" s="1389" t="str">
        <f t="shared" si="18"/>
        <v/>
      </c>
      <c r="ED602" s="1390"/>
      <c r="EE602" s="1390"/>
      <c r="EF602" s="1390"/>
      <c r="EG602" s="1391"/>
      <c r="EH602" s="1389" t="str">
        <f t="shared" si="19"/>
        <v/>
      </c>
      <c r="EI602" s="1390"/>
      <c r="EJ602" s="1390"/>
      <c r="EK602" s="1390"/>
      <c r="EL602" s="1391"/>
      <c r="EM602" s="1389" t="str">
        <f t="shared" si="20"/>
        <v/>
      </c>
      <c r="EN602" s="1390"/>
      <c r="EO602" s="1390"/>
      <c r="EP602" s="1390"/>
      <c r="EQ602" s="1391"/>
      <c r="ER602" s="1389" t="str">
        <f t="shared" si="21"/>
        <v/>
      </c>
      <c r="ES602" s="1390"/>
      <c r="ET602" s="1390"/>
      <c r="EU602" s="1390"/>
      <c r="EV602" s="1391"/>
      <c r="EW602" s="1389" t="str">
        <f t="shared" si="22"/>
        <v/>
      </c>
      <c r="EX602" s="1390"/>
      <c r="EY602" s="1390"/>
      <c r="EZ602" s="1390"/>
      <c r="FA602" s="1391"/>
    </row>
    <row r="603" spans="1:157" ht="13" customHeight="1">
      <c r="A603" s="22"/>
      <c r="B603" t="s">
        <v>588</v>
      </c>
      <c r="G603" s="1460"/>
      <c r="H603" s="1460"/>
      <c r="I603" s="1460"/>
      <c r="J603" s="1460"/>
      <c r="K603" s="1460"/>
      <c r="L603" s="1460"/>
      <c r="M603" s="1460"/>
      <c r="N603" s="1460"/>
      <c r="O603" s="1460"/>
      <c r="P603" s="1460"/>
      <c r="Q603" s="1460"/>
      <c r="R603" s="1460"/>
      <c r="T603" s="22"/>
      <c r="U603" t="s">
        <v>588</v>
      </c>
      <c r="Z603" s="1443"/>
      <c r="AA603" s="1443"/>
      <c r="AB603" s="1443"/>
      <c r="AC603" s="1443"/>
      <c r="AD603" s="1443"/>
      <c r="AE603" s="1443"/>
      <c r="AF603" s="1443"/>
      <c r="AG603" s="1443"/>
      <c r="AH603" s="1443"/>
      <c r="AI603" s="1443"/>
      <c r="AJ603" s="1443"/>
      <c r="AK603" s="1443"/>
      <c r="AZ603" s="3"/>
      <c r="BA603" s="3"/>
      <c r="BB603" s="3"/>
      <c r="BC603" s="3"/>
      <c r="BD603" s="3"/>
      <c r="BE603" s="1389">
        <f t="shared" si="1"/>
        <v>0</v>
      </c>
      <c r="BF603" s="1391"/>
      <c r="BG603" s="1398">
        <f t="shared" si="2"/>
        <v>0</v>
      </c>
      <c r="BH603" s="1399"/>
      <c r="BI603" s="1389">
        <f t="shared" si="3"/>
        <v>0</v>
      </c>
      <c r="BJ603" s="1391"/>
      <c r="BK603" s="1398">
        <f t="shared" si="4"/>
        <v>0</v>
      </c>
      <c r="BL603" s="1399"/>
      <c r="BM603" s="3"/>
      <c r="BN603" s="1395">
        <f t="shared" si="5"/>
        <v>0</v>
      </c>
      <c r="BO603" s="1396"/>
      <c r="BP603" s="1396"/>
      <c r="BQ603" s="1396"/>
      <c r="BR603" s="1397"/>
      <c r="BS603" s="1394">
        <f t="shared" si="6"/>
        <v>0</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89" t="str">
        <f t="shared" si="17"/>
        <v/>
      </c>
      <c r="DY603" s="1390"/>
      <c r="DZ603" s="1390"/>
      <c r="EA603" s="1390"/>
      <c r="EB603" s="1391"/>
      <c r="EC603" s="1389" t="str">
        <f t="shared" si="18"/>
        <v/>
      </c>
      <c r="ED603" s="1390"/>
      <c r="EE603" s="1390"/>
      <c r="EF603" s="1390"/>
      <c r="EG603" s="1391"/>
      <c r="EH603" s="1389" t="str">
        <f t="shared" si="19"/>
        <v/>
      </c>
      <c r="EI603" s="1390"/>
      <c r="EJ603" s="1390"/>
      <c r="EK603" s="1390"/>
      <c r="EL603" s="1391"/>
      <c r="EM603" s="1389" t="str">
        <f t="shared" si="20"/>
        <v/>
      </c>
      <c r="EN603" s="1390"/>
      <c r="EO603" s="1390"/>
      <c r="EP603" s="1390"/>
      <c r="EQ603" s="1391"/>
      <c r="ER603" s="1389" t="str">
        <f t="shared" si="21"/>
        <v/>
      </c>
      <c r="ES603" s="1390"/>
      <c r="ET603" s="1390"/>
      <c r="EU603" s="1390"/>
      <c r="EV603" s="1391"/>
      <c r="EW603" s="1389" t="str">
        <f t="shared" si="22"/>
        <v/>
      </c>
      <c r="EX603" s="1390"/>
      <c r="EY603" s="1390"/>
      <c r="EZ603" s="1390"/>
      <c r="FA603" s="1391"/>
    </row>
    <row r="604" spans="1:157" ht="13" customHeight="1">
      <c r="A604" s="22"/>
      <c r="B604" t="s">
        <v>17</v>
      </c>
      <c r="G604" s="1460"/>
      <c r="H604" s="1460"/>
      <c r="I604" s="1460"/>
      <c r="J604" s="1460"/>
      <c r="K604" s="1460"/>
      <c r="L604" s="1460"/>
      <c r="M604" s="1460"/>
      <c r="N604" s="1460"/>
      <c r="O604" s="1460"/>
      <c r="P604" s="1460"/>
      <c r="Q604" s="1460"/>
      <c r="R604" s="1460"/>
      <c r="T604" s="22"/>
      <c r="U604" t="s">
        <v>17</v>
      </c>
      <c r="Z604" s="1443"/>
      <c r="AA604" s="1443"/>
      <c r="AB604" s="1443"/>
      <c r="AC604" s="1443"/>
      <c r="AD604" s="1443"/>
      <c r="AE604" s="1443"/>
      <c r="AF604" s="1443"/>
      <c r="AG604" s="1443"/>
      <c r="AH604" s="1443"/>
      <c r="AI604" s="1443"/>
      <c r="AJ604" s="1443"/>
      <c r="AK604" s="1443"/>
      <c r="AZ604" s="3"/>
      <c r="BA604" s="3"/>
      <c r="BB604" s="3"/>
      <c r="BC604" s="3"/>
      <c r="BD604" s="3"/>
      <c r="BE604" s="1389">
        <f t="shared" si="1"/>
        <v>0</v>
      </c>
      <c r="BF604" s="1391"/>
      <c r="BG604" s="1398">
        <f t="shared" si="2"/>
        <v>0</v>
      </c>
      <c r="BH604" s="1399"/>
      <c r="BI604" s="1389">
        <f t="shared" si="3"/>
        <v>0</v>
      </c>
      <c r="BJ604" s="1391"/>
      <c r="BK604" s="1398">
        <f t="shared" si="4"/>
        <v>0</v>
      </c>
      <c r="BL604" s="1399"/>
      <c r="BM604" s="3"/>
      <c r="BN604" s="1395">
        <f t="shared" si="5"/>
        <v>0</v>
      </c>
      <c r="BO604" s="1396"/>
      <c r="BP604" s="1396"/>
      <c r="BQ604" s="1396"/>
      <c r="BR604" s="1397"/>
      <c r="BS604" s="1394">
        <f t="shared" si="6"/>
        <v>0</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89" t="str">
        <f t="shared" si="17"/>
        <v/>
      </c>
      <c r="DY604" s="1390"/>
      <c r="DZ604" s="1390"/>
      <c r="EA604" s="1390"/>
      <c r="EB604" s="1391"/>
      <c r="EC604" s="1389" t="str">
        <f t="shared" si="18"/>
        <v/>
      </c>
      <c r="ED604" s="1390"/>
      <c r="EE604" s="1390"/>
      <c r="EF604" s="1390"/>
      <c r="EG604" s="1391"/>
      <c r="EH604" s="1389" t="str">
        <f t="shared" si="19"/>
        <v/>
      </c>
      <c r="EI604" s="1390"/>
      <c r="EJ604" s="1390"/>
      <c r="EK604" s="1390"/>
      <c r="EL604" s="1391"/>
      <c r="EM604" s="1389" t="str">
        <f t="shared" si="20"/>
        <v/>
      </c>
      <c r="EN604" s="1390"/>
      <c r="EO604" s="1390"/>
      <c r="EP604" s="1390"/>
      <c r="EQ604" s="1391"/>
      <c r="ER604" s="1389" t="str">
        <f t="shared" si="21"/>
        <v/>
      </c>
      <c r="ES604" s="1390"/>
      <c r="ET604" s="1390"/>
      <c r="EU604" s="1390"/>
      <c r="EV604" s="1391"/>
      <c r="EW604" s="1389" t="str">
        <f t="shared" si="22"/>
        <v/>
      </c>
      <c r="EX604" s="1390"/>
      <c r="EY604" s="1390"/>
      <c r="EZ604" s="1390"/>
      <c r="FA604" s="1391"/>
    </row>
    <row r="605" spans="1:157" s="4" customFormat="1" ht="13" customHeight="1">
      <c r="A605" s="22"/>
      <c r="B605" t="s">
        <v>317</v>
      </c>
      <c r="C605"/>
      <c r="D605"/>
      <c r="E605"/>
      <c r="F605"/>
      <c r="G605" s="1475"/>
      <c r="H605" s="1475"/>
      <c r="I605" s="1475"/>
      <c r="J605" s="1475"/>
      <c r="K605" s="1475"/>
      <c r="L605" s="1475"/>
      <c r="M605"/>
      <c r="N605"/>
      <c r="O605" s="33" t="s">
        <v>207</v>
      </c>
      <c r="P605" s="1438"/>
      <c r="Q605" s="1438"/>
      <c r="R605" s="1438"/>
      <c r="S605"/>
      <c r="T605" s="22"/>
      <c r="U605" t="s">
        <v>317</v>
      </c>
      <c r="V605"/>
      <c r="W605"/>
      <c r="X605"/>
      <c r="Y605"/>
      <c r="Z605" s="1475"/>
      <c r="AA605" s="1475"/>
      <c r="AB605" s="1475"/>
      <c r="AC605" s="1475"/>
      <c r="AD605" s="1475"/>
      <c r="AE605" s="1475"/>
      <c r="AF605"/>
      <c r="AG605"/>
      <c r="AH605" s="33" t="s">
        <v>207</v>
      </c>
      <c r="AI605" s="1438"/>
      <c r="AJ605" s="1438"/>
      <c r="AK605" s="1438"/>
      <c r="AL605"/>
      <c r="AM605"/>
      <c r="AN605"/>
      <c r="AO605"/>
      <c r="AP605"/>
      <c r="AQ605"/>
      <c r="AR605"/>
      <c r="AS605"/>
      <c r="AT605"/>
      <c r="AU605"/>
      <c r="AV605"/>
      <c r="AW605"/>
      <c r="AX605"/>
      <c r="AY605"/>
      <c r="AZ605" s="3"/>
      <c r="BA605" s="3"/>
      <c r="BB605" s="3"/>
      <c r="BC605" s="3"/>
      <c r="BD605" s="3"/>
      <c r="BE605" s="1389">
        <f t="shared" si="1"/>
        <v>0</v>
      </c>
      <c r="BF605" s="1391"/>
      <c r="BG605" s="1398">
        <f t="shared" si="2"/>
        <v>0</v>
      </c>
      <c r="BH605" s="1399"/>
      <c r="BI605" s="1389">
        <f t="shared" si="3"/>
        <v>0</v>
      </c>
      <c r="BJ605" s="1391"/>
      <c r="BK605" s="1398">
        <f t="shared" si="4"/>
        <v>0</v>
      </c>
      <c r="BL605" s="1399"/>
      <c r="BM605" s="3"/>
      <c r="BN605" s="1395">
        <f t="shared" si="5"/>
        <v>0</v>
      </c>
      <c r="BO605" s="1396"/>
      <c r="BP605" s="1396"/>
      <c r="BQ605" s="1396"/>
      <c r="BR605" s="1397"/>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89" t="str">
        <f t="shared" si="17"/>
        <v/>
      </c>
      <c r="DY605" s="1390"/>
      <c r="DZ605" s="1390"/>
      <c r="EA605" s="1390"/>
      <c r="EB605" s="1391"/>
      <c r="EC605" s="1389" t="str">
        <f t="shared" si="18"/>
        <v/>
      </c>
      <c r="ED605" s="1390"/>
      <c r="EE605" s="1390"/>
      <c r="EF605" s="1390"/>
      <c r="EG605" s="1391"/>
      <c r="EH605" s="1389" t="str">
        <f t="shared" si="19"/>
        <v/>
      </c>
      <c r="EI605" s="1390"/>
      <c r="EJ605" s="1390"/>
      <c r="EK605" s="1390"/>
      <c r="EL605" s="1391"/>
      <c r="EM605" s="1389" t="str">
        <f t="shared" si="20"/>
        <v/>
      </c>
      <c r="EN605" s="1390"/>
      <c r="EO605" s="1390"/>
      <c r="EP605" s="1390"/>
      <c r="EQ605" s="1391"/>
      <c r="ER605" s="1389" t="str">
        <f t="shared" si="21"/>
        <v/>
      </c>
      <c r="ES605" s="1390"/>
      <c r="ET605" s="1390"/>
      <c r="EU605" s="1390"/>
      <c r="EV605" s="1391"/>
      <c r="EW605" s="1389" t="str">
        <f t="shared" si="22"/>
        <v/>
      </c>
      <c r="EX605" s="1390"/>
      <c r="EY605" s="1390"/>
      <c r="EZ605" s="1390"/>
      <c r="FA605" s="1391"/>
    </row>
    <row r="606" spans="1:157" s="4" customFormat="1" ht="13" customHeight="1">
      <c r="A606" s="22"/>
      <c r="B606" t="s">
        <v>18</v>
      </c>
      <c r="C606"/>
      <c r="D606"/>
      <c r="E606"/>
      <c r="F606"/>
      <c r="G606"/>
      <c r="H606" s="1460"/>
      <c r="I606" s="1460"/>
      <c r="J606" s="1460"/>
      <c r="K606" s="1460"/>
      <c r="L606" s="1460"/>
      <c r="M606" s="1460"/>
      <c r="N606" s="1460"/>
      <c r="O606" s="1460"/>
      <c r="P606" s="1460"/>
      <c r="Q606" s="1460"/>
      <c r="R606" s="1460"/>
      <c r="S606"/>
      <c r="T606" s="22"/>
      <c r="U606" t="s">
        <v>18</v>
      </c>
      <c r="V606"/>
      <c r="W606"/>
      <c r="X606"/>
      <c r="Y606"/>
      <c r="Z606"/>
      <c r="AA606" s="1460"/>
      <c r="AB606" s="1460"/>
      <c r="AC606" s="1460"/>
      <c r="AD606" s="1460"/>
      <c r="AE606" s="1460"/>
      <c r="AF606" s="1460"/>
      <c r="AG606" s="1460"/>
      <c r="AH606" s="1460"/>
      <c r="AI606" s="1460"/>
      <c r="AJ606" s="1460"/>
      <c r="AK606" s="1460"/>
      <c r="AL606"/>
      <c r="AM606"/>
      <c r="AN606"/>
      <c r="AO606"/>
      <c r="AP606"/>
      <c r="AQ606"/>
      <c r="AR606"/>
      <c r="AS606"/>
      <c r="AT606"/>
      <c r="AU606"/>
      <c r="AV606"/>
      <c r="AW606"/>
      <c r="AX606"/>
      <c r="AY606"/>
      <c r="AZ606" s="3"/>
      <c r="BA606" s="3"/>
      <c r="BB606" s="3"/>
      <c r="BC606" s="3"/>
      <c r="BD606" s="3"/>
      <c r="BE606" s="1389">
        <f t="shared" si="1"/>
        <v>0</v>
      </c>
      <c r="BF606" s="1391"/>
      <c r="BG606" s="1398">
        <f t="shared" si="2"/>
        <v>0</v>
      </c>
      <c r="BH606" s="1399"/>
      <c r="BI606" s="1389">
        <f t="shared" si="3"/>
        <v>0</v>
      </c>
      <c r="BJ606" s="1391"/>
      <c r="BK606" s="1398">
        <f t="shared" si="4"/>
        <v>0</v>
      </c>
      <c r="BL606" s="1399"/>
      <c r="BM606" s="3"/>
      <c r="BN606" s="1395">
        <f t="shared" si="5"/>
        <v>0</v>
      </c>
      <c r="BO606" s="1396"/>
      <c r="BP606" s="1396"/>
      <c r="BQ606" s="1396"/>
      <c r="BR606" s="1397"/>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89" t="str">
        <f t="shared" si="17"/>
        <v/>
      </c>
      <c r="DY606" s="1390"/>
      <c r="DZ606" s="1390"/>
      <c r="EA606" s="1390"/>
      <c r="EB606" s="1391"/>
      <c r="EC606" s="1389" t="str">
        <f t="shared" si="18"/>
        <v/>
      </c>
      <c r="ED606" s="1390"/>
      <c r="EE606" s="1390"/>
      <c r="EF606" s="1390"/>
      <c r="EG606" s="1391"/>
      <c r="EH606" s="1389" t="str">
        <f t="shared" si="19"/>
        <v/>
      </c>
      <c r="EI606" s="1390"/>
      <c r="EJ606" s="1390"/>
      <c r="EK606" s="1390"/>
      <c r="EL606" s="1391"/>
      <c r="EM606" s="1389" t="str">
        <f t="shared" si="20"/>
        <v/>
      </c>
      <c r="EN606" s="1390"/>
      <c r="EO606" s="1390"/>
      <c r="EP606" s="1390"/>
      <c r="EQ606" s="1391"/>
      <c r="ER606" s="1389" t="str">
        <f t="shared" si="21"/>
        <v/>
      </c>
      <c r="ES606" s="1390"/>
      <c r="ET606" s="1390"/>
      <c r="EU606" s="1390"/>
      <c r="EV606" s="1391"/>
      <c r="EW606" s="1389" t="str">
        <f t="shared" si="22"/>
        <v/>
      </c>
      <c r="EX606" s="1390"/>
      <c r="EY606" s="1390"/>
      <c r="EZ606" s="1390"/>
      <c r="FA606" s="1391"/>
    </row>
    <row r="607" spans="1:157" s="4" customFormat="1" ht="13" customHeight="1">
      <c r="A607" s="22"/>
      <c r="B607" t="s">
        <v>20</v>
      </c>
      <c r="C607"/>
      <c r="D607"/>
      <c r="E607"/>
      <c r="F607"/>
      <c r="G607"/>
      <c r="H607"/>
      <c r="I607"/>
      <c r="J607"/>
      <c r="K607"/>
      <c r="L607"/>
      <c r="M607"/>
      <c r="N607" s="1437" t="s">
        <v>677</v>
      </c>
      <c r="O607" s="1437"/>
      <c r="P607"/>
      <c r="Q607"/>
      <c r="R607"/>
      <c r="S607"/>
      <c r="T607" s="22"/>
      <c r="U607" t="s">
        <v>20</v>
      </c>
      <c r="V607"/>
      <c r="W607"/>
      <c r="X607"/>
      <c r="Y607"/>
      <c r="Z607"/>
      <c r="AA607"/>
      <c r="AB607"/>
      <c r="AC607"/>
      <c r="AD607"/>
      <c r="AE607"/>
      <c r="AF607"/>
      <c r="AG607" s="1437" t="s">
        <v>677</v>
      </c>
      <c r="AH607" s="1437"/>
      <c r="AI607"/>
      <c r="AJ607"/>
      <c r="AK607"/>
      <c r="AL607"/>
      <c r="AM607"/>
      <c r="AN607"/>
      <c r="AO607"/>
      <c r="AP607"/>
      <c r="AQ607"/>
      <c r="AR607"/>
      <c r="AS607"/>
      <c r="AT607"/>
      <c r="AU607"/>
      <c r="AV607"/>
      <c r="AW607"/>
      <c r="AX607"/>
      <c r="AY607"/>
      <c r="AZ607" s="3"/>
      <c r="BA607" s="3"/>
      <c r="BB607" s="3"/>
      <c r="BC607" s="3"/>
      <c r="BD607" s="3"/>
      <c r="BE607" s="1389">
        <f t="shared" si="1"/>
        <v>0</v>
      </c>
      <c r="BF607" s="1391"/>
      <c r="BG607" s="1398">
        <f t="shared" si="2"/>
        <v>0</v>
      </c>
      <c r="BH607" s="1399"/>
      <c r="BI607" s="1389">
        <f t="shared" si="3"/>
        <v>0</v>
      </c>
      <c r="BJ607" s="1391"/>
      <c r="BK607" s="1398">
        <f t="shared" si="4"/>
        <v>0</v>
      </c>
      <c r="BL607" s="1399"/>
      <c r="BM607" s="3"/>
      <c r="BN607" s="1395">
        <f t="shared" si="5"/>
        <v>0</v>
      </c>
      <c r="BO607" s="1396"/>
      <c r="BP607" s="1396"/>
      <c r="BQ607" s="1396"/>
      <c r="BR607" s="1397"/>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89" t="str">
        <f t="shared" si="17"/>
        <v/>
      </c>
      <c r="DY607" s="1390"/>
      <c r="DZ607" s="1390"/>
      <c r="EA607" s="1390"/>
      <c r="EB607" s="1391"/>
      <c r="EC607" s="1389" t="str">
        <f t="shared" si="18"/>
        <v/>
      </c>
      <c r="ED607" s="1390"/>
      <c r="EE607" s="1390"/>
      <c r="EF607" s="1390"/>
      <c r="EG607" s="1391"/>
      <c r="EH607" s="1389" t="str">
        <f t="shared" si="19"/>
        <v/>
      </c>
      <c r="EI607" s="1390"/>
      <c r="EJ607" s="1390"/>
      <c r="EK607" s="1390"/>
      <c r="EL607" s="1391"/>
      <c r="EM607" s="1389" t="str">
        <f t="shared" si="20"/>
        <v/>
      </c>
      <c r="EN607" s="1390"/>
      <c r="EO607" s="1390"/>
      <c r="EP607" s="1390"/>
      <c r="EQ607" s="1391"/>
      <c r="ER607" s="1389" t="str">
        <f t="shared" si="21"/>
        <v/>
      </c>
      <c r="ES607" s="1390"/>
      <c r="ET607" s="1390"/>
      <c r="EU607" s="1390"/>
      <c r="EV607" s="1391"/>
      <c r="EW607" s="1389" t="str">
        <f t="shared" si="22"/>
        <v/>
      </c>
      <c r="EX607" s="1390"/>
      <c r="EY607" s="1390"/>
      <c r="EZ607" s="1390"/>
      <c r="FA607" s="1391"/>
    </row>
    <row r="608" spans="1:157" ht="13" customHeight="1">
      <c r="A608" s="22"/>
      <c r="T608" s="22"/>
      <c r="AZ608" s="3"/>
      <c r="BA608" s="3"/>
      <c r="BB608" s="3"/>
      <c r="BC608" s="3"/>
      <c r="BD608" s="3"/>
      <c r="BE608" s="1389">
        <f t="shared" si="1"/>
        <v>0</v>
      </c>
      <c r="BF608" s="1391"/>
      <c r="BG608" s="1398">
        <f t="shared" si="2"/>
        <v>0</v>
      </c>
      <c r="BH608" s="1399"/>
      <c r="BI608" s="1389">
        <f t="shared" si="3"/>
        <v>0</v>
      </c>
      <c r="BJ608" s="1391"/>
      <c r="BK608" s="1398">
        <f t="shared" si="4"/>
        <v>0</v>
      </c>
      <c r="BL608" s="1399"/>
      <c r="BM608" s="3"/>
      <c r="BN608" s="1395">
        <f t="shared" si="5"/>
        <v>0</v>
      </c>
      <c r="BO608" s="1396"/>
      <c r="BP608" s="1396"/>
      <c r="BQ608" s="1396"/>
      <c r="BR608" s="1397"/>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89" t="str">
        <f t="shared" si="17"/>
        <v/>
      </c>
      <c r="DY608" s="1390"/>
      <c r="DZ608" s="1390"/>
      <c r="EA608" s="1390"/>
      <c r="EB608" s="1391"/>
      <c r="EC608" s="1389" t="str">
        <f t="shared" si="18"/>
        <v/>
      </c>
      <c r="ED608" s="1390"/>
      <c r="EE608" s="1390"/>
      <c r="EF608" s="1390"/>
      <c r="EG608" s="1391"/>
      <c r="EH608" s="1389" t="str">
        <f t="shared" si="19"/>
        <v/>
      </c>
      <c r="EI608" s="1390"/>
      <c r="EJ608" s="1390"/>
      <c r="EK608" s="1390"/>
      <c r="EL608" s="1391"/>
      <c r="EM608" s="1389" t="str">
        <f t="shared" si="20"/>
        <v/>
      </c>
      <c r="EN608" s="1390"/>
      <c r="EO608" s="1390"/>
      <c r="EP608" s="1390"/>
      <c r="EQ608" s="1391"/>
      <c r="ER608" s="1389" t="str">
        <f t="shared" si="21"/>
        <v/>
      </c>
      <c r="ES608" s="1390"/>
      <c r="ET608" s="1390"/>
      <c r="EU608" s="1390"/>
      <c r="EV608" s="1391"/>
      <c r="EW608" s="1389" t="str">
        <f t="shared" si="22"/>
        <v/>
      </c>
      <c r="EX608" s="1390"/>
      <c r="EY608" s="1390"/>
      <c r="EZ608" s="1390"/>
      <c r="FA608" s="1391"/>
    </row>
    <row r="609" spans="1:157" ht="13" customHeight="1">
      <c r="A609" s="55" t="s">
        <v>362</v>
      </c>
      <c r="B609" t="s">
        <v>471</v>
      </c>
      <c r="G609" s="1516">
        <f>C564</f>
        <v>0</v>
      </c>
      <c r="H609" s="1516"/>
      <c r="I609" s="1516"/>
      <c r="J609" s="1516"/>
      <c r="K609" s="1516"/>
      <c r="L609" s="1516"/>
      <c r="M609" s="1516"/>
      <c r="N609" s="1516"/>
      <c r="O609" s="1516"/>
      <c r="P609" s="1516"/>
      <c r="Q609" s="1516"/>
      <c r="R609" s="1516"/>
      <c r="T609" s="55" t="s">
        <v>363</v>
      </c>
      <c r="U609" t="s">
        <v>471</v>
      </c>
      <c r="Z609" s="1516">
        <f>C565</f>
        <v>0</v>
      </c>
      <c r="AA609" s="1516"/>
      <c r="AB609" s="1516"/>
      <c r="AC609" s="1516"/>
      <c r="AD609" s="1516"/>
      <c r="AE609" s="1516"/>
      <c r="AF609" s="1516"/>
      <c r="AG609" s="1516"/>
      <c r="AH609" s="1516"/>
      <c r="AI609" s="1516"/>
      <c r="AJ609" s="1516"/>
      <c r="AK609" s="1516"/>
      <c r="AZ609" s="3"/>
      <c r="BA609" s="3"/>
      <c r="BB609" s="3"/>
      <c r="BC609" s="3"/>
      <c r="BD609" s="3"/>
      <c r="BE609" s="1389">
        <f t="shared" si="1"/>
        <v>0</v>
      </c>
      <c r="BF609" s="1391"/>
      <c r="BG609" s="1398">
        <f t="shared" si="2"/>
        <v>0</v>
      </c>
      <c r="BH609" s="1399"/>
      <c r="BI609" s="1389">
        <f t="shared" si="3"/>
        <v>0</v>
      </c>
      <c r="BJ609" s="1391"/>
      <c r="BK609" s="1398">
        <f t="shared" si="4"/>
        <v>0</v>
      </c>
      <c r="BL609" s="1399"/>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89" t="str">
        <f t="shared" si="17"/>
        <v/>
      </c>
      <c r="DY609" s="1390"/>
      <c r="DZ609" s="1390"/>
      <c r="EA609" s="1390"/>
      <c r="EB609" s="1391"/>
      <c r="EC609" s="1389" t="str">
        <f t="shared" si="18"/>
        <v/>
      </c>
      <c r="ED609" s="1390"/>
      <c r="EE609" s="1390"/>
      <c r="EF609" s="1390"/>
      <c r="EG609" s="1391"/>
      <c r="EH609" s="1389" t="str">
        <f t="shared" si="19"/>
        <v/>
      </c>
      <c r="EI609" s="1390"/>
      <c r="EJ609" s="1390"/>
      <c r="EK609" s="1390"/>
      <c r="EL609" s="1391"/>
      <c r="EM609" s="1389" t="str">
        <f t="shared" si="20"/>
        <v/>
      </c>
      <c r="EN609" s="1390"/>
      <c r="EO609" s="1390"/>
      <c r="EP609" s="1390"/>
      <c r="EQ609" s="1391"/>
      <c r="ER609" s="1389" t="str">
        <f t="shared" si="21"/>
        <v/>
      </c>
      <c r="ES609" s="1390"/>
      <c r="ET609" s="1390"/>
      <c r="EU609" s="1390"/>
      <c r="EV609" s="1391"/>
      <c r="EW609" s="1389" t="str">
        <f t="shared" si="22"/>
        <v/>
      </c>
      <c r="EX609" s="1390"/>
      <c r="EY609" s="1390"/>
      <c r="EZ609" s="1390"/>
      <c r="FA609" s="1391"/>
    </row>
    <row r="610" spans="1:157" ht="13" customHeight="1">
      <c r="B610" t="s">
        <v>85</v>
      </c>
      <c r="G610" s="1460"/>
      <c r="H610" s="1460"/>
      <c r="I610" s="1460"/>
      <c r="J610" s="1460"/>
      <c r="K610" s="1460"/>
      <c r="L610" s="1460"/>
      <c r="M610" s="1460"/>
      <c r="N610" s="1460"/>
      <c r="O610" s="1460"/>
      <c r="P610" s="1460"/>
      <c r="Q610" s="1460"/>
      <c r="R610" s="1460"/>
      <c r="U610" t="s">
        <v>85</v>
      </c>
      <c r="Z610" s="1460"/>
      <c r="AA610" s="1460"/>
      <c r="AB610" s="1460"/>
      <c r="AC610" s="1460"/>
      <c r="AD610" s="1460"/>
      <c r="AE610" s="1460"/>
      <c r="AF610" s="1460"/>
      <c r="AG610" s="1460"/>
      <c r="AH610" s="1460"/>
      <c r="AI610" s="1460"/>
      <c r="AJ610" s="1460"/>
      <c r="AK610" s="1460"/>
      <c r="AZ610" s="3"/>
      <c r="BA610" s="3"/>
      <c r="BB610" s="3"/>
      <c r="BC610" s="3"/>
      <c r="BD610" s="3"/>
      <c r="BE610" s="1389">
        <f t="shared" si="1"/>
        <v>0</v>
      </c>
      <c r="BF610" s="1391"/>
      <c r="BG610" s="1398">
        <f t="shared" si="2"/>
        <v>0</v>
      </c>
      <c r="BH610" s="1399"/>
      <c r="BI610" s="1389">
        <f t="shared" si="3"/>
        <v>0</v>
      </c>
      <c r="BJ610" s="1391"/>
      <c r="BK610" s="1398">
        <f t="shared" si="4"/>
        <v>0</v>
      </c>
      <c r="BL610" s="1399"/>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89" t="str">
        <f t="shared" si="17"/>
        <v/>
      </c>
      <c r="DY610" s="1390"/>
      <c r="DZ610" s="1390"/>
      <c r="EA610" s="1390"/>
      <c r="EB610" s="1391"/>
      <c r="EC610" s="1389" t="str">
        <f t="shared" si="18"/>
        <v/>
      </c>
      <c r="ED610" s="1390"/>
      <c r="EE610" s="1390"/>
      <c r="EF610" s="1390"/>
      <c r="EG610" s="1391"/>
      <c r="EH610" s="1389" t="str">
        <f t="shared" si="19"/>
        <v/>
      </c>
      <c r="EI610" s="1390"/>
      <c r="EJ610" s="1390"/>
      <c r="EK610" s="1390"/>
      <c r="EL610" s="1391"/>
      <c r="EM610" s="1389" t="str">
        <f t="shared" si="20"/>
        <v/>
      </c>
      <c r="EN610" s="1390"/>
      <c r="EO610" s="1390"/>
      <c r="EP610" s="1390"/>
      <c r="EQ610" s="1391"/>
      <c r="ER610" s="1389" t="str">
        <f t="shared" si="21"/>
        <v/>
      </c>
      <c r="ES610" s="1390"/>
      <c r="ET610" s="1390"/>
      <c r="EU610" s="1390"/>
      <c r="EV610" s="1391"/>
      <c r="EW610" s="1389" t="str">
        <f t="shared" si="22"/>
        <v/>
      </c>
      <c r="EX610" s="1390"/>
      <c r="EY610" s="1390"/>
      <c r="EZ610" s="1390"/>
      <c r="FA610" s="1391"/>
    </row>
    <row r="611" spans="1:157" ht="13" customHeight="1">
      <c r="B611" t="s">
        <v>588</v>
      </c>
      <c r="G611" s="1460"/>
      <c r="H611" s="1460"/>
      <c r="I611" s="1460"/>
      <c r="J611" s="1460"/>
      <c r="K611" s="1460"/>
      <c r="L611" s="1460"/>
      <c r="M611" s="1460"/>
      <c r="N611" s="1460"/>
      <c r="O611" s="1460"/>
      <c r="P611" s="1460"/>
      <c r="Q611" s="1460"/>
      <c r="R611" s="1460"/>
      <c r="U611" t="s">
        <v>588</v>
      </c>
      <c r="Z611" s="1443"/>
      <c r="AA611" s="1443"/>
      <c r="AB611" s="1443"/>
      <c r="AC611" s="1443"/>
      <c r="AD611" s="1443"/>
      <c r="AE611" s="1443"/>
      <c r="AF611" s="1443"/>
      <c r="AG611" s="1443"/>
      <c r="AH611" s="1443"/>
      <c r="AI611" s="1443"/>
      <c r="AJ611" s="1443"/>
      <c r="AK611" s="1443"/>
      <c r="AZ611" s="3"/>
      <c r="BA611" s="3"/>
      <c r="BB611" s="3"/>
      <c r="BC611" s="3"/>
      <c r="BD611" s="3"/>
      <c r="BE611" s="1389">
        <f t="shared" si="1"/>
        <v>0</v>
      </c>
      <c r="BF611" s="1391"/>
      <c r="BG611" s="1398">
        <f t="shared" si="2"/>
        <v>0</v>
      </c>
      <c r="BH611" s="1399"/>
      <c r="BI611" s="1389">
        <f t="shared" si="3"/>
        <v>0</v>
      </c>
      <c r="BJ611" s="1391"/>
      <c r="BK611" s="1398">
        <f t="shared" si="4"/>
        <v>0</v>
      </c>
      <c r="BL611" s="1399"/>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89" t="str">
        <f t="shared" si="17"/>
        <v/>
      </c>
      <c r="DY611" s="1390"/>
      <c r="DZ611" s="1390"/>
      <c r="EA611" s="1390"/>
      <c r="EB611" s="1391"/>
      <c r="EC611" s="1389" t="str">
        <f t="shared" si="18"/>
        <v/>
      </c>
      <c r="ED611" s="1390"/>
      <c r="EE611" s="1390"/>
      <c r="EF611" s="1390"/>
      <c r="EG611" s="1391"/>
      <c r="EH611" s="1389" t="str">
        <f t="shared" si="19"/>
        <v/>
      </c>
      <c r="EI611" s="1390"/>
      <c r="EJ611" s="1390"/>
      <c r="EK611" s="1390"/>
      <c r="EL611" s="1391"/>
      <c r="EM611" s="1389" t="str">
        <f t="shared" si="20"/>
        <v/>
      </c>
      <c r="EN611" s="1390"/>
      <c r="EO611" s="1390"/>
      <c r="EP611" s="1390"/>
      <c r="EQ611" s="1391"/>
      <c r="ER611" s="1389" t="str">
        <f t="shared" si="21"/>
        <v/>
      </c>
      <c r="ES611" s="1390"/>
      <c r="ET611" s="1390"/>
      <c r="EU611" s="1390"/>
      <c r="EV611" s="1391"/>
      <c r="EW611" s="1389" t="str">
        <f t="shared" si="22"/>
        <v/>
      </c>
      <c r="EX611" s="1390"/>
      <c r="EY611" s="1390"/>
      <c r="EZ611" s="1390"/>
      <c r="FA611" s="1391"/>
    </row>
    <row r="612" spans="1:157" ht="13" customHeight="1">
      <c r="B612" t="s">
        <v>17</v>
      </c>
      <c r="G612" s="1460"/>
      <c r="H612" s="1460"/>
      <c r="I612" s="1460"/>
      <c r="J612" s="1460"/>
      <c r="K612" s="1460"/>
      <c r="L612" s="1460"/>
      <c r="M612" s="1460"/>
      <c r="N612" s="1460"/>
      <c r="O612" s="1460"/>
      <c r="P612" s="1460"/>
      <c r="Q612" s="1460"/>
      <c r="R612" s="1460"/>
      <c r="U612" t="s">
        <v>17</v>
      </c>
      <c r="Z612" s="1443"/>
      <c r="AA612" s="1443"/>
      <c r="AB612" s="1443"/>
      <c r="AC612" s="1443"/>
      <c r="AD612" s="1443"/>
      <c r="AE612" s="1443"/>
      <c r="AF612" s="1443"/>
      <c r="AG612" s="1443"/>
      <c r="AH612" s="1443"/>
      <c r="AI612" s="1443"/>
      <c r="AJ612" s="1443"/>
      <c r="AK612" s="1443"/>
      <c r="AZ612" s="3"/>
      <c r="BA612" s="3"/>
      <c r="BB612" s="3"/>
      <c r="BC612" s="3"/>
      <c r="BD612" s="3"/>
      <c r="BE612" s="1389">
        <f t="shared" si="1"/>
        <v>0</v>
      </c>
      <c r="BF612" s="1391"/>
      <c r="BG612" s="1398">
        <f t="shared" si="2"/>
        <v>0</v>
      </c>
      <c r="BH612" s="1399"/>
      <c r="BI612" s="1389">
        <f t="shared" si="3"/>
        <v>0</v>
      </c>
      <c r="BJ612" s="1391"/>
      <c r="BK612" s="1398">
        <f t="shared" si="4"/>
        <v>0</v>
      </c>
      <c r="BL612" s="1399"/>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89" t="str">
        <f t="shared" si="17"/>
        <v/>
      </c>
      <c r="DY612" s="1390"/>
      <c r="DZ612" s="1390"/>
      <c r="EA612" s="1390"/>
      <c r="EB612" s="1391"/>
      <c r="EC612" s="1389" t="str">
        <f t="shared" si="18"/>
        <v/>
      </c>
      <c r="ED612" s="1390"/>
      <c r="EE612" s="1390"/>
      <c r="EF612" s="1390"/>
      <c r="EG612" s="1391"/>
      <c r="EH612" s="1389" t="str">
        <f t="shared" si="19"/>
        <v/>
      </c>
      <c r="EI612" s="1390"/>
      <c r="EJ612" s="1390"/>
      <c r="EK612" s="1390"/>
      <c r="EL612" s="1391"/>
      <c r="EM612" s="1389" t="str">
        <f t="shared" si="20"/>
        <v/>
      </c>
      <c r="EN612" s="1390"/>
      <c r="EO612" s="1390"/>
      <c r="EP612" s="1390"/>
      <c r="EQ612" s="1391"/>
      <c r="ER612" s="1389" t="str">
        <f t="shared" si="21"/>
        <v/>
      </c>
      <c r="ES612" s="1390"/>
      <c r="ET612" s="1390"/>
      <c r="EU612" s="1390"/>
      <c r="EV612" s="1391"/>
      <c r="EW612" s="1389" t="str">
        <f t="shared" si="22"/>
        <v/>
      </c>
      <c r="EX612" s="1390"/>
      <c r="EY612" s="1390"/>
      <c r="EZ612" s="1390"/>
      <c r="FA612" s="1391"/>
    </row>
    <row r="613" spans="1:157" ht="13" customHeight="1">
      <c r="B613" t="s">
        <v>317</v>
      </c>
      <c r="G613" s="1475"/>
      <c r="H613" s="1475"/>
      <c r="I613" s="1475"/>
      <c r="J613" s="1475"/>
      <c r="K613" s="1475"/>
      <c r="L613" s="1475"/>
      <c r="O613" s="33" t="s">
        <v>207</v>
      </c>
      <c r="P613" s="1438"/>
      <c r="Q613" s="1438"/>
      <c r="R613" s="1438"/>
      <c r="U613" t="s">
        <v>317</v>
      </c>
      <c r="Z613" s="1475"/>
      <c r="AA613" s="1475"/>
      <c r="AB613" s="1475"/>
      <c r="AC613" s="1475"/>
      <c r="AD613" s="1475"/>
      <c r="AE613" s="1475"/>
      <c r="AH613" s="33" t="s">
        <v>207</v>
      </c>
      <c r="AI613" s="1438"/>
      <c r="AJ613" s="1438"/>
      <c r="AK613" s="1438"/>
      <c r="AZ613" s="3"/>
      <c r="BA613" s="3"/>
      <c r="BB613" s="3"/>
      <c r="BC613" s="3"/>
      <c r="BD613" s="3"/>
      <c r="BE613" s="1389">
        <f t="shared" si="1"/>
        <v>0</v>
      </c>
      <c r="BF613" s="1391"/>
      <c r="BG613" s="1398">
        <f t="shared" si="2"/>
        <v>0</v>
      </c>
      <c r="BH613" s="1399"/>
      <c r="BI613" s="1389">
        <f t="shared" si="3"/>
        <v>0</v>
      </c>
      <c r="BJ613" s="1391"/>
      <c r="BK613" s="1398">
        <f t="shared" si="4"/>
        <v>0</v>
      </c>
      <c r="BL613" s="1399"/>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89" t="str">
        <f t="shared" si="17"/>
        <v/>
      </c>
      <c r="DY613" s="1390"/>
      <c r="DZ613" s="1390"/>
      <c r="EA613" s="1390"/>
      <c r="EB613" s="1391"/>
      <c r="EC613" s="1389" t="str">
        <f t="shared" si="18"/>
        <v/>
      </c>
      <c r="ED613" s="1390"/>
      <c r="EE613" s="1390"/>
      <c r="EF613" s="1390"/>
      <c r="EG613" s="1391"/>
      <c r="EH613" s="1389" t="str">
        <f t="shared" si="19"/>
        <v/>
      </c>
      <c r="EI613" s="1390"/>
      <c r="EJ613" s="1390"/>
      <c r="EK613" s="1390"/>
      <c r="EL613" s="1391"/>
      <c r="EM613" s="1389" t="str">
        <f t="shared" si="20"/>
        <v/>
      </c>
      <c r="EN613" s="1390"/>
      <c r="EO613" s="1390"/>
      <c r="EP613" s="1390"/>
      <c r="EQ613" s="1391"/>
      <c r="ER613" s="1389" t="str">
        <f t="shared" si="21"/>
        <v/>
      </c>
      <c r="ES613" s="1390"/>
      <c r="ET613" s="1390"/>
      <c r="EU613" s="1390"/>
      <c r="EV613" s="1391"/>
      <c r="EW613" s="1389" t="str">
        <f t="shared" si="22"/>
        <v/>
      </c>
      <c r="EX613" s="1390"/>
      <c r="EY613" s="1390"/>
      <c r="EZ613" s="1390"/>
      <c r="FA613" s="1391"/>
    </row>
    <row r="614" spans="1:157" ht="13" customHeight="1">
      <c r="B614" t="s">
        <v>18</v>
      </c>
      <c r="H614" s="1460"/>
      <c r="I614" s="1460"/>
      <c r="J614" s="1460"/>
      <c r="K614" s="1460"/>
      <c r="L614" s="1460"/>
      <c r="M614" s="1460"/>
      <c r="N614" s="1460"/>
      <c r="O614" s="1460"/>
      <c r="P614" s="1460"/>
      <c r="Q614" s="1460"/>
      <c r="R614" s="1460"/>
      <c r="U614" t="s">
        <v>18</v>
      </c>
      <c r="AA614" s="1460"/>
      <c r="AB614" s="1460"/>
      <c r="AC614" s="1460"/>
      <c r="AD614" s="1460"/>
      <c r="AE614" s="1460"/>
      <c r="AF614" s="1460"/>
      <c r="AG614" s="1460"/>
      <c r="AH614" s="1460"/>
      <c r="AI614" s="1460"/>
      <c r="AJ614" s="1460"/>
      <c r="AK614" s="1460"/>
      <c r="AU614" s="934"/>
      <c r="AV614" s="934"/>
      <c r="AW614" s="934"/>
      <c r="AX614" s="934"/>
      <c r="AY614" s="934"/>
      <c r="AZ614" s="3"/>
      <c r="BA614" s="3"/>
      <c r="BB614" s="3"/>
      <c r="BC614" s="3"/>
      <c r="BD614" s="3"/>
      <c r="BE614" s="1389">
        <f t="shared" si="1"/>
        <v>0</v>
      </c>
      <c r="BF614" s="1391"/>
      <c r="BG614" s="1398">
        <f t="shared" si="2"/>
        <v>0</v>
      </c>
      <c r="BH614" s="1399"/>
      <c r="BI614" s="1389">
        <f t="shared" si="3"/>
        <v>0</v>
      </c>
      <c r="BJ614" s="1391"/>
      <c r="BK614" s="1398">
        <f t="shared" si="4"/>
        <v>0</v>
      </c>
      <c r="BL614" s="1399"/>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89" t="str">
        <f t="shared" si="17"/>
        <v/>
      </c>
      <c r="DY614" s="1390"/>
      <c r="DZ614" s="1390"/>
      <c r="EA614" s="1390"/>
      <c r="EB614" s="1391"/>
      <c r="EC614" s="1389" t="str">
        <f t="shared" si="18"/>
        <v/>
      </c>
      <c r="ED614" s="1390"/>
      <c r="EE614" s="1390"/>
      <c r="EF614" s="1390"/>
      <c r="EG614" s="1391"/>
      <c r="EH614" s="1389" t="str">
        <f t="shared" si="19"/>
        <v/>
      </c>
      <c r="EI614" s="1390"/>
      <c r="EJ614" s="1390"/>
      <c r="EK614" s="1390"/>
      <c r="EL614" s="1391"/>
      <c r="EM614" s="1389" t="str">
        <f t="shared" si="20"/>
        <v/>
      </c>
      <c r="EN614" s="1390"/>
      <c r="EO614" s="1390"/>
      <c r="EP614" s="1390"/>
      <c r="EQ614" s="1391"/>
      <c r="ER614" s="1389" t="str">
        <f t="shared" si="21"/>
        <v/>
      </c>
      <c r="ES614" s="1390"/>
      <c r="ET614" s="1390"/>
      <c r="EU614" s="1390"/>
      <c r="EV614" s="1391"/>
      <c r="EW614" s="1389" t="str">
        <f t="shared" si="22"/>
        <v/>
      </c>
      <c r="EX614" s="1390"/>
      <c r="EY614" s="1390"/>
      <c r="EZ614" s="1390"/>
      <c r="FA614" s="1391"/>
    </row>
    <row r="615" spans="1:157" ht="13" customHeight="1">
      <c r="B615" t="s">
        <v>20</v>
      </c>
      <c r="N615" s="1437" t="s">
        <v>677</v>
      </c>
      <c r="O615" s="1437"/>
      <c r="U615" t="s">
        <v>20</v>
      </c>
      <c r="AG615" s="1437" t="s">
        <v>677</v>
      </c>
      <c r="AH615" s="1437"/>
      <c r="AU615" s="934"/>
      <c r="AV615" s="934"/>
      <c r="AW615" s="934"/>
      <c r="AX615" s="934"/>
      <c r="AY615" s="934"/>
      <c r="AZ615" s="3"/>
      <c r="BA615" s="3"/>
      <c r="BB615" s="3"/>
      <c r="BC615" s="3"/>
      <c r="BD615" s="3"/>
      <c r="BE615" s="1389">
        <f t="shared" si="1"/>
        <v>0</v>
      </c>
      <c r="BF615" s="1391"/>
      <c r="BG615" s="1398">
        <f t="shared" si="2"/>
        <v>0</v>
      </c>
      <c r="BH615" s="1399"/>
      <c r="BI615" s="1389">
        <f t="shared" si="3"/>
        <v>0</v>
      </c>
      <c r="BJ615" s="1391"/>
      <c r="BK615" s="1398">
        <f t="shared" si="4"/>
        <v>0</v>
      </c>
      <c r="BL615" s="1399"/>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89" t="str">
        <f t="shared" si="17"/>
        <v/>
      </c>
      <c r="DY615" s="1390"/>
      <c r="DZ615" s="1390"/>
      <c r="EA615" s="1390"/>
      <c r="EB615" s="1391"/>
      <c r="EC615" s="1389" t="str">
        <f t="shared" si="18"/>
        <v/>
      </c>
      <c r="ED615" s="1390"/>
      <c r="EE615" s="1390"/>
      <c r="EF615" s="1390"/>
      <c r="EG615" s="1391"/>
      <c r="EH615" s="1389" t="str">
        <f t="shared" si="19"/>
        <v/>
      </c>
      <c r="EI615" s="1390"/>
      <c r="EJ615" s="1390"/>
      <c r="EK615" s="1390"/>
      <c r="EL615" s="1391"/>
      <c r="EM615" s="1389" t="str">
        <f t="shared" si="20"/>
        <v/>
      </c>
      <c r="EN615" s="1390"/>
      <c r="EO615" s="1390"/>
      <c r="EP615" s="1390"/>
      <c r="EQ615" s="1391"/>
      <c r="ER615" s="1389" t="str">
        <f t="shared" si="21"/>
        <v/>
      </c>
      <c r="ES615" s="1390"/>
      <c r="ET615" s="1390"/>
      <c r="EU615" s="1390"/>
      <c r="EV615" s="1391"/>
      <c r="EW615" s="1389" t="str">
        <f t="shared" si="22"/>
        <v/>
      </c>
      <c r="EX615" s="1390"/>
      <c r="EY615" s="1390"/>
      <c r="EZ615" s="1390"/>
      <c r="FA615" s="1391"/>
    </row>
    <row r="616" spans="1:157" ht="13" customHeight="1">
      <c r="AZ616" s="3"/>
      <c r="BA616" s="3"/>
      <c r="BB616" s="3"/>
      <c r="BC616" s="3"/>
      <c r="BD616" s="3"/>
      <c r="BE616" s="1389">
        <f t="shared" si="1"/>
        <v>0</v>
      </c>
      <c r="BF616" s="1391"/>
      <c r="BG616" s="1398">
        <f t="shared" si="2"/>
        <v>0</v>
      </c>
      <c r="BH616" s="1399"/>
      <c r="BI616" s="1389">
        <f t="shared" si="3"/>
        <v>0</v>
      </c>
      <c r="BJ616" s="1391"/>
      <c r="BK616" s="1398">
        <f t="shared" si="4"/>
        <v>0</v>
      </c>
      <c r="BL616" s="1399"/>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89" t="str">
        <f t="shared" si="17"/>
        <v/>
      </c>
      <c r="DY616" s="1390"/>
      <c r="DZ616" s="1390"/>
      <c r="EA616" s="1390"/>
      <c r="EB616" s="1391"/>
      <c r="EC616" s="1389" t="str">
        <f t="shared" si="18"/>
        <v/>
      </c>
      <c r="ED616" s="1390"/>
      <c r="EE616" s="1390"/>
      <c r="EF616" s="1390"/>
      <c r="EG616" s="1391"/>
      <c r="EH616" s="1389" t="str">
        <f t="shared" si="19"/>
        <v/>
      </c>
      <c r="EI616" s="1390"/>
      <c r="EJ616" s="1390"/>
      <c r="EK616" s="1390"/>
      <c r="EL616" s="1391"/>
      <c r="EM616" s="1389" t="str">
        <f t="shared" si="20"/>
        <v/>
      </c>
      <c r="EN616" s="1390"/>
      <c r="EO616" s="1390"/>
      <c r="EP616" s="1390"/>
      <c r="EQ616" s="1391"/>
      <c r="ER616" s="1389" t="str">
        <f t="shared" si="21"/>
        <v/>
      </c>
      <c r="ES616" s="1390"/>
      <c r="ET616" s="1390"/>
      <c r="EU616" s="1390"/>
      <c r="EV616" s="1391"/>
      <c r="EW616" s="1389" t="str">
        <f t="shared" si="22"/>
        <v/>
      </c>
      <c r="EX616" s="1390"/>
      <c r="EY616" s="1390"/>
      <c r="EZ616" s="1390"/>
      <c r="FA616" s="1391"/>
    </row>
    <row r="617" spans="1:157" ht="13" customHeight="1">
      <c r="A617" s="1276" t="s">
        <v>552</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89">
        <f t="shared" si="1"/>
        <v>0</v>
      </c>
      <c r="BF617" s="1391"/>
      <c r="BG617" s="1398">
        <f t="shared" si="2"/>
        <v>0</v>
      </c>
      <c r="BH617" s="1399"/>
      <c r="BI617" s="1389">
        <f t="shared" si="3"/>
        <v>0</v>
      </c>
      <c r="BJ617" s="1391"/>
      <c r="BK617" s="1398">
        <f t="shared" si="4"/>
        <v>0</v>
      </c>
      <c r="BL617" s="1399"/>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89" t="str">
        <f t="shared" si="17"/>
        <v/>
      </c>
      <c r="DY617" s="1390"/>
      <c r="DZ617" s="1390"/>
      <c r="EA617" s="1390"/>
      <c r="EB617" s="1391"/>
      <c r="EC617" s="1389" t="str">
        <f t="shared" si="18"/>
        <v/>
      </c>
      <c r="ED617" s="1390"/>
      <c r="EE617" s="1390"/>
      <c r="EF617" s="1390"/>
      <c r="EG617" s="1391"/>
      <c r="EH617" s="1389" t="str">
        <f t="shared" si="19"/>
        <v/>
      </c>
      <c r="EI617" s="1390"/>
      <c r="EJ617" s="1390"/>
      <c r="EK617" s="1390"/>
      <c r="EL617" s="1391"/>
      <c r="EM617" s="1389" t="str">
        <f t="shared" si="20"/>
        <v/>
      </c>
      <c r="EN617" s="1390"/>
      <c r="EO617" s="1390"/>
      <c r="EP617" s="1390"/>
      <c r="EQ617" s="1391"/>
      <c r="ER617" s="1389" t="str">
        <f t="shared" si="21"/>
        <v/>
      </c>
      <c r="ES617" s="1390"/>
      <c r="ET617" s="1390"/>
      <c r="EU617" s="1390"/>
      <c r="EV617" s="1391"/>
      <c r="EW617" s="1389" t="str">
        <f t="shared" si="22"/>
        <v/>
      </c>
      <c r="EX617" s="1390"/>
      <c r="EY617" s="1390"/>
      <c r="EZ617" s="1390"/>
      <c r="FA617" s="1391"/>
    </row>
    <row r="618" spans="1:157" ht="13"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89">
        <f t="shared" si="1"/>
        <v>0</v>
      </c>
      <c r="BF618" s="1391"/>
      <c r="BG618" s="1398">
        <f t="shared" si="2"/>
        <v>0</v>
      </c>
      <c r="BH618" s="1399"/>
      <c r="BI618" s="1389">
        <f t="shared" si="3"/>
        <v>0</v>
      </c>
      <c r="BJ618" s="1391"/>
      <c r="BK618" s="1398">
        <f t="shared" si="4"/>
        <v>0</v>
      </c>
      <c r="BL618" s="1399"/>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89" t="str">
        <f t="shared" si="17"/>
        <v/>
      </c>
      <c r="DY618" s="1390"/>
      <c r="DZ618" s="1390"/>
      <c r="EA618" s="1390"/>
      <c r="EB618" s="1391"/>
      <c r="EC618" s="1389" t="str">
        <f t="shared" si="18"/>
        <v/>
      </c>
      <c r="ED618" s="1390"/>
      <c r="EE618" s="1390"/>
      <c r="EF618" s="1390"/>
      <c r="EG618" s="1391"/>
      <c r="EH618" s="1389" t="str">
        <f t="shared" si="19"/>
        <v/>
      </c>
      <c r="EI618" s="1390"/>
      <c r="EJ618" s="1390"/>
      <c r="EK618" s="1390"/>
      <c r="EL618" s="1391"/>
      <c r="EM618" s="1389" t="str">
        <f t="shared" si="20"/>
        <v/>
      </c>
      <c r="EN618" s="1390"/>
      <c r="EO618" s="1390"/>
      <c r="EP618" s="1390"/>
      <c r="EQ618" s="1391"/>
      <c r="ER618" s="1389" t="str">
        <f t="shared" si="21"/>
        <v/>
      </c>
      <c r="ES618" s="1390"/>
      <c r="ET618" s="1390"/>
      <c r="EU618" s="1390"/>
      <c r="EV618" s="1391"/>
      <c r="EW618" s="1389" t="str">
        <f t="shared" si="22"/>
        <v/>
      </c>
      <c r="EX618" s="1390"/>
      <c r="EY618" s="1390"/>
      <c r="EZ618" s="1390"/>
      <c r="FA618" s="1391"/>
    </row>
    <row r="619" spans="1:157" ht="13" customHeight="1">
      <c r="AZ619" s="3"/>
      <c r="BA619" s="3"/>
      <c r="BB619" s="3"/>
      <c r="BC619" s="3"/>
      <c r="BD619" s="3"/>
      <c r="BE619" s="1389">
        <f t="shared" si="1"/>
        <v>0</v>
      </c>
      <c r="BF619" s="1391"/>
      <c r="BG619" s="1398">
        <f t="shared" si="2"/>
        <v>0</v>
      </c>
      <c r="BH619" s="1399"/>
      <c r="BI619" s="1389">
        <f t="shared" si="3"/>
        <v>0</v>
      </c>
      <c r="BJ619" s="1391"/>
      <c r="BK619" s="1398">
        <f t="shared" si="4"/>
        <v>0</v>
      </c>
      <c r="BL619" s="1399"/>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89" t="str">
        <f t="shared" si="17"/>
        <v/>
      </c>
      <c r="DY619" s="1390"/>
      <c r="DZ619" s="1390"/>
      <c r="EA619" s="1390"/>
      <c r="EB619" s="1391"/>
      <c r="EC619" s="1389" t="str">
        <f t="shared" si="18"/>
        <v/>
      </c>
      <c r="ED619" s="1390"/>
      <c r="EE619" s="1390"/>
      <c r="EF619" s="1390"/>
      <c r="EG619" s="1391"/>
      <c r="EH619" s="1389" t="str">
        <f t="shared" si="19"/>
        <v/>
      </c>
      <c r="EI619" s="1390"/>
      <c r="EJ619" s="1390"/>
      <c r="EK619" s="1390"/>
      <c r="EL619" s="1391"/>
      <c r="EM619" s="1389" t="str">
        <f t="shared" si="20"/>
        <v/>
      </c>
      <c r="EN619" s="1390"/>
      <c r="EO619" s="1390"/>
      <c r="EP619" s="1390"/>
      <c r="EQ619" s="1391"/>
      <c r="ER619" s="1389" t="str">
        <f t="shared" si="21"/>
        <v/>
      </c>
      <c r="ES619" s="1390"/>
      <c r="ET619" s="1390"/>
      <c r="EU619" s="1390"/>
      <c r="EV619" s="1391"/>
      <c r="EW619" s="1389" t="str">
        <f t="shared" si="22"/>
        <v/>
      </c>
      <c r="EX619" s="1390"/>
      <c r="EY619" s="1390"/>
      <c r="EZ619" s="1390"/>
      <c r="FA619" s="1391"/>
    </row>
    <row r="620" spans="1:157" ht="13" customHeight="1">
      <c r="A620" s="2" t="s">
        <v>320</v>
      </c>
      <c r="B620" s="2"/>
      <c r="C620" s="2" t="s">
        <v>21</v>
      </c>
      <c r="AZ620" s="3"/>
      <c r="BA620" s="3"/>
      <c r="BB620" s="3"/>
      <c r="BC620" s="3"/>
      <c r="BD620" s="3"/>
      <c r="BE620" s="1389">
        <f t="shared" si="1"/>
        <v>0</v>
      </c>
      <c r="BF620" s="1391"/>
      <c r="BG620" s="1398">
        <f t="shared" si="2"/>
        <v>0</v>
      </c>
      <c r="BH620" s="1399"/>
      <c r="BI620" s="1389">
        <f t="shared" si="3"/>
        <v>0</v>
      </c>
      <c r="BJ620" s="1391"/>
      <c r="BK620" s="1398">
        <f t="shared" si="4"/>
        <v>0</v>
      </c>
      <c r="BL620" s="1399"/>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89" t="str">
        <f t="shared" si="17"/>
        <v/>
      </c>
      <c r="DY620" s="1390"/>
      <c r="DZ620" s="1390"/>
      <c r="EA620" s="1390"/>
      <c r="EB620" s="1391"/>
      <c r="EC620" s="1389" t="str">
        <f t="shared" si="18"/>
        <v/>
      </c>
      <c r="ED620" s="1390"/>
      <c r="EE620" s="1390"/>
      <c r="EF620" s="1390"/>
      <c r="EG620" s="1391"/>
      <c r="EH620" s="1389" t="str">
        <f t="shared" si="19"/>
        <v/>
      </c>
      <c r="EI620" s="1390"/>
      <c r="EJ620" s="1390"/>
      <c r="EK620" s="1390"/>
      <c r="EL620" s="1391"/>
      <c r="EM620" s="1389" t="str">
        <f t="shared" si="20"/>
        <v/>
      </c>
      <c r="EN620" s="1390"/>
      <c r="EO620" s="1390"/>
      <c r="EP620" s="1390"/>
      <c r="EQ620" s="1391"/>
      <c r="ER620" s="1389" t="str">
        <f t="shared" si="21"/>
        <v/>
      </c>
      <c r="ES620" s="1390"/>
      <c r="ET620" s="1390"/>
      <c r="EU620" s="1390"/>
      <c r="EV620" s="1391"/>
      <c r="EW620" s="1389" t="str">
        <f t="shared" si="22"/>
        <v/>
      </c>
      <c r="EX620" s="1390"/>
      <c r="EY620" s="1390"/>
      <c r="EZ620" s="1390"/>
      <c r="FA620" s="1391"/>
    </row>
    <row r="621" spans="1:157" ht="13" customHeight="1">
      <c r="A621" s="2"/>
      <c r="B621" s="2"/>
      <c r="C621" s="2"/>
      <c r="AZ621" s="3"/>
      <c r="BA621" s="3"/>
      <c r="BB621" s="3"/>
      <c r="BC621" s="3"/>
      <c r="BD621" s="3"/>
      <c r="BE621" s="1389">
        <f t="shared" si="1"/>
        <v>0</v>
      </c>
      <c r="BF621" s="1391"/>
      <c r="BG621" s="1398">
        <f t="shared" si="2"/>
        <v>0</v>
      </c>
      <c r="BH621" s="1399"/>
      <c r="BI621" s="1389">
        <f t="shared" si="3"/>
        <v>0</v>
      </c>
      <c r="BJ621" s="1391"/>
      <c r="BK621" s="1398">
        <f t="shared" si="4"/>
        <v>0</v>
      </c>
      <c r="BL621" s="1399"/>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89" t="str">
        <f t="shared" si="17"/>
        <v/>
      </c>
      <c r="DY621" s="1390"/>
      <c r="DZ621" s="1390"/>
      <c r="EA621" s="1390"/>
      <c r="EB621" s="1391"/>
      <c r="EC621" s="1389" t="str">
        <f t="shared" si="18"/>
        <v/>
      </c>
      <c r="ED621" s="1390"/>
      <c r="EE621" s="1390"/>
      <c r="EF621" s="1390"/>
      <c r="EG621" s="1391"/>
      <c r="EH621" s="1389" t="str">
        <f t="shared" si="19"/>
        <v/>
      </c>
      <c r="EI621" s="1390"/>
      <c r="EJ621" s="1390"/>
      <c r="EK621" s="1390"/>
      <c r="EL621" s="1391"/>
      <c r="EM621" s="1389" t="str">
        <f t="shared" si="20"/>
        <v/>
      </c>
      <c r="EN621" s="1390"/>
      <c r="EO621" s="1390"/>
      <c r="EP621" s="1390"/>
      <c r="EQ621" s="1391"/>
      <c r="ER621" s="1389" t="str">
        <f t="shared" si="21"/>
        <v/>
      </c>
      <c r="ES621" s="1390"/>
      <c r="ET621" s="1390"/>
      <c r="EU621" s="1390"/>
      <c r="EV621" s="1391"/>
      <c r="EW621" s="1389" t="str">
        <f t="shared" si="22"/>
        <v/>
      </c>
      <c r="EX621" s="1390"/>
      <c r="EY621" s="1390"/>
      <c r="EZ621" s="1390"/>
      <c r="FA621" s="1391"/>
    </row>
    <row r="622" spans="1:157" ht="13" customHeight="1">
      <c r="C622" s="2" t="s">
        <v>2418</v>
      </c>
      <c r="AZ622" s="3"/>
      <c r="BA622" s="3"/>
      <c r="BB622" s="3"/>
      <c r="BC622" s="3"/>
      <c r="BD622" s="3"/>
      <c r="BE622" s="1389">
        <f t="shared" si="1"/>
        <v>0</v>
      </c>
      <c r="BF622" s="1391"/>
      <c r="BG622" s="1398">
        <f t="shared" si="2"/>
        <v>0</v>
      </c>
      <c r="BH622" s="1399"/>
      <c r="BI622" s="1389">
        <f t="shared" si="3"/>
        <v>0</v>
      </c>
      <c r="BJ622" s="1391"/>
      <c r="BK622" s="1398">
        <f t="shared" si="4"/>
        <v>0</v>
      </c>
      <c r="BL622" s="1399"/>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89" t="str">
        <f t="shared" si="17"/>
        <v/>
      </c>
      <c r="DY622" s="1390"/>
      <c r="DZ622" s="1390"/>
      <c r="EA622" s="1390"/>
      <c r="EB622" s="1391"/>
      <c r="EC622" s="1389" t="str">
        <f t="shared" si="18"/>
        <v/>
      </c>
      <c r="ED622" s="1390"/>
      <c r="EE622" s="1390"/>
      <c r="EF622" s="1390"/>
      <c r="EG622" s="1391"/>
      <c r="EH622" s="1389" t="str">
        <f t="shared" si="19"/>
        <v/>
      </c>
      <c r="EI622" s="1390"/>
      <c r="EJ622" s="1390"/>
      <c r="EK622" s="1390"/>
      <c r="EL622" s="1391"/>
      <c r="EM622" s="1389" t="str">
        <f t="shared" si="20"/>
        <v/>
      </c>
      <c r="EN622" s="1390"/>
      <c r="EO622" s="1390"/>
      <c r="EP622" s="1390"/>
      <c r="EQ622" s="1391"/>
      <c r="ER622" s="1389" t="str">
        <f t="shared" si="21"/>
        <v/>
      </c>
      <c r="ES622" s="1390"/>
      <c r="ET622" s="1390"/>
      <c r="EU622" s="1390"/>
      <c r="EV622" s="1391"/>
      <c r="EW622" s="1389" t="str">
        <f t="shared" si="22"/>
        <v/>
      </c>
      <c r="EX622" s="1390"/>
      <c r="EY622" s="1390"/>
      <c r="EZ622" s="1390"/>
      <c r="FA622" s="1391"/>
    </row>
    <row r="623" spans="1:157" ht="13" customHeight="1">
      <c r="B623" s="546"/>
      <c r="C623" s="2"/>
      <c r="AU623" s="3"/>
      <c r="AZ623" s="3"/>
      <c r="BA623" s="3"/>
      <c r="BB623" s="3"/>
      <c r="BC623" s="3"/>
      <c r="BD623" s="3"/>
      <c r="BE623" s="1389">
        <f t="shared" si="1"/>
        <v>0</v>
      </c>
      <c r="BF623" s="1391"/>
      <c r="BG623" s="1398">
        <f t="shared" si="2"/>
        <v>0</v>
      </c>
      <c r="BH623" s="1399"/>
      <c r="BI623" s="1389">
        <f t="shared" si="3"/>
        <v>0</v>
      </c>
      <c r="BJ623" s="1391"/>
      <c r="BK623" s="1398">
        <f t="shared" si="4"/>
        <v>0</v>
      </c>
      <c r="BL623" s="1399"/>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89" t="str">
        <f t="shared" si="17"/>
        <v/>
      </c>
      <c r="DY623" s="1390"/>
      <c r="DZ623" s="1390"/>
      <c r="EA623" s="1390"/>
      <c r="EB623" s="1391"/>
      <c r="EC623" s="1389" t="str">
        <f t="shared" si="18"/>
        <v/>
      </c>
      <c r="ED623" s="1390"/>
      <c r="EE623" s="1390"/>
      <c r="EF623" s="1390"/>
      <c r="EG623" s="1391"/>
      <c r="EH623" s="1389" t="str">
        <f t="shared" si="19"/>
        <v/>
      </c>
      <c r="EI623" s="1390"/>
      <c r="EJ623" s="1390"/>
      <c r="EK623" s="1390"/>
      <c r="EL623" s="1391"/>
      <c r="EM623" s="1389" t="str">
        <f t="shared" si="20"/>
        <v/>
      </c>
      <c r="EN623" s="1390"/>
      <c r="EO623" s="1390"/>
      <c r="EP623" s="1390"/>
      <c r="EQ623" s="1391"/>
      <c r="ER623" s="1389" t="str">
        <f t="shared" si="21"/>
        <v/>
      </c>
      <c r="ES623" s="1390"/>
      <c r="ET623" s="1390"/>
      <c r="EU623" s="1390"/>
      <c r="EV623" s="1391"/>
      <c r="EW623" s="1389" t="str">
        <f t="shared" si="22"/>
        <v/>
      </c>
      <c r="EX623" s="1390"/>
      <c r="EY623" s="1390"/>
      <c r="EZ623" s="1390"/>
      <c r="FA623" s="1391"/>
    </row>
    <row r="624" spans="1:157" ht="13" customHeight="1">
      <c r="B624" s="1701" t="s">
        <v>2420</v>
      </c>
      <c r="C624" s="1701"/>
      <c r="D624" s="1701"/>
      <c r="E624" s="1701"/>
      <c r="F624" s="1701"/>
      <c r="G624" s="1701"/>
      <c r="H624" s="1701"/>
      <c r="I624" s="1701"/>
      <c r="J624" s="1701"/>
      <c r="K624" s="1701"/>
      <c r="L624" s="1701"/>
      <c r="M624" s="1699" t="s">
        <v>2421</v>
      </c>
      <c r="N624" s="1699"/>
      <c r="O624" s="1699"/>
      <c r="P624" s="1699"/>
      <c r="Q624" s="1699" t="s">
        <v>2042</v>
      </c>
      <c r="R624" s="1699"/>
      <c r="S624" s="1699"/>
      <c r="T624" s="1699" t="s">
        <v>2040</v>
      </c>
      <c r="U624" s="1699"/>
      <c r="V624" s="1699"/>
      <c r="W624" s="1837" t="s">
        <v>461</v>
      </c>
      <c r="X624" s="1837"/>
      <c r="Y624" s="1837"/>
      <c r="Z624" s="1401" t="s">
        <v>2450</v>
      </c>
      <c r="AA624" s="1401"/>
      <c r="AB624" s="1402"/>
      <c r="AC624" s="1828" t="s">
        <v>1863</v>
      </c>
      <c r="AD624" s="1829"/>
      <c r="AE624" s="1830"/>
      <c r="AF624" s="1400" t="s">
        <v>2229</v>
      </c>
      <c r="AG624" s="1401"/>
      <c r="AH624" s="1401"/>
      <c r="AI624" s="1401"/>
      <c r="AJ624" s="1402"/>
      <c r="AK624" s="1838" t="s">
        <v>2230</v>
      </c>
      <c r="AL624" s="1839"/>
      <c r="AM624" s="1839"/>
      <c r="AN624" s="1840"/>
      <c r="AO624" s="1699" t="s">
        <v>462</v>
      </c>
      <c r="AP624" s="1699"/>
      <c r="AQ624" s="1699"/>
      <c r="AR624" s="1699"/>
      <c r="AS624" s="1699"/>
      <c r="AU624" s="3"/>
      <c r="AZ624" s="3"/>
      <c r="BA624" s="3"/>
      <c r="BB624" s="3"/>
      <c r="BC624" s="3"/>
      <c r="BD624" s="3"/>
      <c r="BE624" s="1389">
        <f t="shared" si="1"/>
        <v>0</v>
      </c>
      <c r="BF624" s="1391"/>
      <c r="BG624" s="1398">
        <f t="shared" si="2"/>
        <v>0</v>
      </c>
      <c r="BH624" s="1399"/>
      <c r="BI624" s="1389">
        <f t="shared" si="3"/>
        <v>0</v>
      </c>
      <c r="BJ624" s="1391"/>
      <c r="BK624" s="1398">
        <f t="shared" si="4"/>
        <v>0</v>
      </c>
      <c r="BL624" s="1399"/>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89" t="str">
        <f t="shared" si="17"/>
        <v/>
      </c>
      <c r="DY624" s="1390"/>
      <c r="DZ624" s="1390"/>
      <c r="EA624" s="1390"/>
      <c r="EB624" s="1391"/>
      <c r="EC624" s="1389" t="str">
        <f t="shared" si="18"/>
        <v/>
      </c>
      <c r="ED624" s="1390"/>
      <c r="EE624" s="1390"/>
      <c r="EF624" s="1390"/>
      <c r="EG624" s="1391"/>
      <c r="EH624" s="1389" t="str">
        <f t="shared" si="19"/>
        <v/>
      </c>
      <c r="EI624" s="1390"/>
      <c r="EJ624" s="1390"/>
      <c r="EK624" s="1390"/>
      <c r="EL624" s="1391"/>
      <c r="EM624" s="1389" t="str">
        <f t="shared" si="20"/>
        <v/>
      </c>
      <c r="EN624" s="1390"/>
      <c r="EO624" s="1390"/>
      <c r="EP624" s="1390"/>
      <c r="EQ624" s="1391"/>
      <c r="ER624" s="1389" t="str">
        <f t="shared" si="21"/>
        <v/>
      </c>
      <c r="ES624" s="1390"/>
      <c r="ET624" s="1390"/>
      <c r="EU624" s="1390"/>
      <c r="EV624" s="1391"/>
      <c r="EW624" s="1389" t="str">
        <f t="shared" si="22"/>
        <v/>
      </c>
      <c r="EX624" s="1390"/>
      <c r="EY624" s="1390"/>
      <c r="EZ624" s="1390"/>
      <c r="FA624" s="1391"/>
    </row>
    <row r="625" spans="2:157" ht="13" customHeight="1">
      <c r="B625" s="1701"/>
      <c r="C625" s="1701"/>
      <c r="D625" s="1701"/>
      <c r="E625" s="1701"/>
      <c r="F625" s="1701"/>
      <c r="G625" s="1701"/>
      <c r="H625" s="1701"/>
      <c r="I625" s="1701"/>
      <c r="J625" s="1701"/>
      <c r="K625" s="1701"/>
      <c r="L625" s="1701"/>
      <c r="M625" s="1699"/>
      <c r="N625" s="1699"/>
      <c r="O625" s="1699"/>
      <c r="P625" s="1699"/>
      <c r="Q625" s="1699"/>
      <c r="R625" s="1699"/>
      <c r="S625" s="1699"/>
      <c r="T625" s="1699"/>
      <c r="U625" s="1699"/>
      <c r="V625" s="1699"/>
      <c r="W625" s="1837"/>
      <c r="X625" s="1837"/>
      <c r="Y625" s="1837"/>
      <c r="Z625" s="1404"/>
      <c r="AA625" s="1404"/>
      <c r="AB625" s="1405"/>
      <c r="AC625" s="1831"/>
      <c r="AD625" s="1832"/>
      <c r="AE625" s="1833"/>
      <c r="AF625" s="1403"/>
      <c r="AG625" s="1404"/>
      <c r="AH625" s="1404"/>
      <c r="AI625" s="1404"/>
      <c r="AJ625" s="1405"/>
      <c r="AK625" s="1841"/>
      <c r="AL625" s="1842"/>
      <c r="AM625" s="1842"/>
      <c r="AN625" s="1843"/>
      <c r="AO625" s="1699"/>
      <c r="AP625" s="1699"/>
      <c r="AQ625" s="1699"/>
      <c r="AR625" s="1699"/>
      <c r="AS625" s="1699"/>
      <c r="AU625" s="3"/>
      <c r="AZ625" s="3"/>
      <c r="BA625" s="3"/>
      <c r="BB625" s="3"/>
      <c r="BC625" s="3"/>
      <c r="BD625" s="3"/>
      <c r="BE625" s="1389">
        <f t="shared" si="1"/>
        <v>0</v>
      </c>
      <c r="BF625" s="1391"/>
      <c r="BG625" s="1398">
        <f t="shared" si="2"/>
        <v>0</v>
      </c>
      <c r="BH625" s="1399"/>
      <c r="BI625" s="1389">
        <f t="shared" si="3"/>
        <v>0</v>
      </c>
      <c r="BJ625" s="1391"/>
      <c r="BK625" s="1398">
        <f t="shared" si="4"/>
        <v>0</v>
      </c>
      <c r="BL625" s="1399"/>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89" t="str">
        <f t="shared" si="17"/>
        <v/>
      </c>
      <c r="DY625" s="1390"/>
      <c r="DZ625" s="1390"/>
      <c r="EA625" s="1390"/>
      <c r="EB625" s="1391"/>
      <c r="EC625" s="1389" t="str">
        <f t="shared" si="18"/>
        <v/>
      </c>
      <c r="ED625" s="1390"/>
      <c r="EE625" s="1390"/>
      <c r="EF625" s="1390"/>
      <c r="EG625" s="1391"/>
      <c r="EH625" s="1389" t="str">
        <f t="shared" si="19"/>
        <v/>
      </c>
      <c r="EI625" s="1390"/>
      <c r="EJ625" s="1390"/>
      <c r="EK625" s="1390"/>
      <c r="EL625" s="1391"/>
      <c r="EM625" s="1389" t="str">
        <f t="shared" si="20"/>
        <v/>
      </c>
      <c r="EN625" s="1390"/>
      <c r="EO625" s="1390"/>
      <c r="EP625" s="1390"/>
      <c r="EQ625" s="1391"/>
      <c r="ER625" s="1389" t="str">
        <f t="shared" si="21"/>
        <v/>
      </c>
      <c r="ES625" s="1390"/>
      <c r="ET625" s="1390"/>
      <c r="EU625" s="1390"/>
      <c r="EV625" s="1391"/>
      <c r="EW625" s="1389" t="str">
        <f t="shared" si="22"/>
        <v/>
      </c>
      <c r="EX625" s="1390"/>
      <c r="EY625" s="1390"/>
      <c r="EZ625" s="1390"/>
      <c r="FA625" s="1391"/>
    </row>
    <row r="626" spans="2:157" ht="13" customHeight="1">
      <c r="B626" s="1701"/>
      <c r="C626" s="1701"/>
      <c r="D626" s="1701"/>
      <c r="E626" s="1701"/>
      <c r="F626" s="1701"/>
      <c r="G626" s="1701"/>
      <c r="H626" s="1701"/>
      <c r="I626" s="1701"/>
      <c r="J626" s="1701"/>
      <c r="K626" s="1701"/>
      <c r="L626" s="1701"/>
      <c r="M626" s="1699"/>
      <c r="N626" s="1699"/>
      <c r="O626" s="1699"/>
      <c r="P626" s="1699"/>
      <c r="Q626" s="1699"/>
      <c r="R626" s="1699"/>
      <c r="S626" s="1699"/>
      <c r="T626" s="1699"/>
      <c r="U626" s="1699"/>
      <c r="V626" s="1699"/>
      <c r="W626" s="1837"/>
      <c r="X626" s="1837"/>
      <c r="Y626" s="1837"/>
      <c r="Z626" s="1407"/>
      <c r="AA626" s="1407"/>
      <c r="AB626" s="1408"/>
      <c r="AC626" s="1834"/>
      <c r="AD626" s="1835"/>
      <c r="AE626" s="1836"/>
      <c r="AF626" s="1406"/>
      <c r="AG626" s="1407"/>
      <c r="AH626" s="1407"/>
      <c r="AI626" s="1407"/>
      <c r="AJ626" s="1408"/>
      <c r="AK626" s="1844"/>
      <c r="AL626" s="1845"/>
      <c r="AM626" s="1845"/>
      <c r="AN626" s="1846"/>
      <c r="AO626" s="1699"/>
      <c r="AP626" s="1699"/>
      <c r="AQ626" s="1699"/>
      <c r="AR626" s="1699"/>
      <c r="AS626" s="1699"/>
      <c r="AT626" s="3"/>
      <c r="AU626" s="3"/>
      <c r="AZ626" s="3"/>
      <c r="BA626" s="3"/>
      <c r="BB626" s="3"/>
      <c r="BC626" s="3"/>
      <c r="BD626" s="3"/>
      <c r="BE626" s="1389">
        <f t="shared" si="1"/>
        <v>0</v>
      </c>
      <c r="BF626" s="1391"/>
      <c r="BG626" s="1398">
        <f t="shared" si="2"/>
        <v>0</v>
      </c>
      <c r="BH626" s="1399"/>
      <c r="BI626" s="1389">
        <f t="shared" si="3"/>
        <v>0</v>
      </c>
      <c r="BJ626" s="1391"/>
      <c r="BK626" s="1398">
        <f t="shared" si="4"/>
        <v>0</v>
      </c>
      <c r="BL626" s="1399"/>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89" t="str">
        <f t="shared" si="17"/>
        <v/>
      </c>
      <c r="DY626" s="1390"/>
      <c r="DZ626" s="1390"/>
      <c r="EA626" s="1390"/>
      <c r="EB626" s="1391"/>
      <c r="EC626" s="1389" t="str">
        <f t="shared" si="18"/>
        <v/>
      </c>
      <c r="ED626" s="1390"/>
      <c r="EE626" s="1390"/>
      <c r="EF626" s="1390"/>
      <c r="EG626" s="1391"/>
      <c r="EH626" s="1389" t="str">
        <f t="shared" si="19"/>
        <v/>
      </c>
      <c r="EI626" s="1390"/>
      <c r="EJ626" s="1390"/>
      <c r="EK626" s="1390"/>
      <c r="EL626" s="1391"/>
      <c r="EM626" s="1389" t="str">
        <f t="shared" si="20"/>
        <v/>
      </c>
      <c r="EN626" s="1390"/>
      <c r="EO626" s="1390"/>
      <c r="EP626" s="1390"/>
      <c r="EQ626" s="1391"/>
      <c r="ER626" s="1389" t="str">
        <f t="shared" si="21"/>
        <v/>
      </c>
      <c r="ES626" s="1390"/>
      <c r="ET626" s="1390"/>
      <c r="EU626" s="1390"/>
      <c r="EV626" s="1391"/>
      <c r="EW626" s="1389" t="str">
        <f t="shared" si="22"/>
        <v/>
      </c>
      <c r="EX626" s="1390"/>
      <c r="EY626" s="1390"/>
      <c r="EZ626" s="1390"/>
      <c r="FA626" s="1391"/>
    </row>
    <row r="627" spans="2:157" ht="13" customHeight="1">
      <c r="B627" s="51" t="s">
        <v>112</v>
      </c>
      <c r="C627" s="1692" t="s">
        <v>2786</v>
      </c>
      <c r="D627" s="1692"/>
      <c r="E627" s="1692"/>
      <c r="F627" s="1692"/>
      <c r="G627" s="1692"/>
      <c r="H627" s="1692"/>
      <c r="I627" s="1692"/>
      <c r="J627" s="1692"/>
      <c r="K627" s="1692"/>
      <c r="L627" s="1692"/>
      <c r="M627" s="1700" t="s">
        <v>2437</v>
      </c>
      <c r="N627" s="1700"/>
      <c r="O627" s="1700"/>
      <c r="P627" s="1700"/>
      <c r="Q627" s="1556">
        <v>180</v>
      </c>
      <c r="R627" s="1556"/>
      <c r="S627" s="1698"/>
      <c r="T627" s="1697">
        <v>180</v>
      </c>
      <c r="U627" s="1556"/>
      <c r="V627" s="1698"/>
      <c r="W627" s="1689">
        <f>[1]budgets!$AB$54</f>
        <v>7.0000000000000007E-2</v>
      </c>
      <c r="X627" s="1690"/>
      <c r="Y627" s="1691"/>
      <c r="Z627" s="1518" t="s">
        <v>2449</v>
      </c>
      <c r="AA627" s="1519"/>
      <c r="AB627" s="1520"/>
      <c r="AC627" s="1452">
        <v>1</v>
      </c>
      <c r="AD627" s="1453"/>
      <c r="AE627" s="1454"/>
      <c r="AF627" s="1586">
        <f>[1]budgets!$AD$47</f>
        <v>130272.57426426736</v>
      </c>
      <c r="AG627" s="1587"/>
      <c r="AH627" s="1587"/>
      <c r="AI627" s="1587"/>
      <c r="AJ627" s="1588"/>
      <c r="AK627" s="1694"/>
      <c r="AL627" s="1695"/>
      <c r="AM627" s="1695"/>
      <c r="AN627" s="1696"/>
      <c r="AO627" s="1611">
        <f>[1]budgets!$AB$53</f>
        <v>1207800</v>
      </c>
      <c r="AP627" s="1611"/>
      <c r="AQ627" s="1611"/>
      <c r="AR627" s="1611"/>
      <c r="AS627" s="1611"/>
      <c r="AT627" s="3"/>
      <c r="AU627" s="3"/>
      <c r="AZ627" s="3"/>
      <c r="BA627" s="3"/>
      <c r="BB627" s="3"/>
      <c r="BC627" s="3"/>
      <c r="BD627" s="3"/>
      <c r="BE627" s="1389">
        <f t="shared" si="1"/>
        <v>0</v>
      </c>
      <c r="BF627" s="1391"/>
      <c r="BG627" s="1398">
        <f t="shared" si="2"/>
        <v>0</v>
      </c>
      <c r="BH627" s="1399"/>
      <c r="BI627" s="1389">
        <f t="shared" si="3"/>
        <v>0</v>
      </c>
      <c r="BJ627" s="1391"/>
      <c r="BK627" s="1398">
        <f t="shared" si="4"/>
        <v>0</v>
      </c>
      <c r="BL627" s="1399"/>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89" t="str">
        <f t="shared" si="17"/>
        <v/>
      </c>
      <c r="DY627" s="1390"/>
      <c r="DZ627" s="1390"/>
      <c r="EA627" s="1390"/>
      <c r="EB627" s="1391"/>
      <c r="EC627" s="1389" t="str">
        <f t="shared" si="18"/>
        <v/>
      </c>
      <c r="ED627" s="1390"/>
      <c r="EE627" s="1390"/>
      <c r="EF627" s="1390"/>
      <c r="EG627" s="1391"/>
      <c r="EH627" s="1389" t="str">
        <f t="shared" si="19"/>
        <v/>
      </c>
      <c r="EI627" s="1390"/>
      <c r="EJ627" s="1390"/>
      <c r="EK627" s="1390"/>
      <c r="EL627" s="1391"/>
      <c r="EM627" s="1389" t="str">
        <f t="shared" si="20"/>
        <v/>
      </c>
      <c r="EN627" s="1390"/>
      <c r="EO627" s="1390"/>
      <c r="EP627" s="1390"/>
      <c r="EQ627" s="1391"/>
      <c r="ER627" s="1389" t="str">
        <f t="shared" si="21"/>
        <v/>
      </c>
      <c r="ES627" s="1390"/>
      <c r="ET627" s="1390"/>
      <c r="EU627" s="1390"/>
      <c r="EV627" s="1391"/>
      <c r="EW627" s="1389" t="str">
        <f t="shared" si="22"/>
        <v/>
      </c>
      <c r="EX627" s="1390"/>
      <c r="EY627" s="1390"/>
      <c r="EZ627" s="1390"/>
      <c r="FA627" s="1391"/>
    </row>
    <row r="628" spans="2:157" ht="13" customHeight="1">
      <c r="B628" s="52" t="s">
        <v>113</v>
      </c>
      <c r="C628" s="1692" t="s">
        <v>2788</v>
      </c>
      <c r="D628" s="1692"/>
      <c r="E628" s="1692"/>
      <c r="F628" s="1692"/>
      <c r="G628" s="1692"/>
      <c r="H628" s="1692"/>
      <c r="I628" s="1692"/>
      <c r="J628" s="1692"/>
      <c r="K628" s="1692"/>
      <c r="L628" s="1692"/>
      <c r="M628" s="1700" t="s">
        <v>2433</v>
      </c>
      <c r="N628" s="1700"/>
      <c r="O628" s="1700"/>
      <c r="P628" s="1700"/>
      <c r="Q628" s="1697">
        <v>660</v>
      </c>
      <c r="R628" s="1556"/>
      <c r="S628" s="1698"/>
      <c r="T628" s="1697">
        <v>0</v>
      </c>
      <c r="U628" s="1556"/>
      <c r="V628" s="1698"/>
      <c r="W628" s="1689">
        <v>0</v>
      </c>
      <c r="X628" s="1690"/>
      <c r="Y628" s="1691"/>
      <c r="Z628" s="1518" t="s">
        <v>465</v>
      </c>
      <c r="AA628" s="1519"/>
      <c r="AB628" s="1520"/>
      <c r="AC628" s="1452">
        <v>2</v>
      </c>
      <c r="AD628" s="1453"/>
      <c r="AE628" s="1454"/>
      <c r="AF628" s="1586"/>
      <c r="AG628" s="1587"/>
      <c r="AH628" s="1587"/>
      <c r="AI628" s="1587"/>
      <c r="AJ628" s="1588"/>
      <c r="AK628" s="1694"/>
      <c r="AL628" s="1695"/>
      <c r="AM628" s="1695"/>
      <c r="AN628" s="1696"/>
      <c r="AO628" s="1582">
        <f>[1]budgets!$C$13</f>
        <v>9761541</v>
      </c>
      <c r="AP628" s="1583"/>
      <c r="AQ628" s="1583"/>
      <c r="AR628" s="1583"/>
      <c r="AS628" s="1584"/>
      <c r="AT628" s="1192" t="str">
        <f>IF(AND(NOT(C627=""),C628="",NOT(C629="")),"!","")</f>
        <v/>
      </c>
      <c r="AU628" s="3"/>
      <c r="AZ628" s="3"/>
      <c r="BA628" s="3"/>
      <c r="BB628" s="3"/>
      <c r="BC628" s="3"/>
      <c r="BD628" s="3"/>
      <c r="BE628" s="1389">
        <f t="shared" si="1"/>
        <v>0</v>
      </c>
      <c r="BF628" s="1391"/>
      <c r="BG628" s="1398">
        <f t="shared" si="2"/>
        <v>0</v>
      </c>
      <c r="BH628" s="1399"/>
      <c r="BI628" s="1389">
        <f t="shared" si="3"/>
        <v>0</v>
      </c>
      <c r="BJ628" s="1391"/>
      <c r="BK628" s="1398">
        <f t="shared" si="4"/>
        <v>0</v>
      </c>
      <c r="BL628" s="1399"/>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89" t="str">
        <f t="shared" si="17"/>
        <v/>
      </c>
      <c r="DY628" s="1390"/>
      <c r="DZ628" s="1390"/>
      <c r="EA628" s="1390"/>
      <c r="EB628" s="1391"/>
      <c r="EC628" s="1389" t="str">
        <f t="shared" si="18"/>
        <v/>
      </c>
      <c r="ED628" s="1390"/>
      <c r="EE628" s="1390"/>
      <c r="EF628" s="1390"/>
      <c r="EG628" s="1391"/>
      <c r="EH628" s="1389" t="str">
        <f t="shared" si="19"/>
        <v/>
      </c>
      <c r="EI628" s="1390"/>
      <c r="EJ628" s="1390"/>
      <c r="EK628" s="1390"/>
      <c r="EL628" s="1391"/>
      <c r="EM628" s="1389" t="str">
        <f t="shared" si="20"/>
        <v/>
      </c>
      <c r="EN628" s="1390"/>
      <c r="EO628" s="1390"/>
      <c r="EP628" s="1390"/>
      <c r="EQ628" s="1391"/>
      <c r="ER628" s="1389" t="str">
        <f t="shared" si="21"/>
        <v/>
      </c>
      <c r="ES628" s="1390"/>
      <c r="ET628" s="1390"/>
      <c r="EU628" s="1390"/>
      <c r="EV628" s="1391"/>
      <c r="EW628" s="1389" t="str">
        <f t="shared" si="22"/>
        <v/>
      </c>
      <c r="EX628" s="1390"/>
      <c r="EY628" s="1390"/>
      <c r="EZ628" s="1390"/>
      <c r="FA628" s="1391"/>
    </row>
    <row r="629" spans="2:157" ht="13" customHeight="1">
      <c r="B629" s="52" t="s">
        <v>119</v>
      </c>
      <c r="C629" s="1692" t="str">
        <f>C556</f>
        <v>Alameda Affordable Housing Trust Fund</v>
      </c>
      <c r="D629" s="1692"/>
      <c r="E629" s="1692"/>
      <c r="F629" s="1692"/>
      <c r="G629" s="1692"/>
      <c r="H629" s="1692"/>
      <c r="I629" s="1692"/>
      <c r="J629" s="1692"/>
      <c r="K629" s="1692"/>
      <c r="L629" s="1692"/>
      <c r="M629" s="1700" t="s">
        <v>2433</v>
      </c>
      <c r="N629" s="1700"/>
      <c r="O629" s="1700"/>
      <c r="P629" s="1700"/>
      <c r="Q629" s="1697">
        <v>660</v>
      </c>
      <c r="R629" s="1556"/>
      <c r="S629" s="1698"/>
      <c r="T629" s="1697">
        <v>0</v>
      </c>
      <c r="U629" s="1556"/>
      <c r="V629" s="1698"/>
      <c r="W629" s="1689">
        <v>0.03</v>
      </c>
      <c r="X629" s="1690"/>
      <c r="Y629" s="1691"/>
      <c r="Z629" s="1518" t="s">
        <v>465</v>
      </c>
      <c r="AA629" s="1519"/>
      <c r="AB629" s="1520"/>
      <c r="AC629" s="1452">
        <v>3</v>
      </c>
      <c r="AD629" s="1453"/>
      <c r="AE629" s="1454"/>
      <c r="AF629" s="1586"/>
      <c r="AG629" s="1587"/>
      <c r="AH629" s="1587"/>
      <c r="AI629" s="1587"/>
      <c r="AJ629" s="1588"/>
      <c r="AK629" s="1694"/>
      <c r="AL629" s="1695"/>
      <c r="AM629" s="1695"/>
      <c r="AN629" s="1696"/>
      <c r="AO629" s="1582">
        <f>AM556</f>
        <v>5000000</v>
      </c>
      <c r="AP629" s="1583"/>
      <c r="AQ629" s="1583"/>
      <c r="AR629" s="1583"/>
      <c r="AS629" s="1584"/>
      <c r="AT629" s="1192" t="str">
        <f t="shared" ref="AT629:AT638" si="23">IF(AND(NOT(C628=""),C629="",NOT(C630="")),"!","")</f>
        <v/>
      </c>
      <c r="AU629" s="3"/>
      <c r="AZ629" s="3"/>
      <c r="BA629" s="3"/>
      <c r="BB629" s="3"/>
      <c r="BC629" s="3"/>
      <c r="BD629" s="3"/>
      <c r="BE629" s="1389">
        <f t="shared" si="1"/>
        <v>0</v>
      </c>
      <c r="BF629" s="1391"/>
      <c r="BG629" s="1398">
        <f t="shared" si="2"/>
        <v>0</v>
      </c>
      <c r="BH629" s="1399"/>
      <c r="BI629" s="1389">
        <f t="shared" si="3"/>
        <v>0</v>
      </c>
      <c r="BJ629" s="1391"/>
      <c r="BK629" s="1398">
        <f t="shared" si="4"/>
        <v>0</v>
      </c>
      <c r="BL629" s="1399"/>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89" t="str">
        <f t="shared" si="17"/>
        <v/>
      </c>
      <c r="DY629" s="1390"/>
      <c r="DZ629" s="1390"/>
      <c r="EA629" s="1390"/>
      <c r="EB629" s="1391"/>
      <c r="EC629" s="1389" t="str">
        <f t="shared" si="18"/>
        <v/>
      </c>
      <c r="ED629" s="1390"/>
      <c r="EE629" s="1390"/>
      <c r="EF629" s="1390"/>
      <c r="EG629" s="1391"/>
      <c r="EH629" s="1389" t="str">
        <f t="shared" si="19"/>
        <v/>
      </c>
      <c r="EI629" s="1390"/>
      <c r="EJ629" s="1390"/>
      <c r="EK629" s="1390"/>
      <c r="EL629" s="1391"/>
      <c r="EM629" s="1389" t="str">
        <f t="shared" si="20"/>
        <v/>
      </c>
      <c r="EN629" s="1390"/>
      <c r="EO629" s="1390"/>
      <c r="EP629" s="1390"/>
      <c r="EQ629" s="1391"/>
      <c r="ER629" s="1389" t="str">
        <f t="shared" si="21"/>
        <v/>
      </c>
      <c r="ES629" s="1390"/>
      <c r="ET629" s="1390"/>
      <c r="EU629" s="1390"/>
      <c r="EV629" s="1391"/>
      <c r="EW629" s="1389" t="str">
        <f t="shared" si="22"/>
        <v/>
      </c>
      <c r="EX629" s="1390"/>
      <c r="EY629" s="1390"/>
      <c r="EZ629" s="1390"/>
      <c r="FA629" s="1391"/>
    </row>
    <row r="630" spans="2:157" ht="13" customHeight="1">
      <c r="B630" s="52" t="s">
        <v>589</v>
      </c>
      <c r="C630" s="1693" t="str">
        <f t="shared" ref="C630" si="24">C557</f>
        <v>City of Alameda PLHA</v>
      </c>
      <c r="D630" s="1693"/>
      <c r="E630" s="1693"/>
      <c r="F630" s="1693"/>
      <c r="G630" s="1693"/>
      <c r="H630" s="1693"/>
      <c r="I630" s="1693"/>
      <c r="J630" s="1693"/>
      <c r="K630" s="1693"/>
      <c r="L630" s="1693"/>
      <c r="M630" s="1700" t="s">
        <v>2433</v>
      </c>
      <c r="N630" s="1700"/>
      <c r="O630" s="1700"/>
      <c r="P630" s="1700"/>
      <c r="Q630" s="1697">
        <v>660</v>
      </c>
      <c r="R630" s="1556"/>
      <c r="S630" s="1698"/>
      <c r="T630" s="1697">
        <v>0</v>
      </c>
      <c r="U630" s="1556"/>
      <c r="V630" s="1698"/>
      <c r="W630" s="1689">
        <v>0.03</v>
      </c>
      <c r="X630" s="1690"/>
      <c r="Y630" s="1691"/>
      <c r="Z630" s="1518" t="s">
        <v>465</v>
      </c>
      <c r="AA630" s="1519"/>
      <c r="AB630" s="1520"/>
      <c r="AC630" s="1452">
        <v>4</v>
      </c>
      <c r="AD630" s="1453"/>
      <c r="AE630" s="1454"/>
      <c r="AF630" s="1586"/>
      <c r="AG630" s="1587"/>
      <c r="AH630" s="1587"/>
      <c r="AI630" s="1587"/>
      <c r="AJ630" s="1588"/>
      <c r="AK630" s="1694"/>
      <c r="AL630" s="1695"/>
      <c r="AM630" s="1695"/>
      <c r="AN630" s="1696"/>
      <c r="AO630" s="1582">
        <f t="shared" ref="AO630:AO631" si="25">AM557</f>
        <v>551582</v>
      </c>
      <c r="AP630" s="1583"/>
      <c r="AQ630" s="1583"/>
      <c r="AR630" s="1583"/>
      <c r="AS630" s="1584"/>
      <c r="AT630" s="1192" t="str">
        <f t="shared" si="23"/>
        <v/>
      </c>
      <c r="AU630" s="3"/>
      <c r="AZ630" s="3"/>
      <c r="BA630" s="3"/>
      <c r="BB630" s="3"/>
      <c r="BC630" s="3"/>
      <c r="BD630" s="3"/>
      <c r="BE630" s="1389">
        <f t="shared" si="1"/>
        <v>0</v>
      </c>
      <c r="BF630" s="1391"/>
      <c r="BG630" s="1398">
        <f t="shared" si="2"/>
        <v>0</v>
      </c>
      <c r="BH630" s="1399"/>
      <c r="BI630" s="1389">
        <f t="shared" si="3"/>
        <v>0</v>
      </c>
      <c r="BJ630" s="1391"/>
      <c r="BK630" s="1398">
        <f t="shared" si="4"/>
        <v>0</v>
      </c>
      <c r="BL630" s="1399"/>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89" t="str">
        <f t="shared" si="17"/>
        <v/>
      </c>
      <c r="DY630" s="1390"/>
      <c r="DZ630" s="1390"/>
      <c r="EA630" s="1390"/>
      <c r="EB630" s="1391"/>
      <c r="EC630" s="1389" t="str">
        <f t="shared" si="18"/>
        <v/>
      </c>
      <c r="ED630" s="1390"/>
      <c r="EE630" s="1390"/>
      <c r="EF630" s="1390"/>
      <c r="EG630" s="1391"/>
      <c r="EH630" s="1389" t="str">
        <f t="shared" si="19"/>
        <v/>
      </c>
      <c r="EI630" s="1390"/>
      <c r="EJ630" s="1390"/>
      <c r="EK630" s="1390"/>
      <c r="EL630" s="1391"/>
      <c r="EM630" s="1389" t="str">
        <f t="shared" si="20"/>
        <v/>
      </c>
      <c r="EN630" s="1390"/>
      <c r="EO630" s="1390"/>
      <c r="EP630" s="1390"/>
      <c r="EQ630" s="1391"/>
      <c r="ER630" s="1389" t="str">
        <f t="shared" si="21"/>
        <v/>
      </c>
      <c r="ES630" s="1390"/>
      <c r="ET630" s="1390"/>
      <c r="EU630" s="1390"/>
      <c r="EV630" s="1391"/>
      <c r="EW630" s="1389" t="str">
        <f t="shared" si="22"/>
        <v/>
      </c>
      <c r="EX630" s="1390"/>
      <c r="EY630" s="1390"/>
      <c r="EZ630" s="1390"/>
      <c r="FA630" s="1391"/>
    </row>
    <row r="631" spans="2:157" ht="13" customHeight="1">
      <c r="B631" s="52" t="s">
        <v>772</v>
      </c>
      <c r="C631" s="1693" t="str">
        <f>C558</f>
        <v>FHLB AHP</v>
      </c>
      <c r="D631" s="1693"/>
      <c r="E631" s="1693"/>
      <c r="F631" s="1693"/>
      <c r="G631" s="1693"/>
      <c r="H631" s="1693"/>
      <c r="I631" s="1693"/>
      <c r="J631" s="1693"/>
      <c r="K631" s="1693"/>
      <c r="L631" s="1693"/>
      <c r="M631" s="1700" t="s">
        <v>2433</v>
      </c>
      <c r="N631" s="1700"/>
      <c r="O631" s="1700"/>
      <c r="P631" s="1700"/>
      <c r="Q631" s="1697">
        <v>660</v>
      </c>
      <c r="R631" s="1556"/>
      <c r="S631" s="1698"/>
      <c r="T631" s="1697">
        <v>0</v>
      </c>
      <c r="U631" s="1556"/>
      <c r="V631" s="1698"/>
      <c r="W631" s="1689">
        <v>0</v>
      </c>
      <c r="X631" s="1690"/>
      <c r="Y631" s="1691"/>
      <c r="Z631" s="1518" t="s">
        <v>466</v>
      </c>
      <c r="AA631" s="1519"/>
      <c r="AB631" s="1520"/>
      <c r="AC631" s="1452">
        <v>5</v>
      </c>
      <c r="AD631" s="1453"/>
      <c r="AE631" s="1454"/>
      <c r="AF631" s="1586"/>
      <c r="AG631" s="1587"/>
      <c r="AH631" s="1587"/>
      <c r="AI631" s="1587"/>
      <c r="AJ631" s="1588"/>
      <c r="AK631" s="1694"/>
      <c r="AL631" s="1695"/>
      <c r="AM631" s="1695"/>
      <c r="AN631" s="1696"/>
      <c r="AO631" s="1582">
        <f t="shared" si="25"/>
        <v>690000</v>
      </c>
      <c r="AP631" s="1583"/>
      <c r="AQ631" s="1583"/>
      <c r="AR631" s="1583"/>
      <c r="AS631" s="1584"/>
      <c r="AT631" s="1192" t="str">
        <f t="shared" si="23"/>
        <v/>
      </c>
      <c r="AU631" s="3"/>
      <c r="AZ631" s="3"/>
      <c r="BA631" s="3"/>
      <c r="BB631" s="3"/>
      <c r="BC631" s="3"/>
      <c r="BD631" s="3"/>
      <c r="BE631" s="1389">
        <f t="shared" si="1"/>
        <v>0</v>
      </c>
      <c r="BF631" s="1391"/>
      <c r="BG631" s="1398">
        <f t="shared" si="2"/>
        <v>0</v>
      </c>
      <c r="BH631" s="1399"/>
      <c r="BI631" s="1389">
        <f t="shared" si="3"/>
        <v>0</v>
      </c>
      <c r="BJ631" s="1391"/>
      <c r="BK631" s="1398">
        <f t="shared" si="4"/>
        <v>0</v>
      </c>
      <c r="BL631" s="1399"/>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89" t="str">
        <f t="shared" si="17"/>
        <v/>
      </c>
      <c r="DY631" s="1390"/>
      <c r="DZ631" s="1390"/>
      <c r="EA631" s="1390"/>
      <c r="EB631" s="1391"/>
      <c r="EC631" s="1389" t="str">
        <f t="shared" si="18"/>
        <v/>
      </c>
      <c r="ED631" s="1390"/>
      <c r="EE631" s="1390"/>
      <c r="EF631" s="1390"/>
      <c r="EG631" s="1391"/>
      <c r="EH631" s="1389" t="str">
        <f t="shared" si="19"/>
        <v/>
      </c>
      <c r="EI631" s="1390"/>
      <c r="EJ631" s="1390"/>
      <c r="EK631" s="1390"/>
      <c r="EL631" s="1391"/>
      <c r="EM631" s="1389" t="str">
        <f t="shared" si="20"/>
        <v/>
      </c>
      <c r="EN631" s="1390"/>
      <c r="EO631" s="1390"/>
      <c r="EP631" s="1390"/>
      <c r="EQ631" s="1391"/>
      <c r="ER631" s="1389" t="str">
        <f t="shared" si="21"/>
        <v/>
      </c>
      <c r="ES631" s="1390"/>
      <c r="ET631" s="1390"/>
      <c r="EU631" s="1390"/>
      <c r="EV631" s="1391"/>
      <c r="EW631" s="1389" t="str">
        <f t="shared" si="22"/>
        <v/>
      </c>
      <c r="EX631" s="1390"/>
      <c r="EY631" s="1390"/>
      <c r="EZ631" s="1390"/>
      <c r="FA631" s="1391"/>
    </row>
    <row r="632" spans="2:157" ht="13" customHeight="1">
      <c r="B632" s="52" t="s">
        <v>592</v>
      </c>
      <c r="C632" s="1692" t="s">
        <v>2793</v>
      </c>
      <c r="D632" s="1693"/>
      <c r="E632" s="1693"/>
      <c r="F632" s="1693"/>
      <c r="G632" s="1693"/>
      <c r="H632" s="1693"/>
      <c r="I632" s="1693"/>
      <c r="J632" s="1693"/>
      <c r="K632" s="1693"/>
      <c r="L632" s="1693"/>
      <c r="M632" s="1700" t="s">
        <v>2424</v>
      </c>
      <c r="N632" s="1700"/>
      <c r="O632" s="1700"/>
      <c r="P632" s="1700"/>
      <c r="Q632" s="1697"/>
      <c r="R632" s="1556"/>
      <c r="S632" s="1698"/>
      <c r="T632" s="1697"/>
      <c r="U632" s="1556"/>
      <c r="V632" s="1698"/>
      <c r="W632" s="1689"/>
      <c r="X632" s="1690"/>
      <c r="Y632" s="1691"/>
      <c r="Z632" s="1518" t="s">
        <v>301</v>
      </c>
      <c r="AA632" s="1519"/>
      <c r="AB632" s="1520"/>
      <c r="AC632" s="1452"/>
      <c r="AD632" s="1453"/>
      <c r="AE632" s="1454"/>
      <c r="AF632" s="1586"/>
      <c r="AG632" s="1587"/>
      <c r="AH632" s="1587"/>
      <c r="AI632" s="1587"/>
      <c r="AJ632" s="1588"/>
      <c r="AK632" s="1694"/>
      <c r="AL632" s="1695"/>
      <c r="AM632" s="1695"/>
      <c r="AN632" s="1696"/>
      <c r="AO632" s="1582">
        <f>[1]budgets!$C$14</f>
        <v>500000</v>
      </c>
      <c r="AP632" s="1583"/>
      <c r="AQ632" s="1583"/>
      <c r="AR632" s="1583"/>
      <c r="AS632" s="1584"/>
      <c r="AT632" s="1192" t="str">
        <f t="shared" si="23"/>
        <v/>
      </c>
      <c r="AU632" s="3"/>
      <c r="AZ632" s="3"/>
      <c r="BA632" s="3"/>
      <c r="BB632" s="3"/>
      <c r="BC632" s="3"/>
      <c r="BD632" s="3"/>
      <c r="BE632" s="3"/>
      <c r="BF632" s="3"/>
      <c r="BG632" s="1389">
        <f>SUM(BG597:BH631)</f>
        <v>0</v>
      </c>
      <c r="BH632" s="1391"/>
      <c r="BI632" s="3"/>
      <c r="BJ632" s="3"/>
      <c r="BK632" s="1389">
        <f>SUM(BK597:BL631)</f>
        <v>46</v>
      </c>
      <c r="BL632" s="1391"/>
      <c r="BM632" s="3"/>
      <c r="BN632" s="1389">
        <f>SUM(BN597:BR631)</f>
        <v>25</v>
      </c>
      <c r="BO632" s="1390"/>
      <c r="BP632" s="1390"/>
      <c r="BQ632" s="1390"/>
      <c r="BR632" s="1391"/>
      <c r="BS632" s="1392">
        <f>SUM(BS597:BW631)</f>
        <v>21</v>
      </c>
      <c r="BT632" s="1392"/>
      <c r="BU632" s="1392"/>
      <c r="BV632" s="1392"/>
      <c r="BW632" s="1392"/>
      <c r="BX632" s="1392">
        <f>SUM(BX597:CB631)</f>
        <v>0</v>
      </c>
      <c r="BY632" s="1392"/>
      <c r="BZ632" s="1392"/>
      <c r="CA632" s="1392"/>
      <c r="CB632" s="1392"/>
      <c r="CC632" s="1392">
        <f>SUM(CC597:CG631)</f>
        <v>0</v>
      </c>
      <c r="CD632" s="1392"/>
      <c r="CE632" s="1392"/>
      <c r="CF632" s="1392"/>
      <c r="CG632" s="1392"/>
      <c r="CH632" s="1392">
        <f>SUM(CH597:CL631)</f>
        <v>0</v>
      </c>
      <c r="CI632" s="1392"/>
      <c r="CJ632" s="1392"/>
      <c r="CK632" s="1392"/>
      <c r="CL632" s="1392"/>
      <c r="CM632" s="1392">
        <f>SUM(CM597:CQ631)</f>
        <v>0</v>
      </c>
      <c r="CN632" s="1392"/>
      <c r="CO632" s="1392"/>
      <c r="CP632" s="1392"/>
      <c r="CQ632" s="1392"/>
      <c r="CR632" s="385"/>
      <c r="CS632" s="1392">
        <f>SUM(CS597:CW631)</f>
        <v>25</v>
      </c>
      <c r="CT632" s="1392"/>
      <c r="CU632" s="1392"/>
      <c r="CV632" s="1392"/>
      <c r="CW632" s="1392"/>
      <c r="CX632" s="1392">
        <f>SUM(CX597:DB631)</f>
        <v>21</v>
      </c>
      <c r="CY632" s="1392"/>
      <c r="CZ632" s="1392"/>
      <c r="DA632" s="1392"/>
      <c r="DB632" s="1392"/>
      <c r="DC632" s="1392">
        <f>SUM(DC597:DG631)</f>
        <v>0</v>
      </c>
      <c r="DD632" s="1392"/>
      <c r="DE632" s="1392"/>
      <c r="DF632" s="1392"/>
      <c r="DG632" s="1392"/>
      <c r="DH632" s="1392">
        <f>SUM(DH597:DL631)</f>
        <v>0</v>
      </c>
      <c r="DI632" s="1392"/>
      <c r="DJ632" s="1392"/>
      <c r="DK632" s="1392"/>
      <c r="DL632" s="1392"/>
      <c r="DM632" s="1392">
        <f>SUM(DM597:DQ631)</f>
        <v>0</v>
      </c>
      <c r="DN632" s="1392"/>
      <c r="DO632" s="1392"/>
      <c r="DP632" s="1392"/>
      <c r="DQ632" s="1392"/>
      <c r="DR632" s="1392">
        <f>SUM(DR597:DV631)</f>
        <v>0</v>
      </c>
      <c r="DS632" s="1392"/>
      <c r="DT632" s="1392"/>
      <c r="DU632" s="1392"/>
      <c r="DV632" s="1392"/>
      <c r="DX632" s="1392">
        <f>SUM(DX597:EB631)</f>
        <v>1057</v>
      </c>
      <c r="DY632" s="1392"/>
      <c r="DZ632" s="1392"/>
      <c r="EA632" s="1392"/>
      <c r="EB632" s="1392"/>
      <c r="EC632" s="1392">
        <f>SUM(EC597:EG631)</f>
        <v>1109</v>
      </c>
      <c r="ED632" s="1392"/>
      <c r="EE632" s="1392"/>
      <c r="EF632" s="1392"/>
      <c r="EG632" s="1392"/>
      <c r="EH632" s="1392">
        <f>SUM(EH597:EL631)</f>
        <v>0</v>
      </c>
      <c r="EI632" s="1392"/>
      <c r="EJ632" s="1392"/>
      <c r="EK632" s="1392"/>
      <c r="EL632" s="1392"/>
      <c r="EM632" s="1392">
        <f>SUM(EM597:EQ631)</f>
        <v>0</v>
      </c>
      <c r="EN632" s="1392"/>
      <c r="EO632" s="1392"/>
      <c r="EP632" s="1392"/>
      <c r="EQ632" s="1392"/>
      <c r="ER632" s="1392">
        <f>SUM(ER597:EV631)</f>
        <v>0</v>
      </c>
      <c r="ES632" s="1392"/>
      <c r="ET632" s="1392"/>
      <c r="EU632" s="1392"/>
      <c r="EV632" s="1392"/>
      <c r="EW632" s="1392">
        <f>SUM(EW597:FA631)</f>
        <v>0</v>
      </c>
      <c r="EX632" s="1392"/>
      <c r="EY632" s="1392"/>
      <c r="EZ632" s="1392"/>
      <c r="FA632" s="1392"/>
    </row>
    <row r="633" spans="2:157" ht="13" customHeight="1">
      <c r="B633" s="52" t="s">
        <v>463</v>
      </c>
      <c r="C633" s="1692" t="s">
        <v>2792</v>
      </c>
      <c r="D633" s="1693"/>
      <c r="E633" s="1693"/>
      <c r="F633" s="1693"/>
      <c r="G633" s="1693"/>
      <c r="H633" s="1693"/>
      <c r="I633" s="1693"/>
      <c r="J633" s="1693"/>
      <c r="K633" s="1693"/>
      <c r="L633" s="1693"/>
      <c r="M633" s="1700" t="s">
        <v>2427</v>
      </c>
      <c r="N633" s="1700"/>
      <c r="O633" s="1700"/>
      <c r="P633" s="1700"/>
      <c r="Q633" s="1697"/>
      <c r="R633" s="1556"/>
      <c r="S633" s="1698"/>
      <c r="T633" s="1697"/>
      <c r="U633" s="1556"/>
      <c r="V633" s="1698"/>
      <c r="W633" s="1689"/>
      <c r="X633" s="1690"/>
      <c r="Y633" s="1691"/>
      <c r="Z633" s="1518" t="s">
        <v>301</v>
      </c>
      <c r="AA633" s="1519"/>
      <c r="AB633" s="1520"/>
      <c r="AC633" s="1452"/>
      <c r="AD633" s="1453"/>
      <c r="AE633" s="1454"/>
      <c r="AF633" s="1586"/>
      <c r="AG633" s="1587"/>
      <c r="AH633" s="1587"/>
      <c r="AI633" s="1587"/>
      <c r="AJ633" s="1588"/>
      <c r="AK633" s="1694"/>
      <c r="AL633" s="1695"/>
      <c r="AM633" s="1695"/>
      <c r="AN633" s="1696"/>
      <c r="AO633" s="1582">
        <f>[1]budgets!$C$15</f>
        <v>100</v>
      </c>
      <c r="AP633" s="1583"/>
      <c r="AQ633" s="1583"/>
      <c r="AR633" s="1583"/>
      <c r="AS633" s="158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9">
        <f>BN632+BS632+BX632+CC632+CH632+CM632</f>
        <v>46</v>
      </c>
      <c r="CN633" s="1390"/>
      <c r="CO633" s="1390"/>
      <c r="CP633" s="1390"/>
      <c r="CQ633" s="1391"/>
      <c r="CR633" s="385"/>
      <c r="CS633" s="3"/>
      <c r="CT633" s="3"/>
      <c r="CU633" s="3"/>
      <c r="CV633" s="3"/>
      <c r="CW633" s="3"/>
      <c r="CX633" s="3"/>
      <c r="CY633" s="3"/>
      <c r="CZ633" s="3"/>
      <c r="DA633" s="3"/>
      <c r="DB633" s="3"/>
      <c r="DC633" s="3"/>
      <c r="DD633" s="3"/>
      <c r="DE633" s="3"/>
      <c r="DF633" s="3"/>
    </row>
    <row r="634" spans="2:157" ht="13" customHeight="1">
      <c r="B634" s="52" t="s">
        <v>464</v>
      </c>
      <c r="C634" s="1693"/>
      <c r="D634" s="1693"/>
      <c r="E634" s="1693"/>
      <c r="F634" s="1693"/>
      <c r="G634" s="1693"/>
      <c r="H634" s="1693"/>
      <c r="I634" s="1693"/>
      <c r="J634" s="1693"/>
      <c r="K634" s="1693"/>
      <c r="L634" s="1693"/>
      <c r="M634" s="1700" t="s">
        <v>1290</v>
      </c>
      <c r="N634" s="1700"/>
      <c r="O634" s="1700"/>
      <c r="P634" s="1700"/>
      <c r="Q634" s="1697"/>
      <c r="R634" s="1556"/>
      <c r="S634" s="1698"/>
      <c r="T634" s="1697"/>
      <c r="U634" s="1556"/>
      <c r="V634" s="1698"/>
      <c r="W634" s="1689"/>
      <c r="X634" s="1690"/>
      <c r="Y634" s="1691"/>
      <c r="Z634" s="1518" t="s">
        <v>1290</v>
      </c>
      <c r="AA634" s="1519"/>
      <c r="AB634" s="1520"/>
      <c r="AC634" s="1452"/>
      <c r="AD634" s="1453"/>
      <c r="AE634" s="1454"/>
      <c r="AF634" s="1586"/>
      <c r="AG634" s="1587"/>
      <c r="AH634" s="1587"/>
      <c r="AI634" s="1587"/>
      <c r="AJ634" s="1588"/>
      <c r="AK634" s="1694"/>
      <c r="AL634" s="1695"/>
      <c r="AM634" s="1695"/>
      <c r="AN634" s="1696"/>
      <c r="AO634" s="1582"/>
      <c r="AP634" s="1583"/>
      <c r="AQ634" s="1583"/>
      <c r="AR634" s="1583"/>
      <c r="AS634" s="1584"/>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25</v>
      </c>
      <c r="BS634" s="3"/>
      <c r="BT634" s="3"/>
      <c r="BU634" s="3"/>
      <c r="BV634" s="3"/>
      <c r="BW634" s="895">
        <f>BS632*1</f>
        <v>21</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46</v>
      </c>
      <c r="CT634" s="57" t="s">
        <v>2052</v>
      </c>
      <c r="CU634" s="3"/>
      <c r="CV634" s="3"/>
      <c r="CW634" s="3"/>
      <c r="CX634" s="3"/>
      <c r="CY634" s="3"/>
      <c r="CZ634" s="3"/>
      <c r="DA634" s="3"/>
      <c r="DB634" s="3"/>
      <c r="DC634" s="3"/>
      <c r="DD634" s="3"/>
      <c r="DE634" s="3"/>
      <c r="DF634" s="3"/>
    </row>
    <row r="635" spans="2:157" ht="13" customHeight="1">
      <c r="B635" s="52" t="s">
        <v>469</v>
      </c>
      <c r="C635" s="1693"/>
      <c r="D635" s="1693"/>
      <c r="E635" s="1693"/>
      <c r="F635" s="1693"/>
      <c r="G635" s="1693"/>
      <c r="H635" s="1693"/>
      <c r="I635" s="1693"/>
      <c r="J635" s="1693"/>
      <c r="K635" s="1693"/>
      <c r="L635" s="1693"/>
      <c r="M635" s="1700" t="s">
        <v>1290</v>
      </c>
      <c r="N635" s="1700"/>
      <c r="O635" s="1700"/>
      <c r="P635" s="1700"/>
      <c r="Q635" s="1697"/>
      <c r="R635" s="1556"/>
      <c r="S635" s="1698"/>
      <c r="T635" s="1697"/>
      <c r="U635" s="1556"/>
      <c r="V635" s="1698"/>
      <c r="W635" s="1689"/>
      <c r="X635" s="1690"/>
      <c r="Y635" s="1691"/>
      <c r="Z635" s="1518" t="s">
        <v>1290</v>
      </c>
      <c r="AA635" s="1519"/>
      <c r="AB635" s="1520"/>
      <c r="AC635" s="1452"/>
      <c r="AD635" s="1453"/>
      <c r="AE635" s="1454"/>
      <c r="AF635" s="1586"/>
      <c r="AG635" s="1587"/>
      <c r="AH635" s="1587"/>
      <c r="AI635" s="1587"/>
      <c r="AJ635" s="1588"/>
      <c r="AK635" s="1694"/>
      <c r="AL635" s="1695"/>
      <c r="AM635" s="1695"/>
      <c r="AN635" s="1696"/>
      <c r="AO635" s="1582"/>
      <c r="AP635" s="1583"/>
      <c r="AQ635" s="1583"/>
      <c r="AR635" s="1583"/>
      <c r="AS635" s="1584"/>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8">
        <f>DX597*(BN597/$BN$632)</f>
        <v>605.6</v>
      </c>
      <c r="DY635" s="1388"/>
      <c r="DZ635" s="1388"/>
      <c r="EA635" s="1388"/>
      <c r="EB635" s="1388"/>
      <c r="EC635" s="1388" t="e">
        <f t="shared" ref="EC635:EC657" si="26">EC597*(BS597/$BS$632)</f>
        <v>#VALUE!</v>
      </c>
      <c r="ED635" s="1388"/>
      <c r="EE635" s="1388"/>
      <c r="EF635" s="1388"/>
      <c r="EG635" s="1388"/>
      <c r="EH635" s="1388" t="e">
        <f t="shared" ref="EH635:EH657" si="27">EH597*(BX597/$BX$632)</f>
        <v>#VALUE!</v>
      </c>
      <c r="EI635" s="1388"/>
      <c r="EJ635" s="1388"/>
      <c r="EK635" s="1388"/>
      <c r="EL635" s="1388"/>
      <c r="EM635" s="1388" t="e">
        <f t="shared" ref="EM635:EM657" si="28">EM597*(CC597/$CC$632)</f>
        <v>#VALUE!</v>
      </c>
      <c r="EN635" s="1388"/>
      <c r="EO635" s="1388"/>
      <c r="EP635" s="1388"/>
      <c r="EQ635" s="1388"/>
      <c r="ER635" s="1388" t="e">
        <f t="shared" ref="ER635:ER657" si="29">ER597*(CH597/$CH$632)</f>
        <v>#VALUE!</v>
      </c>
      <c r="ES635" s="1388"/>
      <c r="ET635" s="1388"/>
      <c r="EU635" s="1388"/>
      <c r="EV635" s="1388"/>
      <c r="EW635" s="1388" t="e">
        <f t="shared" ref="EW635:EW657" si="30">EW597*(CM597/$CM$632)</f>
        <v>#VALUE!</v>
      </c>
      <c r="EX635" s="1388"/>
      <c r="EY635" s="1388"/>
      <c r="EZ635" s="1388"/>
      <c r="FA635" s="1388"/>
    </row>
    <row r="636" spans="2:157" ht="13" customHeight="1">
      <c r="B636" s="52" t="s">
        <v>654</v>
      </c>
      <c r="C636" s="1693"/>
      <c r="D636" s="1693"/>
      <c r="E636" s="1693"/>
      <c r="F636" s="1693"/>
      <c r="G636" s="1693"/>
      <c r="H636" s="1693"/>
      <c r="I636" s="1693"/>
      <c r="J636" s="1693"/>
      <c r="K636" s="1693"/>
      <c r="L636" s="1693"/>
      <c r="M636" s="1700" t="s">
        <v>1290</v>
      </c>
      <c r="N636" s="1700"/>
      <c r="O636" s="1700"/>
      <c r="P636" s="1700"/>
      <c r="Q636" s="1697"/>
      <c r="R636" s="1556"/>
      <c r="S636" s="1698"/>
      <c r="T636" s="1697"/>
      <c r="U636" s="1556"/>
      <c r="V636" s="1698"/>
      <c r="W636" s="1689"/>
      <c r="X636" s="1690"/>
      <c r="Y636" s="1691"/>
      <c r="Z636" s="1518" t="s">
        <v>1290</v>
      </c>
      <c r="AA636" s="1519"/>
      <c r="AB636" s="1520"/>
      <c r="AC636" s="1452"/>
      <c r="AD636" s="1453"/>
      <c r="AE636" s="1454"/>
      <c r="AF636" s="1586"/>
      <c r="AG636" s="1587"/>
      <c r="AH636" s="1587"/>
      <c r="AI636" s="1587"/>
      <c r="AJ636" s="1588"/>
      <c r="AK636" s="1694"/>
      <c r="AL636" s="1695"/>
      <c r="AM636" s="1695"/>
      <c r="AN636" s="1696"/>
      <c r="AO636" s="1582"/>
      <c r="AP636" s="1583"/>
      <c r="AQ636" s="1583"/>
      <c r="AR636" s="1583"/>
      <c r="AS636" s="1584"/>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8">
        <f t="shared" ref="DX636:DX657" si="31">DX598*(BN598/$BN$632)</f>
        <v>60</v>
      </c>
      <c r="DY636" s="1388"/>
      <c r="DZ636" s="1388"/>
      <c r="EA636" s="1388"/>
      <c r="EB636" s="1388"/>
      <c r="EC636" s="1388" t="e">
        <f t="shared" si="26"/>
        <v>#VALUE!</v>
      </c>
      <c r="ED636" s="1388"/>
      <c r="EE636" s="1388"/>
      <c r="EF636" s="1388"/>
      <c r="EG636" s="1388"/>
      <c r="EH636" s="1388" t="e">
        <f t="shared" si="27"/>
        <v>#VALUE!</v>
      </c>
      <c r="EI636" s="1388"/>
      <c r="EJ636" s="1388"/>
      <c r="EK636" s="1388"/>
      <c r="EL636" s="1388"/>
      <c r="EM636" s="1388" t="e">
        <f t="shared" si="28"/>
        <v>#VALUE!</v>
      </c>
      <c r="EN636" s="1388"/>
      <c r="EO636" s="1388"/>
      <c r="EP636" s="1388"/>
      <c r="EQ636" s="1388"/>
      <c r="ER636" s="1388" t="e">
        <f t="shared" si="29"/>
        <v>#VALUE!</v>
      </c>
      <c r="ES636" s="1388"/>
      <c r="ET636" s="1388"/>
      <c r="EU636" s="1388"/>
      <c r="EV636" s="1388"/>
      <c r="EW636" s="1388" t="e">
        <f t="shared" si="30"/>
        <v>#VALUE!</v>
      </c>
      <c r="EX636" s="1388"/>
      <c r="EY636" s="1388"/>
      <c r="EZ636" s="1388"/>
      <c r="FA636" s="1388"/>
    </row>
    <row r="637" spans="2:157" ht="13" customHeight="1">
      <c r="B637" s="52" t="s">
        <v>362</v>
      </c>
      <c r="C637" s="1693"/>
      <c r="D637" s="1693"/>
      <c r="E637" s="1693"/>
      <c r="F637" s="1693"/>
      <c r="G637" s="1693"/>
      <c r="H637" s="1693"/>
      <c r="I637" s="1693"/>
      <c r="J637" s="1693"/>
      <c r="K637" s="1693"/>
      <c r="L637" s="1693"/>
      <c r="M637" s="1700" t="s">
        <v>1290</v>
      </c>
      <c r="N637" s="1700"/>
      <c r="O637" s="1700"/>
      <c r="P637" s="1700"/>
      <c r="Q637" s="1697"/>
      <c r="R637" s="1556"/>
      <c r="S637" s="1698"/>
      <c r="T637" s="1697"/>
      <c r="U637" s="1556"/>
      <c r="V637" s="1698"/>
      <c r="W637" s="1689"/>
      <c r="X637" s="1690"/>
      <c r="Y637" s="1691"/>
      <c r="Z637" s="1518" t="s">
        <v>1290</v>
      </c>
      <c r="AA637" s="1519"/>
      <c r="AB637" s="1520"/>
      <c r="AC637" s="1452"/>
      <c r="AD637" s="1453"/>
      <c r="AE637" s="1454"/>
      <c r="AF637" s="1586"/>
      <c r="AG637" s="1587"/>
      <c r="AH637" s="1587"/>
      <c r="AI637" s="1587"/>
      <c r="AJ637" s="1588"/>
      <c r="AK637" s="1694"/>
      <c r="AL637" s="1695"/>
      <c r="AM637" s="1695"/>
      <c r="AN637" s="1696"/>
      <c r="AO637" s="1582"/>
      <c r="AP637" s="1583"/>
      <c r="AQ637" s="1583"/>
      <c r="AR637" s="1583"/>
      <c r="AS637" s="1584"/>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0</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8" t="e">
        <f t="shared" si="31"/>
        <v>#VALUE!</v>
      </c>
      <c r="DY637" s="1388"/>
      <c r="DZ637" s="1388"/>
      <c r="EA637" s="1388"/>
      <c r="EB637" s="1388"/>
      <c r="EC637" s="1388">
        <f t="shared" si="26"/>
        <v>770.47619047619048</v>
      </c>
      <c r="ED637" s="1388"/>
      <c r="EE637" s="1388"/>
      <c r="EF637" s="1388"/>
      <c r="EG637" s="1388"/>
      <c r="EH637" s="1388" t="e">
        <f t="shared" si="27"/>
        <v>#VALUE!</v>
      </c>
      <c r="EI637" s="1388"/>
      <c r="EJ637" s="1388"/>
      <c r="EK637" s="1388"/>
      <c r="EL637" s="1388"/>
      <c r="EM637" s="1388" t="e">
        <f t="shared" si="28"/>
        <v>#VALUE!</v>
      </c>
      <c r="EN637" s="1388"/>
      <c r="EO637" s="1388"/>
      <c r="EP637" s="1388"/>
      <c r="EQ637" s="1388"/>
      <c r="ER637" s="1388" t="e">
        <f t="shared" si="29"/>
        <v>#VALUE!</v>
      </c>
      <c r="ES637" s="1388"/>
      <c r="ET637" s="1388"/>
      <c r="EU637" s="1388"/>
      <c r="EV637" s="1388"/>
      <c r="EW637" s="1388" t="e">
        <f t="shared" si="30"/>
        <v>#VALUE!</v>
      </c>
      <c r="EX637" s="1388"/>
      <c r="EY637" s="1388"/>
      <c r="EZ637" s="1388"/>
      <c r="FA637" s="1388"/>
    </row>
    <row r="638" spans="2:157" ht="13" customHeight="1">
      <c r="B638" s="52" t="s">
        <v>363</v>
      </c>
      <c r="C638" s="1693"/>
      <c r="D638" s="1693"/>
      <c r="E638" s="1693"/>
      <c r="F638" s="1693"/>
      <c r="G638" s="1693"/>
      <c r="H638" s="1693"/>
      <c r="I638" s="1693"/>
      <c r="J638" s="1693"/>
      <c r="K638" s="1693"/>
      <c r="L638" s="1693"/>
      <c r="M638" s="1700" t="s">
        <v>1290</v>
      </c>
      <c r="N638" s="1700"/>
      <c r="O638" s="1700"/>
      <c r="P638" s="1700"/>
      <c r="Q638" s="1697"/>
      <c r="R638" s="1556"/>
      <c r="S638" s="1698"/>
      <c r="T638" s="1697"/>
      <c r="U638" s="1556"/>
      <c r="V638" s="1698"/>
      <c r="W638" s="1689"/>
      <c r="X638" s="1690"/>
      <c r="Y638" s="1691"/>
      <c r="Z638" s="1518" t="s">
        <v>1290</v>
      </c>
      <c r="AA638" s="1519"/>
      <c r="AB638" s="1520"/>
      <c r="AC638" s="1452"/>
      <c r="AD638" s="1453"/>
      <c r="AE638" s="1454"/>
      <c r="AF638" s="1586"/>
      <c r="AG638" s="1587"/>
      <c r="AH638" s="1587"/>
      <c r="AI638" s="1587"/>
      <c r="AJ638" s="1588"/>
      <c r="AK638" s="1694"/>
      <c r="AL638" s="1695"/>
      <c r="AM638" s="1695"/>
      <c r="AN638" s="1696"/>
      <c r="AO638" s="1582"/>
      <c r="AP638" s="1583"/>
      <c r="AQ638" s="1583"/>
      <c r="AR638" s="1583"/>
      <c r="AS638" s="158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8" t="e">
        <f t="shared" si="31"/>
        <v>#VALUE!</v>
      </c>
      <c r="DY638" s="1388"/>
      <c r="DZ638" s="1388"/>
      <c r="EA638" s="1388"/>
      <c r="EB638" s="1388"/>
      <c r="EC638" s="1388">
        <f t="shared" si="26"/>
        <v>14.285714285714285</v>
      </c>
      <c r="ED638" s="1388"/>
      <c r="EE638" s="1388"/>
      <c r="EF638" s="1388"/>
      <c r="EG638" s="1388"/>
      <c r="EH638" s="1388" t="e">
        <f t="shared" si="27"/>
        <v>#VALUE!</v>
      </c>
      <c r="EI638" s="1388"/>
      <c r="EJ638" s="1388"/>
      <c r="EK638" s="1388"/>
      <c r="EL638" s="1388"/>
      <c r="EM638" s="1388" t="e">
        <f t="shared" si="28"/>
        <v>#VALUE!</v>
      </c>
      <c r="EN638" s="1388"/>
      <c r="EO638" s="1388"/>
      <c r="EP638" s="1388"/>
      <c r="EQ638" s="1388"/>
      <c r="ER638" s="1388" t="e">
        <f t="shared" si="29"/>
        <v>#VALUE!</v>
      </c>
      <c r="ES638" s="1388"/>
      <c r="ET638" s="1388"/>
      <c r="EU638" s="1388"/>
      <c r="EV638" s="1388"/>
      <c r="EW638" s="1388" t="e">
        <f t="shared" si="30"/>
        <v>#VALUE!</v>
      </c>
      <c r="EX638" s="1388"/>
      <c r="EY638" s="1388"/>
      <c r="EZ638" s="1388"/>
      <c r="FA638" s="1388"/>
    </row>
    <row r="639" spans="2:157" ht="13" customHeight="1">
      <c r="B639" s="1602" t="s">
        <v>128</v>
      </c>
      <c r="C639" s="1603"/>
      <c r="D639" s="1603"/>
      <c r="E639" s="1603"/>
      <c r="F639" s="1603"/>
      <c r="G639" s="1603"/>
      <c r="H639" s="1603"/>
      <c r="I639" s="1603"/>
      <c r="J639" s="1603"/>
      <c r="K639" s="1603"/>
      <c r="L639" s="1603"/>
      <c r="M639" s="1603"/>
      <c r="N639" s="1603"/>
      <c r="O639" s="1603"/>
      <c r="P639" s="1603"/>
      <c r="Q639" s="1603"/>
      <c r="R639" s="1603"/>
      <c r="S639" s="1603"/>
      <c r="T639" s="1603"/>
      <c r="U639" s="1603"/>
      <c r="V639" s="1603"/>
      <c r="W639" s="1603"/>
      <c r="X639" s="1603"/>
      <c r="Y639" s="1603"/>
      <c r="Z639" s="1603"/>
      <c r="AA639" s="1603"/>
      <c r="AB639" s="1603"/>
      <c r="AC639" s="1603"/>
      <c r="AD639" s="1603"/>
      <c r="AE639" s="1603"/>
      <c r="AF639" s="1603"/>
      <c r="AG639" s="1603"/>
      <c r="AH639" s="1603"/>
      <c r="AI639" s="1603"/>
      <c r="AJ639" s="1603"/>
      <c r="AK639" s="1603"/>
      <c r="AL639" s="1603"/>
      <c r="AM639" s="1603"/>
      <c r="AN639" s="1604"/>
      <c r="AO639" s="1590">
        <f>SUM(AO627:AR638)</f>
        <v>17711023</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88" t="e">
        <f t="shared" si="31"/>
        <v>#VALUE!</v>
      </c>
      <c r="DY639" s="1388"/>
      <c r="DZ639" s="1388"/>
      <c r="EA639" s="1388"/>
      <c r="EB639" s="1388"/>
      <c r="EC639" s="1388" t="e">
        <f t="shared" si="26"/>
        <v>#VALUE!</v>
      </c>
      <c r="ED639" s="1388"/>
      <c r="EE639" s="1388"/>
      <c r="EF639" s="1388"/>
      <c r="EG639" s="1388"/>
      <c r="EH639" s="1388" t="e">
        <f t="shared" si="27"/>
        <v>#VALUE!</v>
      </c>
      <c r="EI639" s="1388"/>
      <c r="EJ639" s="1388"/>
      <c r="EK639" s="1388"/>
      <c r="EL639" s="1388"/>
      <c r="EM639" s="1388" t="e">
        <f t="shared" si="28"/>
        <v>#VALUE!</v>
      </c>
      <c r="EN639" s="1388"/>
      <c r="EO639" s="1388"/>
      <c r="EP639" s="1388"/>
      <c r="EQ639" s="1388"/>
      <c r="ER639" s="1388" t="e">
        <f t="shared" si="29"/>
        <v>#VALUE!</v>
      </c>
      <c r="ES639" s="1388"/>
      <c r="ET639" s="1388"/>
      <c r="EU639" s="1388"/>
      <c r="EV639" s="1388"/>
      <c r="EW639" s="1388" t="e">
        <f t="shared" si="30"/>
        <v>#VALUE!</v>
      </c>
      <c r="EX639" s="1388"/>
      <c r="EY639" s="1388"/>
      <c r="EZ639" s="1388"/>
      <c r="FA639" s="1388"/>
    </row>
    <row r="640" spans="2:157" ht="13" customHeight="1">
      <c r="B640" s="1602" t="s">
        <v>268</v>
      </c>
      <c r="C640" s="1603"/>
      <c r="D640" s="1603"/>
      <c r="E640" s="1603"/>
      <c r="F640" s="1603"/>
      <c r="G640" s="1603"/>
      <c r="H640" s="1603"/>
      <c r="I640" s="1603"/>
      <c r="J640" s="1603"/>
      <c r="K640" s="1603"/>
      <c r="L640" s="1603"/>
      <c r="M640" s="1603"/>
      <c r="N640" s="1603"/>
      <c r="O640" s="1603"/>
      <c r="P640" s="1603"/>
      <c r="Q640" s="1603"/>
      <c r="R640" s="1603"/>
      <c r="S640" s="1603"/>
      <c r="T640" s="1603"/>
      <c r="U640" s="1603"/>
      <c r="V640" s="1603"/>
      <c r="W640" s="1603"/>
      <c r="X640" s="1603"/>
      <c r="Y640" s="1603"/>
      <c r="Z640" s="1603"/>
      <c r="AA640" s="1603"/>
      <c r="AB640" s="1603"/>
      <c r="AC640" s="1603"/>
      <c r="AD640" s="1603"/>
      <c r="AE640" s="1603"/>
      <c r="AF640" s="1603"/>
      <c r="AG640" s="1603"/>
      <c r="AH640" s="1603"/>
      <c r="AI640" s="1603"/>
      <c r="AJ640" s="1603"/>
      <c r="AK640" s="1603"/>
      <c r="AL640" s="1603"/>
      <c r="AM640" s="1603"/>
      <c r="AN640" s="1604"/>
      <c r="AO640" s="1582">
        <f>[1]budgets!$C$16+[1]budgets!$C$17-[1]budgets!$C$118</f>
        <v>20414428.821293056</v>
      </c>
      <c r="AP640" s="1583"/>
      <c r="AQ640" s="1583"/>
      <c r="AR640" s="1583"/>
      <c r="AS640" s="1584"/>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8" t="e">
        <f t="shared" si="31"/>
        <v>#VALUE!</v>
      </c>
      <c r="DY640" s="1388"/>
      <c r="DZ640" s="1388"/>
      <c r="EA640" s="1388"/>
      <c r="EB640" s="1388"/>
      <c r="EC640" s="1388" t="e">
        <f t="shared" si="26"/>
        <v>#VALUE!</v>
      </c>
      <c r="ED640" s="1388"/>
      <c r="EE640" s="1388"/>
      <c r="EF640" s="1388"/>
      <c r="EG640" s="1388"/>
      <c r="EH640" s="1388" t="e">
        <f t="shared" si="27"/>
        <v>#VALUE!</v>
      </c>
      <c r="EI640" s="1388"/>
      <c r="EJ640" s="1388"/>
      <c r="EK640" s="1388"/>
      <c r="EL640" s="1388"/>
      <c r="EM640" s="1388" t="e">
        <f t="shared" si="28"/>
        <v>#VALUE!</v>
      </c>
      <c r="EN640" s="1388"/>
      <c r="EO640" s="1388"/>
      <c r="EP640" s="1388"/>
      <c r="EQ640" s="1388"/>
      <c r="ER640" s="1388" t="e">
        <f t="shared" si="29"/>
        <v>#VALUE!</v>
      </c>
      <c r="ES640" s="1388"/>
      <c r="ET640" s="1388"/>
      <c r="EU640" s="1388"/>
      <c r="EV640" s="1388"/>
      <c r="EW640" s="1388" t="e">
        <f t="shared" si="30"/>
        <v>#VALUE!</v>
      </c>
      <c r="EX640" s="1388"/>
      <c r="EY640" s="1388"/>
      <c r="EZ640" s="1388"/>
      <c r="FA640" s="1388"/>
    </row>
    <row r="641" spans="1:157" ht="13" customHeight="1">
      <c r="B641" s="1847" t="s">
        <v>269</v>
      </c>
      <c r="C641" s="1702"/>
      <c r="D641" s="1702"/>
      <c r="E641" s="1702"/>
      <c r="F641" s="1702"/>
      <c r="G641" s="1702"/>
      <c r="H641" s="1702"/>
      <c r="I641" s="1702"/>
      <c r="J641" s="1702"/>
      <c r="K641" s="1702"/>
      <c r="L641" s="1702"/>
      <c r="M641" s="1702"/>
      <c r="N641" s="1702"/>
      <c r="O641" s="1702"/>
      <c r="P641" s="1702"/>
      <c r="Q641" s="1702"/>
      <c r="R641" s="1702"/>
      <c r="S641" s="1702"/>
      <c r="T641" s="1702"/>
      <c r="U641" s="1702"/>
      <c r="V641" s="1702"/>
      <c r="W641" s="1702"/>
      <c r="X641" s="1702"/>
      <c r="Y641" s="1702"/>
      <c r="Z641" s="1702"/>
      <c r="AA641" s="1702"/>
      <c r="AB641" s="1702"/>
      <c r="AC641" s="1702"/>
      <c r="AD641" s="1702"/>
      <c r="AE641" s="1702"/>
      <c r="AF641" s="1702"/>
      <c r="AG641" s="1702"/>
      <c r="AH641" s="1702"/>
      <c r="AI641" s="1702"/>
      <c r="AJ641" s="1702"/>
      <c r="AK641" s="1702"/>
      <c r="AL641" s="1702"/>
      <c r="AM641" s="1702"/>
      <c r="AN641" s="1848"/>
      <c r="AO641" s="1590">
        <f>AO639+AO640</f>
        <v>38125451.821293056</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8">
        <f>SUM(BN637:BR640)</f>
        <v>0</v>
      </c>
      <c r="BO641" s="1517"/>
      <c r="BP641" s="1517"/>
      <c r="BQ641" s="1517"/>
      <c r="BR641" s="1399"/>
      <c r="BS641" s="1716">
        <f>SUM(BS637:BW640)</f>
        <v>0</v>
      </c>
      <c r="BT641" s="1717"/>
      <c r="BU641" s="1717"/>
      <c r="BV641" s="1717"/>
      <c r="BW641" s="1718"/>
      <c r="BX641" s="1716">
        <f>SUM(BX637:CB640)</f>
        <v>0</v>
      </c>
      <c r="BY641" s="1717"/>
      <c r="BZ641" s="1717"/>
      <c r="CA641" s="1717"/>
      <c r="CB641" s="1718"/>
      <c r="CC641" s="1716">
        <f>SUM(CC637:CG640)</f>
        <v>0</v>
      </c>
      <c r="CD641" s="1717"/>
      <c r="CE641" s="1717"/>
      <c r="CF641" s="1717"/>
      <c r="CG641" s="1718"/>
      <c r="CH641" s="1716">
        <f>SUM(CH637:CL640)</f>
        <v>0</v>
      </c>
      <c r="CI641" s="1717"/>
      <c r="CJ641" s="1717"/>
      <c r="CK641" s="1717"/>
      <c r="CL641" s="1718"/>
      <c r="CM641" s="1716">
        <f>SUM(CM637:CQ640)</f>
        <v>0</v>
      </c>
      <c r="CN641" s="1717"/>
      <c r="CO641" s="1717"/>
      <c r="CP641" s="1717"/>
      <c r="CQ641" s="1718"/>
      <c r="CS641" s="895">
        <f>BN641+BS641+BX641+CC641+CH641+CM641</f>
        <v>0</v>
      </c>
      <c r="CT641" s="57" t="s">
        <v>2049</v>
      </c>
      <c r="CU641" s="3"/>
      <c r="CV641" s="3"/>
      <c r="CW641" s="3"/>
      <c r="CX641" s="3"/>
      <c r="CY641" s="3"/>
      <c r="CZ641" s="3"/>
      <c r="DA641" s="3"/>
      <c r="DB641" s="3"/>
      <c r="DC641" s="3"/>
      <c r="DD641" s="3"/>
      <c r="DE641" s="3"/>
      <c r="DF641" s="3"/>
      <c r="DX641" s="1388" t="e">
        <f t="shared" si="31"/>
        <v>#VALUE!</v>
      </c>
      <c r="DY641" s="1388"/>
      <c r="DZ641" s="1388"/>
      <c r="EA641" s="1388"/>
      <c r="EB641" s="1388"/>
      <c r="EC641" s="1388" t="e">
        <f t="shared" si="26"/>
        <v>#VALUE!</v>
      </c>
      <c r="ED641" s="1388"/>
      <c r="EE641" s="1388"/>
      <c r="EF641" s="1388"/>
      <c r="EG641" s="1388"/>
      <c r="EH641" s="1388" t="e">
        <f t="shared" si="27"/>
        <v>#VALUE!</v>
      </c>
      <c r="EI641" s="1388"/>
      <c r="EJ641" s="1388"/>
      <c r="EK641" s="1388"/>
      <c r="EL641" s="1388"/>
      <c r="EM641" s="1388" t="e">
        <f t="shared" si="28"/>
        <v>#VALUE!</v>
      </c>
      <c r="EN641" s="1388"/>
      <c r="EO641" s="1388"/>
      <c r="EP641" s="1388"/>
      <c r="EQ641" s="1388"/>
      <c r="ER641" s="1388" t="e">
        <f t="shared" si="29"/>
        <v>#VALUE!</v>
      </c>
      <c r="ES641" s="1388"/>
      <c r="ET641" s="1388"/>
      <c r="EU641" s="1388"/>
      <c r="EV641" s="1388"/>
      <c r="EW641" s="1388" t="e">
        <f t="shared" si="30"/>
        <v>#VALUE!</v>
      </c>
      <c r="EX641" s="1388"/>
      <c r="EY641" s="1388"/>
      <c r="EZ641" s="1388"/>
      <c r="FA641" s="1388"/>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0</v>
      </c>
      <c r="CT642" s="57" t="s">
        <v>2051</v>
      </c>
      <c r="CU642" s="3"/>
      <c r="CV642" s="3"/>
      <c r="CW642" s="3"/>
      <c r="CX642" s="3"/>
      <c r="CY642" s="3"/>
      <c r="CZ642" s="3"/>
      <c r="DA642" s="3"/>
      <c r="DB642" s="3"/>
      <c r="DC642" s="3"/>
      <c r="DD642" s="3"/>
      <c r="DE642" s="3"/>
      <c r="DF642" s="3"/>
      <c r="DX642" s="1388" t="e">
        <f t="shared" si="31"/>
        <v>#VALUE!</v>
      </c>
      <c r="DY642" s="1388"/>
      <c r="DZ642" s="1388"/>
      <c r="EA642" s="1388"/>
      <c r="EB642" s="1388"/>
      <c r="EC642" s="1388" t="e">
        <f t="shared" si="26"/>
        <v>#VALUE!</v>
      </c>
      <c r="ED642" s="1388"/>
      <c r="EE642" s="1388"/>
      <c r="EF642" s="1388"/>
      <c r="EG642" s="1388"/>
      <c r="EH642" s="1388" t="e">
        <f t="shared" si="27"/>
        <v>#VALUE!</v>
      </c>
      <c r="EI642" s="1388"/>
      <c r="EJ642" s="1388"/>
      <c r="EK642" s="1388"/>
      <c r="EL642" s="1388"/>
      <c r="EM642" s="1388" t="e">
        <f t="shared" si="28"/>
        <v>#VALUE!</v>
      </c>
      <c r="EN642" s="1388"/>
      <c r="EO642" s="1388"/>
      <c r="EP642" s="1388"/>
      <c r="EQ642" s="1388"/>
      <c r="ER642" s="1388" t="e">
        <f t="shared" si="29"/>
        <v>#VALUE!</v>
      </c>
      <c r="ES642" s="1388"/>
      <c r="ET642" s="1388"/>
      <c r="EU642" s="1388"/>
      <c r="EV642" s="1388"/>
      <c r="EW642" s="1388" t="e">
        <f t="shared" si="30"/>
        <v>#VALUE!</v>
      </c>
      <c r="EX642" s="1388"/>
      <c r="EY642" s="1388"/>
      <c r="EZ642" s="1388"/>
      <c r="FA642" s="1388"/>
    </row>
    <row r="643" spans="1:157" ht="13" customHeight="1">
      <c r="A643" s="55" t="s">
        <v>112</v>
      </c>
      <c r="B643" t="s">
        <v>471</v>
      </c>
      <c r="G643" s="1516" t="str">
        <f>C627</f>
        <v>US Bank - Perm Loan</v>
      </c>
      <c r="H643" s="1516"/>
      <c r="I643" s="1516"/>
      <c r="J643" s="1516"/>
      <c r="K643" s="1516"/>
      <c r="L643" s="1516"/>
      <c r="M643" s="1516"/>
      <c r="N643" s="1516"/>
      <c r="O643" s="1516"/>
      <c r="P643" s="1516"/>
      <c r="Q643" s="1516"/>
      <c r="R643" s="1516"/>
      <c r="S643" s="8"/>
      <c r="T643" s="55" t="s">
        <v>113</v>
      </c>
      <c r="U643" t="s">
        <v>471</v>
      </c>
      <c r="Z643" s="1516" t="str">
        <f>C628</f>
        <v>HCD National Housing Trust Fund</v>
      </c>
      <c r="AA643" s="1516"/>
      <c r="AB643" s="1516"/>
      <c r="AC643" s="1516"/>
      <c r="AD643" s="1516"/>
      <c r="AE643" s="1516"/>
      <c r="AF643" s="1516"/>
      <c r="AG643" s="1516"/>
      <c r="AH643" s="1516"/>
      <c r="AI643" s="1516"/>
      <c r="AJ643" s="1516"/>
      <c r="AK643" s="151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8" t="e">
        <f t="shared" si="31"/>
        <v>#VALUE!</v>
      </c>
      <c r="DY643" s="1388"/>
      <c r="DZ643" s="1388"/>
      <c r="EA643" s="1388"/>
      <c r="EB643" s="1388"/>
      <c r="EC643" s="1388" t="e">
        <f t="shared" si="26"/>
        <v>#VALUE!</v>
      </c>
      <c r="ED643" s="1388"/>
      <c r="EE643" s="1388"/>
      <c r="EF643" s="1388"/>
      <c r="EG643" s="1388"/>
      <c r="EH643" s="1388" t="e">
        <f t="shared" si="27"/>
        <v>#VALUE!</v>
      </c>
      <c r="EI643" s="1388"/>
      <c r="EJ643" s="1388"/>
      <c r="EK643" s="1388"/>
      <c r="EL643" s="1388"/>
      <c r="EM643" s="1388" t="e">
        <f t="shared" si="28"/>
        <v>#VALUE!</v>
      </c>
      <c r="EN643" s="1388"/>
      <c r="EO643" s="1388"/>
      <c r="EP643" s="1388"/>
      <c r="EQ643" s="1388"/>
      <c r="ER643" s="1388" t="e">
        <f t="shared" si="29"/>
        <v>#VALUE!</v>
      </c>
      <c r="ES643" s="1388"/>
      <c r="ET643" s="1388"/>
      <c r="EU643" s="1388"/>
      <c r="EV643" s="1388"/>
      <c r="EW643" s="1388" t="e">
        <f t="shared" si="30"/>
        <v>#VALUE!</v>
      </c>
      <c r="EX643" s="1388"/>
      <c r="EY643" s="1388"/>
      <c r="EZ643" s="1388"/>
      <c r="FA643" s="1388"/>
    </row>
    <row r="644" spans="1:157" ht="13" customHeight="1">
      <c r="A644" s="22"/>
      <c r="B644" t="s">
        <v>85</v>
      </c>
      <c r="G644" s="1460" t="s">
        <v>2769</v>
      </c>
      <c r="H644" s="1460"/>
      <c r="I644" s="1460"/>
      <c r="J644" s="1460"/>
      <c r="K644" s="1460"/>
      <c r="L644" s="1460"/>
      <c r="M644" s="1460"/>
      <c r="N644" s="1460"/>
      <c r="O644" s="1460"/>
      <c r="P644" s="1460"/>
      <c r="Q644" s="1460"/>
      <c r="R644" s="1460"/>
      <c r="S644" s="8"/>
      <c r="T644" s="22"/>
      <c r="U644" t="s">
        <v>85</v>
      </c>
      <c r="Z644" s="1460" t="s">
        <v>2789</v>
      </c>
      <c r="AA644" s="1460"/>
      <c r="AB644" s="1460"/>
      <c r="AC644" s="1460"/>
      <c r="AD644" s="1460"/>
      <c r="AE644" s="1460"/>
      <c r="AF644" s="1460"/>
      <c r="AG644" s="1460"/>
      <c r="AH644" s="1460"/>
      <c r="AI644" s="1460"/>
      <c r="AJ644" s="1460"/>
      <c r="AK644" s="146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8" t="e">
        <f t="shared" si="31"/>
        <v>#VALUE!</v>
      </c>
      <c r="DY644" s="1388"/>
      <c r="DZ644" s="1388"/>
      <c r="EA644" s="1388"/>
      <c r="EB644" s="1388"/>
      <c r="EC644" s="1388" t="e">
        <f t="shared" si="26"/>
        <v>#VALUE!</v>
      </c>
      <c r="ED644" s="1388"/>
      <c r="EE644" s="1388"/>
      <c r="EF644" s="1388"/>
      <c r="EG644" s="1388"/>
      <c r="EH644" s="1388" t="e">
        <f t="shared" si="27"/>
        <v>#VALUE!</v>
      </c>
      <c r="EI644" s="1388"/>
      <c r="EJ644" s="1388"/>
      <c r="EK644" s="1388"/>
      <c r="EL644" s="1388"/>
      <c r="EM644" s="1388" t="e">
        <f t="shared" si="28"/>
        <v>#VALUE!</v>
      </c>
      <c r="EN644" s="1388"/>
      <c r="EO644" s="1388"/>
      <c r="EP644" s="1388"/>
      <c r="EQ644" s="1388"/>
      <c r="ER644" s="1388" t="e">
        <f t="shared" si="29"/>
        <v>#VALUE!</v>
      </c>
      <c r="ES644" s="1388"/>
      <c r="ET644" s="1388"/>
      <c r="EU644" s="1388"/>
      <c r="EV644" s="1388"/>
      <c r="EW644" s="1388" t="e">
        <f t="shared" si="30"/>
        <v>#VALUE!</v>
      </c>
      <c r="EX644" s="1388"/>
      <c r="EY644" s="1388"/>
      <c r="EZ644" s="1388"/>
      <c r="FA644" s="1388"/>
    </row>
    <row r="645" spans="1:157" ht="13" customHeight="1">
      <c r="A645" s="22"/>
      <c r="B645" t="s">
        <v>588</v>
      </c>
      <c r="G645" s="1460" t="s">
        <v>2770</v>
      </c>
      <c r="H645" s="1460"/>
      <c r="I645" s="1460"/>
      <c r="J645" s="1460"/>
      <c r="K645" s="1460"/>
      <c r="L645" s="1460"/>
      <c r="M645" s="1460"/>
      <c r="N645" s="1460"/>
      <c r="O645" s="1460"/>
      <c r="P645" s="1460"/>
      <c r="Q645" s="1460"/>
      <c r="R645" s="1460"/>
      <c r="T645" s="22"/>
      <c r="U645" t="s">
        <v>588</v>
      </c>
      <c r="Z645" s="1443" t="s">
        <v>68</v>
      </c>
      <c r="AA645" s="1443"/>
      <c r="AB645" s="1443"/>
      <c r="AC645" s="1443"/>
      <c r="AD645" s="1443"/>
      <c r="AE645" s="1443"/>
      <c r="AF645" s="1443"/>
      <c r="AG645" s="1443"/>
      <c r="AH645" s="1443"/>
      <c r="AI645" s="1443"/>
      <c r="AJ645" s="1443"/>
      <c r="AK645" s="1443"/>
      <c r="AV645" s="3"/>
      <c r="AW645" s="3"/>
      <c r="AX645" s="3"/>
      <c r="AY645" s="3"/>
      <c r="AZ645" s="3"/>
      <c r="BA645" s="3"/>
      <c r="BB645" s="3"/>
      <c r="BC645" s="3"/>
      <c r="BD645" s="3"/>
      <c r="BE645" s="3"/>
      <c r="BF645" s="3"/>
      <c r="BG645" s="3"/>
      <c r="BH645" s="3"/>
      <c r="BI645" s="3"/>
      <c r="BJ645" s="3"/>
      <c r="BK645" s="3"/>
      <c r="BL645" s="3"/>
      <c r="BM645" s="3"/>
      <c r="BN645" s="1395">
        <f t="shared" ref="BN645:BN654" si="32">IF(J787="SRO/Studio",O787,0)</f>
        <v>0</v>
      </c>
      <c r="BO645" s="1396"/>
      <c r="BP645" s="1396"/>
      <c r="BQ645" s="1396"/>
      <c r="BR645" s="1397"/>
      <c r="BS645" s="1394">
        <f t="shared" ref="BS645:BS654" si="33">IF(J787="1 Bedroom",O787,0)</f>
        <v>0</v>
      </c>
      <c r="BT645" s="1394"/>
      <c r="BU645" s="1394"/>
      <c r="BV645" s="1394"/>
      <c r="BW645" s="1394"/>
      <c r="BX645" s="1394">
        <f t="shared" ref="BX645:BX654" si="34">IF(J787="2 Bedrooms",O787,0)</f>
        <v>0</v>
      </c>
      <c r="BY645" s="1394"/>
      <c r="BZ645" s="1394"/>
      <c r="CA645" s="1394"/>
      <c r="CB645" s="1394"/>
      <c r="CC645" s="1394">
        <f t="shared" ref="CC645:CC654" si="35">IF(J787="3 Bedrooms",O787,0)</f>
        <v>0</v>
      </c>
      <c r="CD645" s="1394"/>
      <c r="CE645" s="1394"/>
      <c r="CF645" s="1394"/>
      <c r="CG645" s="1394"/>
      <c r="CH645" s="1394">
        <f t="shared" ref="CH645:CH654" si="36">IF(J787="4 Bedrooms",O787,0)</f>
        <v>0</v>
      </c>
      <c r="CI645" s="1394"/>
      <c r="CJ645" s="1394"/>
      <c r="CK645" s="1394"/>
      <c r="CL645" s="1394"/>
      <c r="CM645" s="1394">
        <f t="shared" ref="CM645:CM654" si="37">IF(J787="5 Bedrooms",O787,0)</f>
        <v>0</v>
      </c>
      <c r="CN645" s="1394"/>
      <c r="CO645" s="1394"/>
      <c r="CP645" s="1394"/>
      <c r="CQ645" s="1394"/>
      <c r="CR645" s="6"/>
      <c r="CS645" s="1395">
        <f t="shared" ref="CS645:CS654" si="38">IF(AND(BN645&gt;=1,AH787&gt;=0.1,AH787&lt;=1),O787,0)</f>
        <v>0</v>
      </c>
      <c r="CT645" s="1396"/>
      <c r="CU645" s="1396"/>
      <c r="CV645" s="1396"/>
      <c r="CW645" s="1397"/>
      <c r="CX645" s="1395">
        <f t="shared" ref="CX645:CX654" si="39">IF(AND(BS645&gt;=1,AH787&gt;=0.1,AH787&lt;=1),O787,0)</f>
        <v>0</v>
      </c>
      <c r="CY645" s="1396"/>
      <c r="CZ645" s="1396"/>
      <c r="DA645" s="1396"/>
      <c r="DB645" s="1397"/>
      <c r="DC645" s="1395">
        <f t="shared" ref="DC645:DC654" si="40">IF(AND(BX645&gt;=1,AH787&gt;=0.1,AH787&lt;=1),O787,0)</f>
        <v>0</v>
      </c>
      <c r="DD645" s="1396"/>
      <c r="DE645" s="1396"/>
      <c r="DF645" s="1396"/>
      <c r="DG645" s="1397"/>
      <c r="DH645" s="1395">
        <f t="shared" ref="DH645:DH654" si="41">IF(AND(CC645&gt;=1,AH787&gt;=0.1,AH787&lt;=1),O787,0)</f>
        <v>0</v>
      </c>
      <c r="DI645" s="1396"/>
      <c r="DJ645" s="1396"/>
      <c r="DK645" s="1396"/>
      <c r="DL645" s="1397"/>
      <c r="DM645" s="1395">
        <f t="shared" ref="DM645:DM654" si="42">IF(AND(CH645&gt;=1,AH787&gt;=0.1,AH787&lt;=1),O787,0)</f>
        <v>0</v>
      </c>
      <c r="DN645" s="1396"/>
      <c r="DO645" s="1396"/>
      <c r="DP645" s="1396"/>
      <c r="DQ645" s="1397"/>
      <c r="DR645" s="1395">
        <f t="shared" ref="DR645:DR654" si="43">IF(AND(CM645&gt;=1,AH787&gt;=0.1,AH787&lt;=1),O787,0)</f>
        <v>0</v>
      </c>
      <c r="DS645" s="1396"/>
      <c r="DT645" s="1396"/>
      <c r="DU645" s="1396"/>
      <c r="DV645" s="1397"/>
      <c r="DX645" s="1388" t="e">
        <f t="shared" si="31"/>
        <v>#VALUE!</v>
      </c>
      <c r="DY645" s="1388"/>
      <c r="DZ645" s="1388"/>
      <c r="EA645" s="1388"/>
      <c r="EB645" s="1388"/>
      <c r="EC645" s="1388" t="e">
        <f t="shared" si="26"/>
        <v>#VALUE!</v>
      </c>
      <c r="ED645" s="1388"/>
      <c r="EE645" s="1388"/>
      <c r="EF645" s="1388"/>
      <c r="EG645" s="1388"/>
      <c r="EH645" s="1388" t="e">
        <f t="shared" si="27"/>
        <v>#VALUE!</v>
      </c>
      <c r="EI645" s="1388"/>
      <c r="EJ645" s="1388"/>
      <c r="EK645" s="1388"/>
      <c r="EL645" s="1388"/>
      <c r="EM645" s="1388" t="e">
        <f t="shared" si="28"/>
        <v>#VALUE!</v>
      </c>
      <c r="EN645" s="1388"/>
      <c r="EO645" s="1388"/>
      <c r="EP645" s="1388"/>
      <c r="EQ645" s="1388"/>
      <c r="ER645" s="1388" t="e">
        <f t="shared" si="29"/>
        <v>#VALUE!</v>
      </c>
      <c r="ES645" s="1388"/>
      <c r="ET645" s="1388"/>
      <c r="EU645" s="1388"/>
      <c r="EV645" s="1388"/>
      <c r="EW645" s="1388" t="e">
        <f t="shared" si="30"/>
        <v>#VALUE!</v>
      </c>
      <c r="EX645" s="1388"/>
      <c r="EY645" s="1388"/>
      <c r="EZ645" s="1388"/>
      <c r="FA645" s="1388"/>
    </row>
    <row r="646" spans="1:157" ht="13" customHeight="1">
      <c r="A646" s="22"/>
      <c r="B646" t="s">
        <v>17</v>
      </c>
      <c r="G646" s="1460" t="s">
        <v>2771</v>
      </c>
      <c r="H646" s="1460"/>
      <c r="I646" s="1460"/>
      <c r="J646" s="1460"/>
      <c r="K646" s="1460"/>
      <c r="L646" s="1460"/>
      <c r="M646" s="1460"/>
      <c r="N646" s="1460"/>
      <c r="O646" s="1460"/>
      <c r="P646" s="1460"/>
      <c r="Q646" s="1460"/>
      <c r="R646" s="1460"/>
      <c r="S646" s="8"/>
      <c r="T646" s="22"/>
      <c r="U646" t="s">
        <v>17</v>
      </c>
      <c r="Z646" s="1443" t="s">
        <v>2790</v>
      </c>
      <c r="AA646" s="1443"/>
      <c r="AB646" s="1443"/>
      <c r="AC646" s="1443"/>
      <c r="AD646" s="1443"/>
      <c r="AE646" s="1443"/>
      <c r="AF646" s="1443"/>
      <c r="AG646" s="1443"/>
      <c r="AH646" s="1443"/>
      <c r="AI646" s="1443"/>
      <c r="AJ646" s="1443"/>
      <c r="AK646" s="1443"/>
      <c r="AZ646" s="3"/>
      <c r="BA646" s="3"/>
      <c r="BB646" s="3"/>
      <c r="BC646" s="3"/>
      <c r="BD646" s="3"/>
      <c r="BE646" s="3"/>
      <c r="BF646" s="3"/>
      <c r="BG646" s="3"/>
      <c r="BH646" s="3"/>
      <c r="BI646" s="3"/>
      <c r="BJ646" s="3"/>
      <c r="BK646" s="3"/>
      <c r="BL646" s="3"/>
      <c r="BM646" s="3"/>
      <c r="BN646" s="1395">
        <f t="shared" si="32"/>
        <v>0</v>
      </c>
      <c r="BO646" s="1396"/>
      <c r="BP646" s="1396"/>
      <c r="BQ646" s="1396"/>
      <c r="BR646" s="1397"/>
      <c r="BS646" s="1394">
        <f t="shared" si="33"/>
        <v>0</v>
      </c>
      <c r="BT646" s="1394"/>
      <c r="BU646" s="1394"/>
      <c r="BV646" s="1394"/>
      <c r="BW646" s="1394"/>
      <c r="BX646" s="1394">
        <f t="shared" si="34"/>
        <v>0</v>
      </c>
      <c r="BY646" s="1394"/>
      <c r="BZ646" s="1394"/>
      <c r="CA646" s="1394"/>
      <c r="CB646" s="1394"/>
      <c r="CC646" s="1394">
        <f t="shared" si="35"/>
        <v>0</v>
      </c>
      <c r="CD646" s="1394"/>
      <c r="CE646" s="1394"/>
      <c r="CF646" s="1394"/>
      <c r="CG646" s="1394"/>
      <c r="CH646" s="1394">
        <f t="shared" si="36"/>
        <v>0</v>
      </c>
      <c r="CI646" s="1394"/>
      <c r="CJ646" s="1394"/>
      <c r="CK646" s="1394"/>
      <c r="CL646" s="1394"/>
      <c r="CM646" s="1394">
        <f t="shared" si="37"/>
        <v>0</v>
      </c>
      <c r="CN646" s="1394"/>
      <c r="CO646" s="1394"/>
      <c r="CP646" s="1394"/>
      <c r="CQ646" s="1394"/>
      <c r="CR646" s="6"/>
      <c r="CS646" s="1395">
        <f t="shared" si="38"/>
        <v>0</v>
      </c>
      <c r="CT646" s="1396"/>
      <c r="CU646" s="1396"/>
      <c r="CV646" s="1396"/>
      <c r="CW646" s="1397"/>
      <c r="CX646" s="1395">
        <f t="shared" si="39"/>
        <v>0</v>
      </c>
      <c r="CY646" s="1396"/>
      <c r="CZ646" s="1396"/>
      <c r="DA646" s="1396"/>
      <c r="DB646" s="1397"/>
      <c r="DC646" s="1395">
        <f t="shared" si="40"/>
        <v>0</v>
      </c>
      <c r="DD646" s="1396"/>
      <c r="DE646" s="1396"/>
      <c r="DF646" s="1396"/>
      <c r="DG646" s="1397"/>
      <c r="DH646" s="1395">
        <f t="shared" si="41"/>
        <v>0</v>
      </c>
      <c r="DI646" s="1396"/>
      <c r="DJ646" s="1396"/>
      <c r="DK646" s="1396"/>
      <c r="DL646" s="1397"/>
      <c r="DM646" s="1395">
        <f t="shared" si="42"/>
        <v>0</v>
      </c>
      <c r="DN646" s="1396"/>
      <c r="DO646" s="1396"/>
      <c r="DP646" s="1396"/>
      <c r="DQ646" s="1397"/>
      <c r="DR646" s="1395">
        <f t="shared" si="43"/>
        <v>0</v>
      </c>
      <c r="DS646" s="1396"/>
      <c r="DT646" s="1396"/>
      <c r="DU646" s="1396"/>
      <c r="DV646" s="1397"/>
      <c r="DX646" s="1388" t="e">
        <f t="shared" si="31"/>
        <v>#VALUE!</v>
      </c>
      <c r="DY646" s="1388"/>
      <c r="DZ646" s="1388"/>
      <c r="EA646" s="1388"/>
      <c r="EB646" s="1388"/>
      <c r="EC646" s="1388" t="e">
        <f t="shared" si="26"/>
        <v>#VALUE!</v>
      </c>
      <c r="ED646" s="1388"/>
      <c r="EE646" s="1388"/>
      <c r="EF646" s="1388"/>
      <c r="EG646" s="1388"/>
      <c r="EH646" s="1388" t="e">
        <f t="shared" si="27"/>
        <v>#VALUE!</v>
      </c>
      <c r="EI646" s="1388"/>
      <c r="EJ646" s="1388"/>
      <c r="EK646" s="1388"/>
      <c r="EL646" s="1388"/>
      <c r="EM646" s="1388" t="e">
        <f t="shared" si="28"/>
        <v>#VALUE!</v>
      </c>
      <c r="EN646" s="1388"/>
      <c r="EO646" s="1388"/>
      <c r="EP646" s="1388"/>
      <c r="EQ646" s="1388"/>
      <c r="ER646" s="1388" t="e">
        <f t="shared" si="29"/>
        <v>#VALUE!</v>
      </c>
      <c r="ES646" s="1388"/>
      <c r="ET646" s="1388"/>
      <c r="EU646" s="1388"/>
      <c r="EV646" s="1388"/>
      <c r="EW646" s="1388" t="e">
        <f t="shared" si="30"/>
        <v>#VALUE!</v>
      </c>
      <c r="EX646" s="1388"/>
      <c r="EY646" s="1388"/>
      <c r="EZ646" s="1388"/>
      <c r="FA646" s="1388"/>
    </row>
    <row r="647" spans="1:157" ht="13" customHeight="1">
      <c r="A647" s="22"/>
      <c r="B647" t="s">
        <v>317</v>
      </c>
      <c r="G647" s="1475" t="s">
        <v>2772</v>
      </c>
      <c r="H647" s="1475"/>
      <c r="I647" s="1475"/>
      <c r="J647" s="1475"/>
      <c r="K647" s="1475"/>
      <c r="L647" s="1475"/>
      <c r="O647" s="33" t="s">
        <v>207</v>
      </c>
      <c r="P647" s="1438"/>
      <c r="Q647" s="1438"/>
      <c r="R647" s="1438"/>
      <c r="S647" s="10"/>
      <c r="T647" s="22"/>
      <c r="U647" t="s">
        <v>317</v>
      </c>
      <c r="Z647" s="1475" t="s">
        <v>2791</v>
      </c>
      <c r="AA647" s="1475"/>
      <c r="AB647" s="1475"/>
      <c r="AC647" s="1475"/>
      <c r="AD647" s="1475"/>
      <c r="AE647" s="1475"/>
      <c r="AH647" s="33" t="s">
        <v>207</v>
      </c>
      <c r="AI647" s="1438"/>
      <c r="AJ647" s="1438"/>
      <c r="AK647" s="1438"/>
      <c r="AZ647" s="34"/>
      <c r="BA647" s="34"/>
      <c r="BB647" s="34"/>
      <c r="BC647" s="34"/>
      <c r="BD647" s="34"/>
      <c r="BE647" s="34"/>
      <c r="BF647" s="34"/>
      <c r="BG647" s="34"/>
      <c r="BH647" s="34"/>
      <c r="BI647" s="34"/>
      <c r="BJ647" s="34"/>
      <c r="BK647" s="34"/>
      <c r="BL647" s="34"/>
      <c r="BM647" s="34"/>
      <c r="BN647" s="1395">
        <f t="shared" si="32"/>
        <v>0</v>
      </c>
      <c r="BO647" s="1396"/>
      <c r="BP647" s="1396"/>
      <c r="BQ647" s="1396"/>
      <c r="BR647" s="1397"/>
      <c r="BS647" s="1394">
        <f t="shared" si="33"/>
        <v>0</v>
      </c>
      <c r="BT647" s="1394"/>
      <c r="BU647" s="1394"/>
      <c r="BV647" s="1394"/>
      <c r="BW647" s="1394"/>
      <c r="BX647" s="1394">
        <f t="shared" si="34"/>
        <v>0</v>
      </c>
      <c r="BY647" s="1394"/>
      <c r="BZ647" s="1394"/>
      <c r="CA647" s="1394"/>
      <c r="CB647" s="1394"/>
      <c r="CC647" s="1394">
        <f t="shared" si="35"/>
        <v>0</v>
      </c>
      <c r="CD647" s="1394"/>
      <c r="CE647" s="1394"/>
      <c r="CF647" s="1394"/>
      <c r="CG647" s="1394"/>
      <c r="CH647" s="1394">
        <f t="shared" si="36"/>
        <v>0</v>
      </c>
      <c r="CI647" s="1394"/>
      <c r="CJ647" s="1394"/>
      <c r="CK647" s="1394"/>
      <c r="CL647" s="1394"/>
      <c r="CM647" s="1394">
        <f t="shared" si="37"/>
        <v>0</v>
      </c>
      <c r="CN647" s="1394"/>
      <c r="CO647" s="1394"/>
      <c r="CP647" s="1394"/>
      <c r="CQ647" s="1394"/>
      <c r="CR647" s="6"/>
      <c r="CS647" s="1395">
        <f t="shared" si="38"/>
        <v>0</v>
      </c>
      <c r="CT647" s="1396"/>
      <c r="CU647" s="1396"/>
      <c r="CV647" s="1396"/>
      <c r="CW647" s="1397"/>
      <c r="CX647" s="1395">
        <f t="shared" si="39"/>
        <v>0</v>
      </c>
      <c r="CY647" s="1396"/>
      <c r="CZ647" s="1396"/>
      <c r="DA647" s="1396"/>
      <c r="DB647" s="1397"/>
      <c r="DC647" s="1395">
        <f t="shared" si="40"/>
        <v>0</v>
      </c>
      <c r="DD647" s="1396"/>
      <c r="DE647" s="1396"/>
      <c r="DF647" s="1396"/>
      <c r="DG647" s="1397"/>
      <c r="DH647" s="1395">
        <f t="shared" si="41"/>
        <v>0</v>
      </c>
      <c r="DI647" s="1396"/>
      <c r="DJ647" s="1396"/>
      <c r="DK647" s="1396"/>
      <c r="DL647" s="1397"/>
      <c r="DM647" s="1395">
        <f t="shared" si="42"/>
        <v>0</v>
      </c>
      <c r="DN647" s="1396"/>
      <c r="DO647" s="1396"/>
      <c r="DP647" s="1396"/>
      <c r="DQ647" s="1397"/>
      <c r="DR647" s="1395">
        <f t="shared" si="43"/>
        <v>0</v>
      </c>
      <c r="DS647" s="1396"/>
      <c r="DT647" s="1396"/>
      <c r="DU647" s="1396"/>
      <c r="DV647" s="1397"/>
      <c r="DX647" s="1388" t="e">
        <f t="shared" si="31"/>
        <v>#VALUE!</v>
      </c>
      <c r="DY647" s="1388"/>
      <c r="DZ647" s="1388"/>
      <c r="EA647" s="1388"/>
      <c r="EB647" s="1388"/>
      <c r="EC647" s="1388" t="e">
        <f t="shared" si="26"/>
        <v>#VALUE!</v>
      </c>
      <c r="ED647" s="1388"/>
      <c r="EE647" s="1388"/>
      <c r="EF647" s="1388"/>
      <c r="EG647" s="1388"/>
      <c r="EH647" s="1388" t="e">
        <f t="shared" si="27"/>
        <v>#VALUE!</v>
      </c>
      <c r="EI647" s="1388"/>
      <c r="EJ647" s="1388"/>
      <c r="EK647" s="1388"/>
      <c r="EL647" s="1388"/>
      <c r="EM647" s="1388" t="e">
        <f t="shared" si="28"/>
        <v>#VALUE!</v>
      </c>
      <c r="EN647" s="1388"/>
      <c r="EO647" s="1388"/>
      <c r="EP647" s="1388"/>
      <c r="EQ647" s="1388"/>
      <c r="ER647" s="1388" t="e">
        <f t="shared" si="29"/>
        <v>#VALUE!</v>
      </c>
      <c r="ES647" s="1388"/>
      <c r="ET647" s="1388"/>
      <c r="EU647" s="1388"/>
      <c r="EV647" s="1388"/>
      <c r="EW647" s="1388" t="e">
        <f t="shared" si="30"/>
        <v>#VALUE!</v>
      </c>
      <c r="EX647" s="1388"/>
      <c r="EY647" s="1388"/>
      <c r="EZ647" s="1388"/>
      <c r="FA647" s="1388"/>
    </row>
    <row r="648" spans="1:157" ht="13" customHeight="1">
      <c r="A648" s="22"/>
      <c r="B648" t="s">
        <v>18</v>
      </c>
      <c r="H648" s="1460" t="s">
        <v>2787</v>
      </c>
      <c r="I648" s="1460"/>
      <c r="J648" s="1460"/>
      <c r="K648" s="1460"/>
      <c r="L648" s="1460"/>
      <c r="M648" s="1460"/>
      <c r="N648" s="1460"/>
      <c r="O648" s="1460"/>
      <c r="P648" s="1460"/>
      <c r="Q648" s="1460"/>
      <c r="R648" s="1460"/>
      <c r="S648" s="8"/>
      <c r="T648" s="22"/>
      <c r="U648" t="s">
        <v>18</v>
      </c>
      <c r="AA648" s="1460" t="s">
        <v>2785</v>
      </c>
      <c r="AB648" s="1460"/>
      <c r="AC648" s="1460"/>
      <c r="AD648" s="1460"/>
      <c r="AE648" s="1460"/>
      <c r="AF648" s="1460"/>
      <c r="AG648" s="1460"/>
      <c r="AH648" s="1460"/>
      <c r="AI648" s="1460"/>
      <c r="AJ648" s="1460"/>
      <c r="AK648" s="1460"/>
      <c r="AZ648" s="34"/>
      <c r="BA648" s="34"/>
      <c r="BB648" s="34"/>
      <c r="BC648" s="34"/>
      <c r="BD648" s="34"/>
      <c r="BE648" s="34"/>
      <c r="BF648" s="34"/>
      <c r="BG648" s="34"/>
      <c r="BH648" s="34"/>
      <c r="BI648" s="34"/>
      <c r="BJ648" s="34"/>
      <c r="BK648" s="34"/>
      <c r="BL648" s="34"/>
      <c r="BM648" s="34"/>
      <c r="BN648" s="1395">
        <f t="shared" si="32"/>
        <v>0</v>
      </c>
      <c r="BO648" s="1396"/>
      <c r="BP648" s="1396"/>
      <c r="BQ648" s="1396"/>
      <c r="BR648" s="1397"/>
      <c r="BS648" s="1394">
        <f t="shared" si="33"/>
        <v>0</v>
      </c>
      <c r="BT648" s="1394"/>
      <c r="BU648" s="1394"/>
      <c r="BV648" s="1394"/>
      <c r="BW648" s="1394"/>
      <c r="BX648" s="1394">
        <f t="shared" si="34"/>
        <v>0</v>
      </c>
      <c r="BY648" s="1394"/>
      <c r="BZ648" s="1394"/>
      <c r="CA648" s="1394"/>
      <c r="CB648" s="1394"/>
      <c r="CC648" s="1394">
        <f t="shared" si="35"/>
        <v>0</v>
      </c>
      <c r="CD648" s="1394"/>
      <c r="CE648" s="1394"/>
      <c r="CF648" s="1394"/>
      <c r="CG648" s="1394"/>
      <c r="CH648" s="1394">
        <f t="shared" si="36"/>
        <v>0</v>
      </c>
      <c r="CI648" s="1394"/>
      <c r="CJ648" s="1394"/>
      <c r="CK648" s="1394"/>
      <c r="CL648" s="1394"/>
      <c r="CM648" s="1394">
        <f t="shared" si="37"/>
        <v>0</v>
      </c>
      <c r="CN648" s="1394"/>
      <c r="CO648" s="1394"/>
      <c r="CP648" s="1394"/>
      <c r="CQ648" s="1394"/>
      <c r="CR648" s="6"/>
      <c r="CS648" s="1395">
        <f t="shared" si="38"/>
        <v>0</v>
      </c>
      <c r="CT648" s="1396"/>
      <c r="CU648" s="1396"/>
      <c r="CV648" s="1396"/>
      <c r="CW648" s="1397"/>
      <c r="CX648" s="1395">
        <f t="shared" si="39"/>
        <v>0</v>
      </c>
      <c r="CY648" s="1396"/>
      <c r="CZ648" s="1396"/>
      <c r="DA648" s="1396"/>
      <c r="DB648" s="1397"/>
      <c r="DC648" s="1395">
        <f t="shared" si="40"/>
        <v>0</v>
      </c>
      <c r="DD648" s="1396"/>
      <c r="DE648" s="1396"/>
      <c r="DF648" s="1396"/>
      <c r="DG648" s="1397"/>
      <c r="DH648" s="1395">
        <f t="shared" si="41"/>
        <v>0</v>
      </c>
      <c r="DI648" s="1396"/>
      <c r="DJ648" s="1396"/>
      <c r="DK648" s="1396"/>
      <c r="DL648" s="1397"/>
      <c r="DM648" s="1395">
        <f t="shared" si="42"/>
        <v>0</v>
      </c>
      <c r="DN648" s="1396"/>
      <c r="DO648" s="1396"/>
      <c r="DP648" s="1396"/>
      <c r="DQ648" s="1397"/>
      <c r="DR648" s="1395">
        <f t="shared" si="43"/>
        <v>0</v>
      </c>
      <c r="DS648" s="1396"/>
      <c r="DT648" s="1396"/>
      <c r="DU648" s="1396"/>
      <c r="DV648" s="1397"/>
      <c r="DX648" s="1388" t="e">
        <f t="shared" si="31"/>
        <v>#VALUE!</v>
      </c>
      <c r="DY648" s="1388"/>
      <c r="DZ648" s="1388"/>
      <c r="EA648" s="1388"/>
      <c r="EB648" s="1388"/>
      <c r="EC648" s="1388" t="e">
        <f t="shared" si="26"/>
        <v>#VALUE!</v>
      </c>
      <c r="ED648" s="1388"/>
      <c r="EE648" s="1388"/>
      <c r="EF648" s="1388"/>
      <c r="EG648" s="1388"/>
      <c r="EH648" s="1388" t="e">
        <f t="shared" si="27"/>
        <v>#VALUE!</v>
      </c>
      <c r="EI648" s="1388"/>
      <c r="EJ648" s="1388"/>
      <c r="EK648" s="1388"/>
      <c r="EL648" s="1388"/>
      <c r="EM648" s="1388" t="e">
        <f t="shared" si="28"/>
        <v>#VALUE!</v>
      </c>
      <c r="EN648" s="1388"/>
      <c r="EO648" s="1388"/>
      <c r="EP648" s="1388"/>
      <c r="EQ648" s="1388"/>
      <c r="ER648" s="1388" t="e">
        <f t="shared" si="29"/>
        <v>#VALUE!</v>
      </c>
      <c r="ES648" s="1388"/>
      <c r="ET648" s="1388"/>
      <c r="EU648" s="1388"/>
      <c r="EV648" s="1388"/>
      <c r="EW648" s="1388" t="e">
        <f t="shared" si="30"/>
        <v>#VALUE!</v>
      </c>
      <c r="EX648" s="1388"/>
      <c r="EY648" s="1388"/>
      <c r="EZ648" s="1388"/>
      <c r="FA648" s="1388"/>
    </row>
    <row r="649" spans="1:157" ht="13" customHeight="1">
      <c r="A649" s="22"/>
      <c r="B649" t="s">
        <v>20</v>
      </c>
      <c r="N649" s="1437" t="s">
        <v>553</v>
      </c>
      <c r="O649" s="1437"/>
      <c r="T649" s="22"/>
      <c r="U649" t="s">
        <v>20</v>
      </c>
      <c r="AG649" s="1437" t="s">
        <v>553</v>
      </c>
      <c r="AH649" s="1437"/>
      <c r="AZ649" s="34"/>
      <c r="BA649" s="34"/>
      <c r="BB649" s="34"/>
      <c r="BC649" s="34"/>
      <c r="BD649" s="34"/>
      <c r="BE649" s="34"/>
      <c r="BF649" s="34"/>
      <c r="BG649" s="34"/>
      <c r="BH649" s="34"/>
      <c r="BI649" s="34"/>
      <c r="BJ649" s="34"/>
      <c r="BK649" s="34"/>
      <c r="BL649" s="34"/>
      <c r="BM649" s="34"/>
      <c r="BN649" s="1395">
        <f t="shared" si="32"/>
        <v>0</v>
      </c>
      <c r="BO649" s="1396"/>
      <c r="BP649" s="1396"/>
      <c r="BQ649" s="1396"/>
      <c r="BR649" s="1397"/>
      <c r="BS649" s="1394">
        <f t="shared" si="33"/>
        <v>0</v>
      </c>
      <c r="BT649" s="1394"/>
      <c r="BU649" s="1394"/>
      <c r="BV649" s="1394"/>
      <c r="BW649" s="1394"/>
      <c r="BX649" s="1394">
        <f t="shared" si="34"/>
        <v>0</v>
      </c>
      <c r="BY649" s="1394"/>
      <c r="BZ649" s="1394"/>
      <c r="CA649" s="1394"/>
      <c r="CB649" s="1394"/>
      <c r="CC649" s="1394">
        <f t="shared" si="35"/>
        <v>0</v>
      </c>
      <c r="CD649" s="1394"/>
      <c r="CE649" s="1394"/>
      <c r="CF649" s="1394"/>
      <c r="CG649" s="1394"/>
      <c r="CH649" s="1394">
        <f t="shared" si="36"/>
        <v>0</v>
      </c>
      <c r="CI649" s="1394"/>
      <c r="CJ649" s="1394"/>
      <c r="CK649" s="1394"/>
      <c r="CL649" s="1394"/>
      <c r="CM649" s="1394">
        <f t="shared" si="37"/>
        <v>0</v>
      </c>
      <c r="CN649" s="1394"/>
      <c r="CO649" s="1394"/>
      <c r="CP649" s="1394"/>
      <c r="CQ649" s="1394"/>
      <c r="CR649" s="6"/>
      <c r="CS649" s="1395">
        <f t="shared" si="38"/>
        <v>0</v>
      </c>
      <c r="CT649" s="1396"/>
      <c r="CU649" s="1396"/>
      <c r="CV649" s="1396"/>
      <c r="CW649" s="1397"/>
      <c r="CX649" s="1395">
        <f t="shared" si="39"/>
        <v>0</v>
      </c>
      <c r="CY649" s="1396"/>
      <c r="CZ649" s="1396"/>
      <c r="DA649" s="1396"/>
      <c r="DB649" s="1397"/>
      <c r="DC649" s="1395">
        <f t="shared" si="40"/>
        <v>0</v>
      </c>
      <c r="DD649" s="1396"/>
      <c r="DE649" s="1396"/>
      <c r="DF649" s="1396"/>
      <c r="DG649" s="1397"/>
      <c r="DH649" s="1395">
        <f t="shared" si="41"/>
        <v>0</v>
      </c>
      <c r="DI649" s="1396"/>
      <c r="DJ649" s="1396"/>
      <c r="DK649" s="1396"/>
      <c r="DL649" s="1397"/>
      <c r="DM649" s="1395">
        <f t="shared" si="42"/>
        <v>0</v>
      </c>
      <c r="DN649" s="1396"/>
      <c r="DO649" s="1396"/>
      <c r="DP649" s="1396"/>
      <c r="DQ649" s="1397"/>
      <c r="DR649" s="1395">
        <f t="shared" si="43"/>
        <v>0</v>
      </c>
      <c r="DS649" s="1396"/>
      <c r="DT649" s="1396"/>
      <c r="DU649" s="1396"/>
      <c r="DV649" s="1397"/>
      <c r="DX649" s="1388" t="e">
        <f t="shared" si="31"/>
        <v>#VALUE!</v>
      </c>
      <c r="DY649" s="1388"/>
      <c r="DZ649" s="1388"/>
      <c r="EA649" s="1388"/>
      <c r="EB649" s="1388"/>
      <c r="EC649" s="1388" t="e">
        <f t="shared" si="26"/>
        <v>#VALUE!</v>
      </c>
      <c r="ED649" s="1388"/>
      <c r="EE649" s="1388"/>
      <c r="EF649" s="1388"/>
      <c r="EG649" s="1388"/>
      <c r="EH649" s="1388" t="e">
        <f t="shared" si="27"/>
        <v>#VALUE!</v>
      </c>
      <c r="EI649" s="1388"/>
      <c r="EJ649" s="1388"/>
      <c r="EK649" s="1388"/>
      <c r="EL649" s="1388"/>
      <c r="EM649" s="1388" t="e">
        <f t="shared" si="28"/>
        <v>#VALUE!</v>
      </c>
      <c r="EN649" s="1388"/>
      <c r="EO649" s="1388"/>
      <c r="EP649" s="1388"/>
      <c r="EQ649" s="1388"/>
      <c r="ER649" s="1388" t="e">
        <f t="shared" si="29"/>
        <v>#VALUE!</v>
      </c>
      <c r="ES649" s="1388"/>
      <c r="ET649" s="1388"/>
      <c r="EU649" s="1388"/>
      <c r="EV649" s="1388"/>
      <c r="EW649" s="1388" t="e">
        <f t="shared" si="30"/>
        <v>#VALUE!</v>
      </c>
      <c r="EX649" s="1388"/>
      <c r="EY649" s="1388"/>
      <c r="EZ649" s="1388"/>
      <c r="FA649" s="1388"/>
    </row>
    <row r="650" spans="1:157" ht="13" customHeight="1">
      <c r="A650" s="22"/>
      <c r="T650" s="22"/>
      <c r="AZ650" s="34"/>
      <c r="BA650" s="34"/>
      <c r="BB650" s="34"/>
      <c r="BC650" s="34"/>
      <c r="BD650" s="34"/>
      <c r="BE650" s="34"/>
      <c r="BF650" s="34"/>
      <c r="BG650" s="34"/>
      <c r="BH650" s="34"/>
      <c r="BI650" s="34"/>
      <c r="BJ650" s="34"/>
      <c r="BK650" s="34"/>
      <c r="BL650" s="34"/>
      <c r="BM650" s="34"/>
      <c r="BN650" s="1395">
        <f t="shared" si="32"/>
        <v>0</v>
      </c>
      <c r="BO650" s="1396"/>
      <c r="BP650" s="1396"/>
      <c r="BQ650" s="1396"/>
      <c r="BR650" s="1397"/>
      <c r="BS650" s="1394">
        <f t="shared" si="33"/>
        <v>0</v>
      </c>
      <c r="BT650" s="1394"/>
      <c r="BU650" s="1394"/>
      <c r="BV650" s="1394"/>
      <c r="BW650" s="1394"/>
      <c r="BX650" s="1394">
        <f t="shared" si="34"/>
        <v>0</v>
      </c>
      <c r="BY650" s="1394"/>
      <c r="BZ650" s="1394"/>
      <c r="CA650" s="1394"/>
      <c r="CB650" s="1394"/>
      <c r="CC650" s="1394">
        <f t="shared" si="35"/>
        <v>0</v>
      </c>
      <c r="CD650" s="1394"/>
      <c r="CE650" s="1394"/>
      <c r="CF650" s="1394"/>
      <c r="CG650" s="1394"/>
      <c r="CH650" s="1394">
        <f t="shared" si="36"/>
        <v>0</v>
      </c>
      <c r="CI650" s="1394"/>
      <c r="CJ650" s="1394"/>
      <c r="CK650" s="1394"/>
      <c r="CL650" s="1394"/>
      <c r="CM650" s="1394">
        <f t="shared" si="37"/>
        <v>0</v>
      </c>
      <c r="CN650" s="1394"/>
      <c r="CO650" s="1394"/>
      <c r="CP650" s="1394"/>
      <c r="CQ650" s="1394"/>
      <c r="CR650" s="6"/>
      <c r="CS650" s="1395">
        <f t="shared" si="38"/>
        <v>0</v>
      </c>
      <c r="CT650" s="1396"/>
      <c r="CU650" s="1396"/>
      <c r="CV650" s="1396"/>
      <c r="CW650" s="1397"/>
      <c r="CX650" s="1395">
        <f t="shared" si="39"/>
        <v>0</v>
      </c>
      <c r="CY650" s="1396"/>
      <c r="CZ650" s="1396"/>
      <c r="DA650" s="1396"/>
      <c r="DB650" s="1397"/>
      <c r="DC650" s="1395">
        <f t="shared" si="40"/>
        <v>0</v>
      </c>
      <c r="DD650" s="1396"/>
      <c r="DE650" s="1396"/>
      <c r="DF650" s="1396"/>
      <c r="DG650" s="1397"/>
      <c r="DH650" s="1395">
        <f t="shared" si="41"/>
        <v>0</v>
      </c>
      <c r="DI650" s="1396"/>
      <c r="DJ650" s="1396"/>
      <c r="DK650" s="1396"/>
      <c r="DL650" s="1397"/>
      <c r="DM650" s="1395">
        <f t="shared" si="42"/>
        <v>0</v>
      </c>
      <c r="DN650" s="1396"/>
      <c r="DO650" s="1396"/>
      <c r="DP650" s="1396"/>
      <c r="DQ650" s="1397"/>
      <c r="DR650" s="1395">
        <f t="shared" si="43"/>
        <v>0</v>
      </c>
      <c r="DS650" s="1396"/>
      <c r="DT650" s="1396"/>
      <c r="DU650" s="1396"/>
      <c r="DV650" s="1397"/>
      <c r="DX650" s="1388" t="e">
        <f t="shared" si="31"/>
        <v>#VALUE!</v>
      </c>
      <c r="DY650" s="1388"/>
      <c r="DZ650" s="1388"/>
      <c r="EA650" s="1388"/>
      <c r="EB650" s="1388"/>
      <c r="EC650" s="1388" t="e">
        <f t="shared" si="26"/>
        <v>#VALUE!</v>
      </c>
      <c r="ED650" s="1388"/>
      <c r="EE650" s="1388"/>
      <c r="EF650" s="1388"/>
      <c r="EG650" s="1388"/>
      <c r="EH650" s="1388" t="e">
        <f t="shared" si="27"/>
        <v>#VALUE!</v>
      </c>
      <c r="EI650" s="1388"/>
      <c r="EJ650" s="1388"/>
      <c r="EK650" s="1388"/>
      <c r="EL650" s="1388"/>
      <c r="EM650" s="1388" t="e">
        <f t="shared" si="28"/>
        <v>#VALUE!</v>
      </c>
      <c r="EN650" s="1388"/>
      <c r="EO650" s="1388"/>
      <c r="EP650" s="1388"/>
      <c r="EQ650" s="1388"/>
      <c r="ER650" s="1388" t="e">
        <f t="shared" si="29"/>
        <v>#VALUE!</v>
      </c>
      <c r="ES650" s="1388"/>
      <c r="ET650" s="1388"/>
      <c r="EU650" s="1388"/>
      <c r="EV650" s="1388"/>
      <c r="EW650" s="1388" t="e">
        <f t="shared" si="30"/>
        <v>#VALUE!</v>
      </c>
      <c r="EX650" s="1388"/>
      <c r="EY650" s="1388"/>
      <c r="EZ650" s="1388"/>
      <c r="FA650" s="1388"/>
    </row>
    <row r="651" spans="1:157" ht="13" customHeight="1">
      <c r="A651" s="55" t="s">
        <v>119</v>
      </c>
      <c r="B651" t="s">
        <v>471</v>
      </c>
      <c r="G651" s="1516" t="str">
        <f>C629</f>
        <v>Alameda Affordable Housing Trust Fund</v>
      </c>
      <c r="H651" s="1516"/>
      <c r="I651" s="1516"/>
      <c r="J651" s="1516"/>
      <c r="K651" s="1516"/>
      <c r="L651" s="1516"/>
      <c r="M651" s="1516"/>
      <c r="N651" s="1516"/>
      <c r="O651" s="1516"/>
      <c r="P651" s="1516"/>
      <c r="Q651" s="1516"/>
      <c r="R651" s="1516"/>
      <c r="T651" s="55" t="s">
        <v>589</v>
      </c>
      <c r="U651" t="s">
        <v>471</v>
      </c>
      <c r="Z651" s="1516" t="str">
        <f>C630</f>
        <v>City of Alameda PLHA</v>
      </c>
      <c r="AA651" s="1516"/>
      <c r="AB651" s="1516"/>
      <c r="AC651" s="1516"/>
      <c r="AD651" s="1516"/>
      <c r="AE651" s="1516"/>
      <c r="AF651" s="1516"/>
      <c r="AG651" s="1516"/>
      <c r="AH651" s="1516"/>
      <c r="AI651" s="1516"/>
      <c r="AJ651" s="1516"/>
      <c r="AK651" s="1516"/>
      <c r="AZ651" s="34"/>
      <c r="BA651" s="34"/>
      <c r="BB651" s="34"/>
      <c r="BC651" s="34"/>
      <c r="BD651" s="34"/>
      <c r="BE651" s="34"/>
      <c r="BF651" s="34"/>
      <c r="BG651" s="34"/>
      <c r="BH651" s="34"/>
      <c r="BI651" s="34"/>
      <c r="BJ651" s="34"/>
      <c r="BK651" s="34"/>
      <c r="BL651" s="34"/>
      <c r="BM651" s="34"/>
      <c r="BN651" s="1395">
        <f t="shared" si="32"/>
        <v>0</v>
      </c>
      <c r="BO651" s="1396"/>
      <c r="BP651" s="1396"/>
      <c r="BQ651" s="1396"/>
      <c r="BR651" s="1397"/>
      <c r="BS651" s="1394">
        <f t="shared" si="33"/>
        <v>0</v>
      </c>
      <c r="BT651" s="1394"/>
      <c r="BU651" s="1394"/>
      <c r="BV651" s="1394"/>
      <c r="BW651" s="1394"/>
      <c r="BX651" s="1394">
        <f t="shared" si="34"/>
        <v>0</v>
      </c>
      <c r="BY651" s="1394"/>
      <c r="BZ651" s="1394"/>
      <c r="CA651" s="1394"/>
      <c r="CB651" s="1394"/>
      <c r="CC651" s="1394">
        <f t="shared" si="35"/>
        <v>0</v>
      </c>
      <c r="CD651" s="1394"/>
      <c r="CE651" s="1394"/>
      <c r="CF651" s="1394"/>
      <c r="CG651" s="1394"/>
      <c r="CH651" s="1394">
        <f t="shared" si="36"/>
        <v>0</v>
      </c>
      <c r="CI651" s="1394"/>
      <c r="CJ651" s="1394"/>
      <c r="CK651" s="1394"/>
      <c r="CL651" s="1394"/>
      <c r="CM651" s="1394">
        <f t="shared" si="37"/>
        <v>0</v>
      </c>
      <c r="CN651" s="1394"/>
      <c r="CO651" s="1394"/>
      <c r="CP651" s="1394"/>
      <c r="CQ651" s="1394"/>
      <c r="CR651" s="6"/>
      <c r="CS651" s="1395">
        <f t="shared" si="38"/>
        <v>0</v>
      </c>
      <c r="CT651" s="1396"/>
      <c r="CU651" s="1396"/>
      <c r="CV651" s="1396"/>
      <c r="CW651" s="1397"/>
      <c r="CX651" s="1395">
        <f t="shared" si="39"/>
        <v>0</v>
      </c>
      <c r="CY651" s="1396"/>
      <c r="CZ651" s="1396"/>
      <c r="DA651" s="1396"/>
      <c r="DB651" s="1397"/>
      <c r="DC651" s="1395">
        <f t="shared" si="40"/>
        <v>0</v>
      </c>
      <c r="DD651" s="1396"/>
      <c r="DE651" s="1396"/>
      <c r="DF651" s="1396"/>
      <c r="DG651" s="1397"/>
      <c r="DH651" s="1395">
        <f t="shared" si="41"/>
        <v>0</v>
      </c>
      <c r="DI651" s="1396"/>
      <c r="DJ651" s="1396"/>
      <c r="DK651" s="1396"/>
      <c r="DL651" s="1397"/>
      <c r="DM651" s="1395">
        <f t="shared" si="42"/>
        <v>0</v>
      </c>
      <c r="DN651" s="1396"/>
      <c r="DO651" s="1396"/>
      <c r="DP651" s="1396"/>
      <c r="DQ651" s="1397"/>
      <c r="DR651" s="1395">
        <f t="shared" si="43"/>
        <v>0</v>
      </c>
      <c r="DS651" s="1396"/>
      <c r="DT651" s="1396"/>
      <c r="DU651" s="1396"/>
      <c r="DV651" s="1397"/>
      <c r="DX651" s="1388" t="e">
        <f t="shared" si="31"/>
        <v>#VALUE!</v>
      </c>
      <c r="DY651" s="1388"/>
      <c r="DZ651" s="1388"/>
      <c r="EA651" s="1388"/>
      <c r="EB651" s="1388"/>
      <c r="EC651" s="1388" t="e">
        <f t="shared" si="26"/>
        <v>#VALUE!</v>
      </c>
      <c r="ED651" s="1388"/>
      <c r="EE651" s="1388"/>
      <c r="EF651" s="1388"/>
      <c r="EG651" s="1388"/>
      <c r="EH651" s="1388" t="e">
        <f t="shared" si="27"/>
        <v>#VALUE!</v>
      </c>
      <c r="EI651" s="1388"/>
      <c r="EJ651" s="1388"/>
      <c r="EK651" s="1388"/>
      <c r="EL651" s="1388"/>
      <c r="EM651" s="1388" t="e">
        <f t="shared" si="28"/>
        <v>#VALUE!</v>
      </c>
      <c r="EN651" s="1388"/>
      <c r="EO651" s="1388"/>
      <c r="EP651" s="1388"/>
      <c r="EQ651" s="1388"/>
      <c r="ER651" s="1388" t="e">
        <f t="shared" si="29"/>
        <v>#VALUE!</v>
      </c>
      <c r="ES651" s="1388"/>
      <c r="ET651" s="1388"/>
      <c r="EU651" s="1388"/>
      <c r="EV651" s="1388"/>
      <c r="EW651" s="1388" t="e">
        <f t="shared" si="30"/>
        <v>#VALUE!</v>
      </c>
      <c r="EX651" s="1388"/>
      <c r="EY651" s="1388"/>
      <c r="EZ651" s="1388"/>
      <c r="FA651" s="1388"/>
    </row>
    <row r="652" spans="1:157" ht="13" customHeight="1">
      <c r="A652" s="22"/>
      <c r="B652" t="s">
        <v>85</v>
      </c>
      <c r="G652" s="1460" t="s">
        <v>2652</v>
      </c>
      <c r="H652" s="1460"/>
      <c r="I652" s="1460"/>
      <c r="J652" s="1460"/>
      <c r="K652" s="1460"/>
      <c r="L652" s="1460"/>
      <c r="M652" s="1460"/>
      <c r="N652" s="1460"/>
      <c r="O652" s="1460"/>
      <c r="P652" s="1460"/>
      <c r="Q652" s="1460"/>
      <c r="R652" s="1460"/>
      <c r="T652" s="22"/>
      <c r="U652" t="s">
        <v>85</v>
      </c>
      <c r="Z652" s="1460" t="s">
        <v>2782</v>
      </c>
      <c r="AA652" s="1460"/>
      <c r="AB652" s="1460"/>
      <c r="AC652" s="1460"/>
      <c r="AD652" s="1460"/>
      <c r="AE652" s="1460"/>
      <c r="AF652" s="1460"/>
      <c r="AG652" s="1460"/>
      <c r="AH652" s="1460"/>
      <c r="AI652" s="1460"/>
      <c r="AJ652" s="1460"/>
      <c r="AK652" s="1460"/>
      <c r="AZ652" s="34"/>
      <c r="BA652" s="34"/>
      <c r="BB652" s="34"/>
      <c r="BC652" s="34"/>
      <c r="BD652" s="34"/>
      <c r="BE652" s="34"/>
      <c r="BF652" s="34"/>
      <c r="BG652" s="34"/>
      <c r="BH652" s="34"/>
      <c r="BI652" s="34"/>
      <c r="BJ652" s="34"/>
      <c r="BK652" s="34"/>
      <c r="BL652" s="34"/>
      <c r="BM652" s="34"/>
      <c r="BN652" s="1395">
        <f t="shared" si="32"/>
        <v>0</v>
      </c>
      <c r="BO652" s="1396"/>
      <c r="BP652" s="1396"/>
      <c r="BQ652" s="1396"/>
      <c r="BR652" s="1397"/>
      <c r="BS652" s="1394">
        <f t="shared" si="33"/>
        <v>0</v>
      </c>
      <c r="BT652" s="1394"/>
      <c r="BU652" s="1394"/>
      <c r="BV652" s="1394"/>
      <c r="BW652" s="1394"/>
      <c r="BX652" s="1394">
        <f t="shared" si="34"/>
        <v>0</v>
      </c>
      <c r="BY652" s="1394"/>
      <c r="BZ652" s="1394"/>
      <c r="CA652" s="1394"/>
      <c r="CB652" s="1394"/>
      <c r="CC652" s="1394">
        <f t="shared" si="35"/>
        <v>0</v>
      </c>
      <c r="CD652" s="1394"/>
      <c r="CE652" s="1394"/>
      <c r="CF652" s="1394"/>
      <c r="CG652" s="1394"/>
      <c r="CH652" s="1394">
        <f t="shared" si="36"/>
        <v>0</v>
      </c>
      <c r="CI652" s="1394"/>
      <c r="CJ652" s="1394"/>
      <c r="CK652" s="1394"/>
      <c r="CL652" s="1394"/>
      <c r="CM652" s="1394">
        <f t="shared" si="37"/>
        <v>0</v>
      </c>
      <c r="CN652" s="1394"/>
      <c r="CO652" s="1394"/>
      <c r="CP652" s="1394"/>
      <c r="CQ652" s="1394"/>
      <c r="CR652" s="6"/>
      <c r="CS652" s="1395">
        <f t="shared" si="38"/>
        <v>0</v>
      </c>
      <c r="CT652" s="1396"/>
      <c r="CU652" s="1396"/>
      <c r="CV652" s="1396"/>
      <c r="CW652" s="1397"/>
      <c r="CX652" s="1395">
        <f t="shared" si="39"/>
        <v>0</v>
      </c>
      <c r="CY652" s="1396"/>
      <c r="CZ652" s="1396"/>
      <c r="DA652" s="1396"/>
      <c r="DB652" s="1397"/>
      <c r="DC652" s="1395">
        <f t="shared" si="40"/>
        <v>0</v>
      </c>
      <c r="DD652" s="1396"/>
      <c r="DE652" s="1396"/>
      <c r="DF652" s="1396"/>
      <c r="DG652" s="1397"/>
      <c r="DH652" s="1395">
        <f t="shared" si="41"/>
        <v>0</v>
      </c>
      <c r="DI652" s="1396"/>
      <c r="DJ652" s="1396"/>
      <c r="DK652" s="1396"/>
      <c r="DL652" s="1397"/>
      <c r="DM652" s="1395">
        <f t="shared" si="42"/>
        <v>0</v>
      </c>
      <c r="DN652" s="1396"/>
      <c r="DO652" s="1396"/>
      <c r="DP652" s="1396"/>
      <c r="DQ652" s="1397"/>
      <c r="DR652" s="1395">
        <f t="shared" si="43"/>
        <v>0</v>
      </c>
      <c r="DS652" s="1396"/>
      <c r="DT652" s="1396"/>
      <c r="DU652" s="1396"/>
      <c r="DV652" s="1397"/>
      <c r="DX652" s="1388" t="e">
        <f t="shared" si="31"/>
        <v>#VALUE!</v>
      </c>
      <c r="DY652" s="1388"/>
      <c r="DZ652" s="1388"/>
      <c r="EA652" s="1388"/>
      <c r="EB652" s="1388"/>
      <c r="EC652" s="1388" t="e">
        <f t="shared" si="26"/>
        <v>#VALUE!</v>
      </c>
      <c r="ED652" s="1388"/>
      <c r="EE652" s="1388"/>
      <c r="EF652" s="1388"/>
      <c r="EG652" s="1388"/>
      <c r="EH652" s="1388" t="e">
        <f t="shared" si="27"/>
        <v>#VALUE!</v>
      </c>
      <c r="EI652" s="1388"/>
      <c r="EJ652" s="1388"/>
      <c r="EK652" s="1388"/>
      <c r="EL652" s="1388"/>
      <c r="EM652" s="1388" t="e">
        <f t="shared" si="28"/>
        <v>#VALUE!</v>
      </c>
      <c r="EN652" s="1388"/>
      <c r="EO652" s="1388"/>
      <c r="EP652" s="1388"/>
      <c r="EQ652" s="1388"/>
      <c r="ER652" s="1388" t="e">
        <f t="shared" si="29"/>
        <v>#VALUE!</v>
      </c>
      <c r="ES652" s="1388"/>
      <c r="ET652" s="1388"/>
      <c r="EU652" s="1388"/>
      <c r="EV652" s="1388"/>
      <c r="EW652" s="1388" t="e">
        <f t="shared" si="30"/>
        <v>#VALUE!</v>
      </c>
      <c r="EX652" s="1388"/>
      <c r="EY652" s="1388"/>
      <c r="EZ652" s="1388"/>
      <c r="FA652" s="1388"/>
    </row>
    <row r="653" spans="1:157" ht="13" customHeight="1">
      <c r="A653" s="22"/>
      <c r="B653" t="s">
        <v>588</v>
      </c>
      <c r="G653" s="1443" t="s">
        <v>484</v>
      </c>
      <c r="H653" s="1443"/>
      <c r="I653" s="1443"/>
      <c r="J653" s="1443"/>
      <c r="K653" s="1443"/>
      <c r="L653" s="1443"/>
      <c r="M653" s="1443"/>
      <c r="N653" s="1443"/>
      <c r="O653" s="1443"/>
      <c r="P653" s="1443"/>
      <c r="Q653" s="1443"/>
      <c r="R653" s="1443"/>
      <c r="T653" s="22"/>
      <c r="U653" t="s">
        <v>588</v>
      </c>
      <c r="Z653" s="1443" t="s">
        <v>484</v>
      </c>
      <c r="AA653" s="1443"/>
      <c r="AB653" s="1443"/>
      <c r="AC653" s="1443"/>
      <c r="AD653" s="1443"/>
      <c r="AE653" s="1443"/>
      <c r="AF653" s="1443"/>
      <c r="AG653" s="1443"/>
      <c r="AH653" s="1443"/>
      <c r="AI653" s="1443"/>
      <c r="AJ653" s="1443"/>
      <c r="AK653" s="1443"/>
      <c r="AZ653" s="34"/>
      <c r="BA653" s="34"/>
      <c r="BB653" s="34"/>
      <c r="BC653" s="34"/>
      <c r="BD653" s="34"/>
      <c r="BE653" s="34"/>
      <c r="BF653" s="34"/>
      <c r="BG653" s="34"/>
      <c r="BH653" s="34"/>
      <c r="BI653" s="34"/>
      <c r="BJ653" s="34"/>
      <c r="BK653" s="34"/>
      <c r="BL653" s="34"/>
      <c r="BM653" s="34"/>
      <c r="BN653" s="1395">
        <f t="shared" si="32"/>
        <v>0</v>
      </c>
      <c r="BO653" s="1396"/>
      <c r="BP653" s="1396"/>
      <c r="BQ653" s="1396"/>
      <c r="BR653" s="1397"/>
      <c r="BS653" s="1394">
        <f t="shared" si="33"/>
        <v>0</v>
      </c>
      <c r="BT653" s="1394"/>
      <c r="BU653" s="1394"/>
      <c r="BV653" s="1394"/>
      <c r="BW653" s="1394"/>
      <c r="BX653" s="1394">
        <f t="shared" si="34"/>
        <v>0</v>
      </c>
      <c r="BY653" s="1394"/>
      <c r="BZ653" s="1394"/>
      <c r="CA653" s="1394"/>
      <c r="CB653" s="1394"/>
      <c r="CC653" s="1394">
        <f t="shared" si="35"/>
        <v>0</v>
      </c>
      <c r="CD653" s="1394"/>
      <c r="CE653" s="1394"/>
      <c r="CF653" s="1394"/>
      <c r="CG653" s="1394"/>
      <c r="CH653" s="1394">
        <f t="shared" si="36"/>
        <v>0</v>
      </c>
      <c r="CI653" s="1394"/>
      <c r="CJ653" s="1394"/>
      <c r="CK653" s="1394"/>
      <c r="CL653" s="1394"/>
      <c r="CM653" s="1394">
        <f t="shared" si="37"/>
        <v>0</v>
      </c>
      <c r="CN653" s="1394"/>
      <c r="CO653" s="1394"/>
      <c r="CP653" s="1394"/>
      <c r="CQ653" s="1394"/>
      <c r="CR653" s="6"/>
      <c r="CS653" s="1395">
        <f t="shared" si="38"/>
        <v>0</v>
      </c>
      <c r="CT653" s="1396"/>
      <c r="CU653" s="1396"/>
      <c r="CV653" s="1396"/>
      <c r="CW653" s="1397"/>
      <c r="CX653" s="1395">
        <f t="shared" si="39"/>
        <v>0</v>
      </c>
      <c r="CY653" s="1396"/>
      <c r="CZ653" s="1396"/>
      <c r="DA653" s="1396"/>
      <c r="DB653" s="1397"/>
      <c r="DC653" s="1395">
        <f t="shared" si="40"/>
        <v>0</v>
      </c>
      <c r="DD653" s="1396"/>
      <c r="DE653" s="1396"/>
      <c r="DF653" s="1396"/>
      <c r="DG653" s="1397"/>
      <c r="DH653" s="1395">
        <f t="shared" si="41"/>
        <v>0</v>
      </c>
      <c r="DI653" s="1396"/>
      <c r="DJ653" s="1396"/>
      <c r="DK653" s="1396"/>
      <c r="DL653" s="1397"/>
      <c r="DM653" s="1395">
        <f t="shared" si="42"/>
        <v>0</v>
      </c>
      <c r="DN653" s="1396"/>
      <c r="DO653" s="1396"/>
      <c r="DP653" s="1396"/>
      <c r="DQ653" s="1397"/>
      <c r="DR653" s="1395">
        <f t="shared" si="43"/>
        <v>0</v>
      </c>
      <c r="DS653" s="1396"/>
      <c r="DT653" s="1396"/>
      <c r="DU653" s="1396"/>
      <c r="DV653" s="1397"/>
      <c r="DX653" s="1388" t="e">
        <f t="shared" si="31"/>
        <v>#VALUE!</v>
      </c>
      <c r="DY653" s="1388"/>
      <c r="DZ653" s="1388"/>
      <c r="EA653" s="1388"/>
      <c r="EB653" s="1388"/>
      <c r="EC653" s="1388" t="e">
        <f t="shared" si="26"/>
        <v>#VALUE!</v>
      </c>
      <c r="ED653" s="1388"/>
      <c r="EE653" s="1388"/>
      <c r="EF653" s="1388"/>
      <c r="EG653" s="1388"/>
      <c r="EH653" s="1388" t="e">
        <f t="shared" si="27"/>
        <v>#VALUE!</v>
      </c>
      <c r="EI653" s="1388"/>
      <c r="EJ653" s="1388"/>
      <c r="EK653" s="1388"/>
      <c r="EL653" s="1388"/>
      <c r="EM653" s="1388" t="e">
        <f t="shared" si="28"/>
        <v>#VALUE!</v>
      </c>
      <c r="EN653" s="1388"/>
      <c r="EO653" s="1388"/>
      <c r="EP653" s="1388"/>
      <c r="EQ653" s="1388"/>
      <c r="ER653" s="1388" t="e">
        <f t="shared" si="29"/>
        <v>#VALUE!</v>
      </c>
      <c r="ES653" s="1388"/>
      <c r="ET653" s="1388"/>
      <c r="EU653" s="1388"/>
      <c r="EV653" s="1388"/>
      <c r="EW653" s="1388" t="e">
        <f t="shared" si="30"/>
        <v>#VALUE!</v>
      </c>
      <c r="EX653" s="1388"/>
      <c r="EY653" s="1388"/>
      <c r="EZ653" s="1388"/>
      <c r="FA653" s="1388"/>
    </row>
    <row r="654" spans="1:157" ht="13" customHeight="1">
      <c r="A654" s="22"/>
      <c r="B654" t="s">
        <v>17</v>
      </c>
      <c r="G654" s="1443" t="s">
        <v>2654</v>
      </c>
      <c r="H654" s="1443"/>
      <c r="I654" s="1443"/>
      <c r="J654" s="1443"/>
      <c r="K654" s="1443"/>
      <c r="L654" s="1443"/>
      <c r="M654" s="1443"/>
      <c r="N654" s="1443"/>
      <c r="O654" s="1443"/>
      <c r="P654" s="1443"/>
      <c r="Q654" s="1443"/>
      <c r="R654" s="1443"/>
      <c r="T654" s="22"/>
      <c r="U654" t="s">
        <v>17</v>
      </c>
      <c r="Z654" s="1443" t="s">
        <v>2783</v>
      </c>
      <c r="AA654" s="1443"/>
      <c r="AB654" s="1443"/>
      <c r="AC654" s="1443"/>
      <c r="AD654" s="1443"/>
      <c r="AE654" s="1443"/>
      <c r="AF654" s="1443"/>
      <c r="AG654" s="1443"/>
      <c r="AH654" s="1443"/>
      <c r="AI654" s="1443"/>
      <c r="AJ654" s="1443"/>
      <c r="AK654" s="1443"/>
      <c r="AZ654" s="34"/>
      <c r="BA654" s="34"/>
      <c r="BB654" s="34"/>
      <c r="BC654" s="34"/>
      <c r="BD654" s="34"/>
      <c r="BE654" s="34"/>
      <c r="BF654" s="34"/>
      <c r="BG654" s="34"/>
      <c r="BH654" s="34"/>
      <c r="BI654" s="34"/>
      <c r="BJ654" s="34"/>
      <c r="BK654" s="34"/>
      <c r="BL654" s="34"/>
      <c r="BM654" s="34"/>
      <c r="BN654" s="1395">
        <f t="shared" si="32"/>
        <v>0</v>
      </c>
      <c r="BO654" s="1396"/>
      <c r="BP654" s="1396"/>
      <c r="BQ654" s="1396"/>
      <c r="BR654" s="1397"/>
      <c r="BS654" s="1394">
        <f t="shared" si="33"/>
        <v>0</v>
      </c>
      <c r="BT654" s="1394"/>
      <c r="BU654" s="1394"/>
      <c r="BV654" s="1394"/>
      <c r="BW654" s="1394"/>
      <c r="BX654" s="1394">
        <f t="shared" si="34"/>
        <v>0</v>
      </c>
      <c r="BY654" s="1394"/>
      <c r="BZ654" s="1394"/>
      <c r="CA654" s="1394"/>
      <c r="CB654" s="1394"/>
      <c r="CC654" s="1394">
        <f t="shared" si="35"/>
        <v>0</v>
      </c>
      <c r="CD654" s="1394"/>
      <c r="CE654" s="1394"/>
      <c r="CF654" s="1394"/>
      <c r="CG654" s="1394"/>
      <c r="CH654" s="1394">
        <f t="shared" si="36"/>
        <v>0</v>
      </c>
      <c r="CI654" s="1394"/>
      <c r="CJ654" s="1394"/>
      <c r="CK654" s="1394"/>
      <c r="CL654" s="1394"/>
      <c r="CM654" s="1394">
        <f t="shared" si="37"/>
        <v>0</v>
      </c>
      <c r="CN654" s="1394"/>
      <c r="CO654" s="1394"/>
      <c r="CP654" s="1394"/>
      <c r="CQ654" s="1394"/>
      <c r="CR654" s="6"/>
      <c r="CS654" s="1395">
        <f t="shared" si="38"/>
        <v>0</v>
      </c>
      <c r="CT654" s="1396"/>
      <c r="CU654" s="1396"/>
      <c r="CV654" s="1396"/>
      <c r="CW654" s="1397"/>
      <c r="CX654" s="1395">
        <f t="shared" si="39"/>
        <v>0</v>
      </c>
      <c r="CY654" s="1396"/>
      <c r="CZ654" s="1396"/>
      <c r="DA654" s="1396"/>
      <c r="DB654" s="1397"/>
      <c r="DC654" s="1395">
        <f t="shared" si="40"/>
        <v>0</v>
      </c>
      <c r="DD654" s="1396"/>
      <c r="DE654" s="1396"/>
      <c r="DF654" s="1396"/>
      <c r="DG654" s="1397"/>
      <c r="DH654" s="1395">
        <f t="shared" si="41"/>
        <v>0</v>
      </c>
      <c r="DI654" s="1396"/>
      <c r="DJ654" s="1396"/>
      <c r="DK654" s="1396"/>
      <c r="DL654" s="1397"/>
      <c r="DM654" s="1395">
        <f t="shared" si="42"/>
        <v>0</v>
      </c>
      <c r="DN654" s="1396"/>
      <c r="DO654" s="1396"/>
      <c r="DP654" s="1396"/>
      <c r="DQ654" s="1397"/>
      <c r="DR654" s="1395">
        <f t="shared" si="43"/>
        <v>0</v>
      </c>
      <c r="DS654" s="1396"/>
      <c r="DT654" s="1396"/>
      <c r="DU654" s="1396"/>
      <c r="DV654" s="1397"/>
      <c r="DX654" s="1388" t="e">
        <f t="shared" si="31"/>
        <v>#VALUE!</v>
      </c>
      <c r="DY654" s="1388"/>
      <c r="DZ654" s="1388"/>
      <c r="EA654" s="1388"/>
      <c r="EB654" s="1388"/>
      <c r="EC654" s="1388" t="e">
        <f t="shared" si="26"/>
        <v>#VALUE!</v>
      </c>
      <c r="ED654" s="1388"/>
      <c r="EE654" s="1388"/>
      <c r="EF654" s="1388"/>
      <c r="EG654" s="1388"/>
      <c r="EH654" s="1388" t="e">
        <f t="shared" si="27"/>
        <v>#VALUE!</v>
      </c>
      <c r="EI654" s="1388"/>
      <c r="EJ654" s="1388"/>
      <c r="EK654" s="1388"/>
      <c r="EL654" s="1388"/>
      <c r="EM654" s="1388" t="e">
        <f t="shared" si="28"/>
        <v>#VALUE!</v>
      </c>
      <c r="EN654" s="1388"/>
      <c r="EO654" s="1388"/>
      <c r="EP654" s="1388"/>
      <c r="EQ654" s="1388"/>
      <c r="ER654" s="1388" t="e">
        <f t="shared" si="29"/>
        <v>#VALUE!</v>
      </c>
      <c r="ES654" s="1388"/>
      <c r="ET654" s="1388"/>
      <c r="EU654" s="1388"/>
      <c r="EV654" s="1388"/>
      <c r="EW654" s="1388" t="e">
        <f t="shared" si="30"/>
        <v>#VALUE!</v>
      </c>
      <c r="EX654" s="1388"/>
      <c r="EY654" s="1388"/>
      <c r="EZ654" s="1388"/>
      <c r="FA654" s="1388"/>
    </row>
    <row r="655" spans="1:157" ht="13" customHeight="1">
      <c r="A655" s="22"/>
      <c r="B655" t="s">
        <v>317</v>
      </c>
      <c r="G655" s="1475" t="s">
        <v>2655</v>
      </c>
      <c r="H655" s="1475"/>
      <c r="I655" s="1475"/>
      <c r="J655" s="1475"/>
      <c r="K655" s="1475"/>
      <c r="L655" s="1475"/>
      <c r="O655" s="33" t="s">
        <v>207</v>
      </c>
      <c r="P655" s="1438"/>
      <c r="Q655" s="1438"/>
      <c r="R655" s="1438"/>
      <c r="T655" s="22"/>
      <c r="U655" t="s">
        <v>317</v>
      </c>
      <c r="Z655" s="1475" t="s">
        <v>2784</v>
      </c>
      <c r="AA655" s="1475"/>
      <c r="AB655" s="1475"/>
      <c r="AC655" s="1475"/>
      <c r="AD655" s="1475"/>
      <c r="AE655" s="1475"/>
      <c r="AH655" s="33" t="s">
        <v>207</v>
      </c>
      <c r="AI655" s="1438"/>
      <c r="AJ655" s="1438"/>
      <c r="AK655" s="1438"/>
      <c r="AZ655" s="34"/>
      <c r="BA655" s="34"/>
      <c r="BB655" s="34"/>
      <c r="BC655" s="34"/>
      <c r="BD655" s="34"/>
      <c r="BE655" s="34"/>
      <c r="BF655" s="34"/>
      <c r="BG655" s="34"/>
      <c r="BH655" s="34"/>
      <c r="BI655" s="34"/>
      <c r="BJ655" s="34"/>
      <c r="BK655" s="34"/>
      <c r="BL655" s="34"/>
      <c r="BM655" s="34"/>
      <c r="BN655" s="1398">
        <f>SUM(BN645:BR654)</f>
        <v>0</v>
      </c>
      <c r="BO655" s="1517"/>
      <c r="BP655" s="1517"/>
      <c r="BQ655" s="1517"/>
      <c r="BR655" s="1399"/>
      <c r="BS655" s="1716">
        <f>SUM(BS645:BW654)</f>
        <v>0</v>
      </c>
      <c r="BT655" s="1717"/>
      <c r="BU655" s="1717"/>
      <c r="BV655" s="1717"/>
      <c r="BW655" s="1718"/>
      <c r="BX655" s="1716">
        <f>SUM(BX645:CB654)</f>
        <v>0</v>
      </c>
      <c r="BY655" s="1717"/>
      <c r="BZ655" s="1717"/>
      <c r="CA655" s="1717"/>
      <c r="CB655" s="1718"/>
      <c r="CC655" s="1716">
        <f>SUM(CC645:CG654)</f>
        <v>0</v>
      </c>
      <c r="CD655" s="1717"/>
      <c r="CE655" s="1717"/>
      <c r="CF655" s="1717"/>
      <c r="CG655" s="1718"/>
      <c r="CH655" s="1716">
        <f>SUM(CH645:CL654)</f>
        <v>0</v>
      </c>
      <c r="CI655" s="1717"/>
      <c r="CJ655" s="1717"/>
      <c r="CK655" s="1717"/>
      <c r="CL655" s="1718"/>
      <c r="CM655" s="1716">
        <f>SUM(CM645:CQ654)</f>
        <v>0</v>
      </c>
      <c r="CN655" s="1717"/>
      <c r="CO655" s="1717"/>
      <c r="CP655" s="1717"/>
      <c r="CQ655" s="1718"/>
      <c r="CR655" s="1047"/>
      <c r="CS655" s="1712">
        <f>SUM(CS645:CW654)</f>
        <v>0</v>
      </c>
      <c r="CT655" s="1712"/>
      <c r="CU655" s="1712"/>
      <c r="CV655" s="1712"/>
      <c r="CW655" s="1712"/>
      <c r="CX655" s="1712">
        <f>SUM(CX645:DB654)</f>
        <v>0</v>
      </c>
      <c r="CY655" s="1712"/>
      <c r="CZ655" s="1712"/>
      <c r="DA655" s="1712"/>
      <c r="DB655" s="1712"/>
      <c r="DC655" s="1712">
        <f>SUM(DC645:DG654)</f>
        <v>0</v>
      </c>
      <c r="DD655" s="1712"/>
      <c r="DE655" s="1712"/>
      <c r="DF655" s="1712"/>
      <c r="DG655" s="1712"/>
      <c r="DH655" s="1712">
        <f>SUM(DH645:DL654)</f>
        <v>0</v>
      </c>
      <c r="DI655" s="1712"/>
      <c r="DJ655" s="1712"/>
      <c r="DK655" s="1712"/>
      <c r="DL655" s="1712"/>
      <c r="DM655" s="1712">
        <f>SUM(DM645:DQ654)</f>
        <v>0</v>
      </c>
      <c r="DN655" s="1712"/>
      <c r="DO655" s="1712"/>
      <c r="DP655" s="1712"/>
      <c r="DQ655" s="1712"/>
      <c r="DR655" s="1712">
        <f>SUM(DR645:DV654)</f>
        <v>0</v>
      </c>
      <c r="DS655" s="1712"/>
      <c r="DT655" s="1712"/>
      <c r="DU655" s="1712"/>
      <c r="DV655" s="1712"/>
      <c r="DX655" s="1388" t="e">
        <f t="shared" si="31"/>
        <v>#VALUE!</v>
      </c>
      <c r="DY655" s="1388"/>
      <c r="DZ655" s="1388"/>
      <c r="EA655" s="1388"/>
      <c r="EB655" s="1388"/>
      <c r="EC655" s="1388" t="e">
        <f t="shared" si="26"/>
        <v>#VALUE!</v>
      </c>
      <c r="ED655" s="1388"/>
      <c r="EE655" s="1388"/>
      <c r="EF655" s="1388"/>
      <c r="EG655" s="1388"/>
      <c r="EH655" s="1388" t="e">
        <f t="shared" si="27"/>
        <v>#VALUE!</v>
      </c>
      <c r="EI655" s="1388"/>
      <c r="EJ655" s="1388"/>
      <c r="EK655" s="1388"/>
      <c r="EL655" s="1388"/>
      <c r="EM655" s="1388" t="e">
        <f t="shared" si="28"/>
        <v>#VALUE!</v>
      </c>
      <c r="EN655" s="1388"/>
      <c r="EO655" s="1388"/>
      <c r="EP655" s="1388"/>
      <c r="EQ655" s="1388"/>
      <c r="ER655" s="1388" t="e">
        <f t="shared" si="29"/>
        <v>#VALUE!</v>
      </c>
      <c r="ES655" s="1388"/>
      <c r="ET655" s="1388"/>
      <c r="EU655" s="1388"/>
      <c r="EV655" s="1388"/>
      <c r="EW655" s="1388" t="e">
        <f t="shared" si="30"/>
        <v>#VALUE!</v>
      </c>
      <c r="EX655" s="1388"/>
      <c r="EY655" s="1388"/>
      <c r="EZ655" s="1388"/>
      <c r="FA655" s="1388"/>
    </row>
    <row r="656" spans="1:157" ht="13" customHeight="1">
      <c r="A656" s="22"/>
      <c r="B656" t="s">
        <v>18</v>
      </c>
      <c r="H656" s="1460" t="s">
        <v>2785</v>
      </c>
      <c r="I656" s="1460"/>
      <c r="J656" s="1460"/>
      <c r="K656" s="1460"/>
      <c r="L656" s="1460"/>
      <c r="M656" s="1460"/>
      <c r="N656" s="1460"/>
      <c r="O656" s="1460"/>
      <c r="P656" s="1460"/>
      <c r="Q656" s="1460"/>
      <c r="R656" s="1460"/>
      <c r="T656" s="22"/>
      <c r="U656" t="s">
        <v>18</v>
      </c>
      <c r="AA656" s="1460" t="s">
        <v>2785</v>
      </c>
      <c r="AB656" s="1460"/>
      <c r="AC656" s="1460"/>
      <c r="AD656" s="1460"/>
      <c r="AE656" s="1460"/>
      <c r="AF656" s="1460"/>
      <c r="AG656" s="1460"/>
      <c r="AH656" s="1460"/>
      <c r="AI656" s="1460"/>
      <c r="AJ656" s="1460"/>
      <c r="AK656" s="146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8" t="e">
        <f t="shared" si="31"/>
        <v>#VALUE!</v>
      </c>
      <c r="DY656" s="1388"/>
      <c r="DZ656" s="1388"/>
      <c r="EA656" s="1388"/>
      <c r="EB656" s="1388"/>
      <c r="EC656" s="1388" t="e">
        <f t="shared" si="26"/>
        <v>#VALUE!</v>
      </c>
      <c r="ED656" s="1388"/>
      <c r="EE656" s="1388"/>
      <c r="EF656" s="1388"/>
      <c r="EG656" s="1388"/>
      <c r="EH656" s="1388" t="e">
        <f t="shared" si="27"/>
        <v>#VALUE!</v>
      </c>
      <c r="EI656" s="1388"/>
      <c r="EJ656" s="1388"/>
      <c r="EK656" s="1388"/>
      <c r="EL656" s="1388"/>
      <c r="EM656" s="1388" t="e">
        <f t="shared" si="28"/>
        <v>#VALUE!</v>
      </c>
      <c r="EN656" s="1388"/>
      <c r="EO656" s="1388"/>
      <c r="EP656" s="1388"/>
      <c r="EQ656" s="1388"/>
      <c r="ER656" s="1388" t="e">
        <f t="shared" si="29"/>
        <v>#VALUE!</v>
      </c>
      <c r="ES656" s="1388"/>
      <c r="ET656" s="1388"/>
      <c r="EU656" s="1388"/>
      <c r="EV656" s="1388"/>
      <c r="EW656" s="1388" t="e">
        <f t="shared" si="30"/>
        <v>#VALUE!</v>
      </c>
      <c r="EX656" s="1388"/>
      <c r="EY656" s="1388"/>
      <c r="EZ656" s="1388"/>
      <c r="FA656" s="1388"/>
    </row>
    <row r="657" spans="1:157" ht="13" customHeight="1">
      <c r="A657" s="22"/>
      <c r="B657" t="s">
        <v>20</v>
      </c>
      <c r="N657" s="1437" t="s">
        <v>553</v>
      </c>
      <c r="O657" s="1437"/>
      <c r="T657" s="22"/>
      <c r="U657" t="s">
        <v>20</v>
      </c>
      <c r="AG657" s="1437" t="s">
        <v>553</v>
      </c>
      <c r="AH657" s="1437"/>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8">
        <f>SUM(CS655:DV655)</f>
        <v>0</v>
      </c>
      <c r="DS657" s="1388"/>
      <c r="DT657" s="1388"/>
      <c r="DU657" s="1388"/>
      <c r="DV657" s="1388"/>
      <c r="DX657" s="1388" t="e">
        <f t="shared" si="31"/>
        <v>#VALUE!</v>
      </c>
      <c r="DY657" s="1388"/>
      <c r="DZ657" s="1388"/>
      <c r="EA657" s="1388"/>
      <c r="EB657" s="1388"/>
      <c r="EC657" s="1388" t="e">
        <f t="shared" si="26"/>
        <v>#VALUE!</v>
      </c>
      <c r="ED657" s="1388"/>
      <c r="EE657" s="1388"/>
      <c r="EF657" s="1388"/>
      <c r="EG657" s="1388"/>
      <c r="EH657" s="1388" t="e">
        <f t="shared" si="27"/>
        <v>#VALUE!</v>
      </c>
      <c r="EI657" s="1388"/>
      <c r="EJ657" s="1388"/>
      <c r="EK657" s="1388"/>
      <c r="EL657" s="1388"/>
      <c r="EM657" s="1388" t="e">
        <f t="shared" si="28"/>
        <v>#VALUE!</v>
      </c>
      <c r="EN657" s="1388"/>
      <c r="EO657" s="1388"/>
      <c r="EP657" s="1388"/>
      <c r="EQ657" s="1388"/>
      <c r="ER657" s="1388" t="e">
        <f t="shared" si="29"/>
        <v>#VALUE!</v>
      </c>
      <c r="ES657" s="1388"/>
      <c r="ET657" s="1388"/>
      <c r="EU657" s="1388"/>
      <c r="EV657" s="1388"/>
      <c r="EW657" s="1388" t="e">
        <f t="shared" si="30"/>
        <v>#VALUE!</v>
      </c>
      <c r="EX657" s="1388"/>
      <c r="EY657" s="1388"/>
      <c r="EZ657" s="1388"/>
      <c r="FA657" s="1388"/>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8" t="e">
        <f t="shared" ref="DX658:DX667" si="44">DX620*(BN620/$BN$632)</f>
        <v>#VALUE!</v>
      </c>
      <c r="DY658" s="1388"/>
      <c r="DZ658" s="1388"/>
      <c r="EA658" s="1388"/>
      <c r="EB658" s="1388"/>
      <c r="EC658" s="1388" t="e">
        <f t="shared" ref="EC658:EC667" si="45">EC620*(BS620/$BS$632)</f>
        <v>#VALUE!</v>
      </c>
      <c r="ED658" s="1388"/>
      <c r="EE658" s="1388"/>
      <c r="EF658" s="1388"/>
      <c r="EG658" s="1388"/>
      <c r="EH658" s="1388" t="e">
        <f t="shared" ref="EH658:EH667" si="46">EH620*(BX620/$BX$632)</f>
        <v>#VALUE!</v>
      </c>
      <c r="EI658" s="1388"/>
      <c r="EJ658" s="1388"/>
      <c r="EK658" s="1388"/>
      <c r="EL658" s="1388"/>
      <c r="EM658" s="1388" t="e">
        <f t="shared" ref="EM658:EM667" si="47">EM620*(CC620/$CC$632)</f>
        <v>#VALUE!</v>
      </c>
      <c r="EN658" s="1388"/>
      <c r="EO658" s="1388"/>
      <c r="EP658" s="1388"/>
      <c r="EQ658" s="1388"/>
      <c r="ER658" s="1388" t="e">
        <f t="shared" ref="ER658:ER667" si="48">ER620*(CH620/$CH$632)</f>
        <v>#VALUE!</v>
      </c>
      <c r="ES658" s="1388"/>
      <c r="ET658" s="1388"/>
      <c r="EU658" s="1388"/>
      <c r="EV658" s="1388"/>
      <c r="EW658" s="1388" t="e">
        <f t="shared" ref="EW658:EW667" si="49">EW620*(CM620/$CM$632)</f>
        <v>#VALUE!</v>
      </c>
      <c r="EX658" s="1388"/>
      <c r="EY658" s="1388"/>
      <c r="EZ658" s="1388"/>
      <c r="FA658" s="1388"/>
    </row>
    <row r="659" spans="1:157" ht="13" customHeight="1">
      <c r="A659" s="55" t="s">
        <v>772</v>
      </c>
      <c r="B659" t="s">
        <v>471</v>
      </c>
      <c r="G659" s="1516" t="str">
        <f>C631</f>
        <v>FHLB AHP</v>
      </c>
      <c r="H659" s="1516"/>
      <c r="I659" s="1516"/>
      <c r="J659" s="1516"/>
      <c r="K659" s="1516"/>
      <c r="L659" s="1516"/>
      <c r="M659" s="1516"/>
      <c r="N659" s="1516"/>
      <c r="O659" s="1516"/>
      <c r="P659" s="1516"/>
      <c r="Q659" s="1516"/>
      <c r="R659" s="1516"/>
      <c r="T659" s="55" t="s">
        <v>592</v>
      </c>
      <c r="U659" t="s">
        <v>471</v>
      </c>
      <c r="Z659" s="1516" t="str">
        <f>C632</f>
        <v>Island City Development -Deferred Developer Fee</v>
      </c>
      <c r="AA659" s="1516"/>
      <c r="AB659" s="1516"/>
      <c r="AC659" s="1516"/>
      <c r="AD659" s="1516"/>
      <c r="AE659" s="1516"/>
      <c r="AF659" s="1516"/>
      <c r="AG659" s="1516"/>
      <c r="AH659" s="1516"/>
      <c r="AI659" s="1516"/>
      <c r="AJ659" s="1516"/>
      <c r="AK659" s="151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8" t="e">
        <f t="shared" si="44"/>
        <v>#VALUE!</v>
      </c>
      <c r="DY659" s="1388"/>
      <c r="DZ659" s="1388"/>
      <c r="EA659" s="1388"/>
      <c r="EB659" s="1388"/>
      <c r="EC659" s="1388" t="e">
        <f t="shared" si="45"/>
        <v>#VALUE!</v>
      </c>
      <c r="ED659" s="1388"/>
      <c r="EE659" s="1388"/>
      <c r="EF659" s="1388"/>
      <c r="EG659" s="1388"/>
      <c r="EH659" s="1388" t="e">
        <f t="shared" si="46"/>
        <v>#VALUE!</v>
      </c>
      <c r="EI659" s="1388"/>
      <c r="EJ659" s="1388"/>
      <c r="EK659" s="1388"/>
      <c r="EL659" s="1388"/>
      <c r="EM659" s="1388" t="e">
        <f t="shared" si="47"/>
        <v>#VALUE!</v>
      </c>
      <c r="EN659" s="1388"/>
      <c r="EO659" s="1388"/>
      <c r="EP659" s="1388"/>
      <c r="EQ659" s="1388"/>
      <c r="ER659" s="1388" t="e">
        <f t="shared" si="48"/>
        <v>#VALUE!</v>
      </c>
      <c r="ES659" s="1388"/>
      <c r="ET659" s="1388"/>
      <c r="EU659" s="1388"/>
      <c r="EV659" s="1388"/>
      <c r="EW659" s="1388" t="e">
        <f t="shared" si="49"/>
        <v>#VALUE!</v>
      </c>
      <c r="EX659" s="1388"/>
      <c r="EY659" s="1388"/>
      <c r="EZ659" s="1388"/>
      <c r="FA659" s="1388"/>
    </row>
    <row r="660" spans="1:157" ht="13" customHeight="1">
      <c r="A660" s="22"/>
      <c r="B660" t="s">
        <v>85</v>
      </c>
      <c r="G660" s="1460" t="s">
        <v>2777</v>
      </c>
      <c r="H660" s="1460"/>
      <c r="I660" s="1460"/>
      <c r="J660" s="1460"/>
      <c r="K660" s="1460"/>
      <c r="L660" s="1460"/>
      <c r="M660" s="1460"/>
      <c r="N660" s="1460"/>
      <c r="O660" s="1460"/>
      <c r="P660" s="1460"/>
      <c r="Q660" s="1460"/>
      <c r="R660" s="1460"/>
      <c r="T660" s="22"/>
      <c r="U660" t="s">
        <v>85</v>
      </c>
      <c r="Z660" s="1460" t="s">
        <v>2652</v>
      </c>
      <c r="AA660" s="1460"/>
      <c r="AB660" s="1460"/>
      <c r="AC660" s="1460"/>
      <c r="AD660" s="1460"/>
      <c r="AE660" s="1460"/>
      <c r="AF660" s="1460"/>
      <c r="AG660" s="1460"/>
      <c r="AH660" s="1460"/>
      <c r="AI660" s="1460"/>
      <c r="AJ660" s="1460"/>
      <c r="AK660" s="1460"/>
      <c r="AZ660" s="34"/>
      <c r="BA660" s="34"/>
      <c r="BB660" s="34"/>
      <c r="BC660" s="34"/>
      <c r="BD660" s="34"/>
      <c r="BE660" s="34"/>
      <c r="BF660" s="34"/>
      <c r="BG660" s="34"/>
      <c r="BH660" s="34"/>
      <c r="BI660" s="34"/>
      <c r="BJ660" s="34"/>
      <c r="BK660" s="34"/>
      <c r="BL660" s="34"/>
      <c r="BM660" s="34"/>
      <c r="BN660" s="1716">
        <f>BN632+BN641+BN655</f>
        <v>25</v>
      </c>
      <c r="BO660" s="1717"/>
      <c r="BP660" s="1717"/>
      <c r="BQ660" s="1717"/>
      <c r="BR660" s="1718"/>
      <c r="BS660" s="1716">
        <f>BS632+BS641+BS655</f>
        <v>21</v>
      </c>
      <c r="BT660" s="1717"/>
      <c r="BU660" s="1717"/>
      <c r="BV660" s="1717"/>
      <c r="BW660" s="1718"/>
      <c r="BX660" s="1716">
        <f>BX632+BX641+BX655</f>
        <v>0</v>
      </c>
      <c r="BY660" s="1717"/>
      <c r="BZ660" s="1717"/>
      <c r="CA660" s="1717"/>
      <c r="CB660" s="1718"/>
      <c r="CC660" s="1716">
        <f>CC632+CC641+CC655</f>
        <v>0</v>
      </c>
      <c r="CD660" s="1717"/>
      <c r="CE660" s="1717"/>
      <c r="CF660" s="1717"/>
      <c r="CG660" s="1718"/>
      <c r="CH660" s="1716">
        <f>CH632+CH641+CH655</f>
        <v>0</v>
      </c>
      <c r="CI660" s="1717"/>
      <c r="CJ660" s="1717"/>
      <c r="CK660" s="1717"/>
      <c r="CL660" s="1718"/>
      <c r="CM660" s="1389">
        <f>CM655+CM641+CM632</f>
        <v>0</v>
      </c>
      <c r="CN660" s="1390"/>
      <c r="CO660" s="1390"/>
      <c r="CP660" s="1390"/>
      <c r="CQ660" s="1391"/>
      <c r="CR660" s="3"/>
      <c r="CS660" s="895">
        <f>CS634+CS658</f>
        <v>46</v>
      </c>
      <c r="CT660" s="57" t="s">
        <v>2053</v>
      </c>
      <c r="CU660" s="3"/>
      <c r="CV660" s="3"/>
      <c r="CW660" s="3"/>
      <c r="CX660" s="3"/>
      <c r="CY660" s="3"/>
      <c r="CZ660" s="3"/>
      <c r="DA660" s="3"/>
      <c r="DB660" s="3"/>
      <c r="DC660" s="3"/>
      <c r="DD660" s="3"/>
      <c r="DE660" s="3"/>
      <c r="DF660" s="3"/>
      <c r="DX660" s="1388" t="e">
        <f t="shared" si="44"/>
        <v>#VALUE!</v>
      </c>
      <c r="DY660" s="1388"/>
      <c r="DZ660" s="1388"/>
      <c r="EA660" s="1388"/>
      <c r="EB660" s="1388"/>
      <c r="EC660" s="1388" t="e">
        <f t="shared" si="45"/>
        <v>#VALUE!</v>
      </c>
      <c r="ED660" s="1388"/>
      <c r="EE660" s="1388"/>
      <c r="EF660" s="1388"/>
      <c r="EG660" s="1388"/>
      <c r="EH660" s="1388" t="e">
        <f t="shared" si="46"/>
        <v>#VALUE!</v>
      </c>
      <c r="EI660" s="1388"/>
      <c r="EJ660" s="1388"/>
      <c r="EK660" s="1388"/>
      <c r="EL660" s="1388"/>
      <c r="EM660" s="1388" t="e">
        <f t="shared" si="47"/>
        <v>#VALUE!</v>
      </c>
      <c r="EN660" s="1388"/>
      <c r="EO660" s="1388"/>
      <c r="EP660" s="1388"/>
      <c r="EQ660" s="1388"/>
      <c r="ER660" s="1388" t="e">
        <f t="shared" si="48"/>
        <v>#VALUE!</v>
      </c>
      <c r="ES660" s="1388"/>
      <c r="ET660" s="1388"/>
      <c r="EU660" s="1388"/>
      <c r="EV660" s="1388"/>
      <c r="EW660" s="1388" t="e">
        <f t="shared" si="49"/>
        <v>#VALUE!</v>
      </c>
      <c r="EX660" s="1388"/>
      <c r="EY660" s="1388"/>
      <c r="EZ660" s="1388"/>
      <c r="FA660" s="1388"/>
    </row>
    <row r="661" spans="1:157" ht="13" customHeight="1">
      <c r="A661" s="22"/>
      <c r="B661" t="s">
        <v>588</v>
      </c>
      <c r="G661" s="1460" t="s">
        <v>2778</v>
      </c>
      <c r="H661" s="1460"/>
      <c r="I661" s="1460"/>
      <c r="J661" s="1460"/>
      <c r="K661" s="1460"/>
      <c r="L661" s="1460"/>
      <c r="M661" s="1460"/>
      <c r="N661" s="1460"/>
      <c r="O661" s="1460"/>
      <c r="P661" s="1460"/>
      <c r="Q661" s="1460"/>
      <c r="R661" s="1460"/>
      <c r="T661" s="22"/>
      <c r="U661" t="s">
        <v>588</v>
      </c>
      <c r="Z661" s="1443" t="s">
        <v>484</v>
      </c>
      <c r="AA661" s="1443"/>
      <c r="AB661" s="1443"/>
      <c r="AC661" s="1443"/>
      <c r="AD661" s="1443"/>
      <c r="AE661" s="1443"/>
      <c r="AF661" s="1443"/>
      <c r="AG661" s="1443"/>
      <c r="AH661" s="1443"/>
      <c r="AI661" s="1443"/>
      <c r="AJ661" s="1443"/>
      <c r="AK661" s="144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8" t="e">
        <f t="shared" si="44"/>
        <v>#VALUE!</v>
      </c>
      <c r="DY661" s="1388"/>
      <c r="DZ661" s="1388"/>
      <c r="EA661" s="1388"/>
      <c r="EB661" s="1388"/>
      <c r="EC661" s="1388" t="e">
        <f t="shared" si="45"/>
        <v>#VALUE!</v>
      </c>
      <c r="ED661" s="1388"/>
      <c r="EE661" s="1388"/>
      <c r="EF661" s="1388"/>
      <c r="EG661" s="1388"/>
      <c r="EH661" s="1388" t="e">
        <f t="shared" si="46"/>
        <v>#VALUE!</v>
      </c>
      <c r="EI661" s="1388"/>
      <c r="EJ661" s="1388"/>
      <c r="EK661" s="1388"/>
      <c r="EL661" s="1388"/>
      <c r="EM661" s="1388" t="e">
        <f t="shared" si="47"/>
        <v>#VALUE!</v>
      </c>
      <c r="EN661" s="1388"/>
      <c r="EO661" s="1388"/>
      <c r="EP661" s="1388"/>
      <c r="EQ661" s="1388"/>
      <c r="ER661" s="1388" t="e">
        <f t="shared" si="48"/>
        <v>#VALUE!</v>
      </c>
      <c r="ES661" s="1388"/>
      <c r="ET661" s="1388"/>
      <c r="EU661" s="1388"/>
      <c r="EV661" s="1388"/>
      <c r="EW661" s="1388" t="e">
        <f t="shared" si="49"/>
        <v>#VALUE!</v>
      </c>
      <c r="EX661" s="1388"/>
      <c r="EY661" s="1388"/>
      <c r="EZ661" s="1388"/>
      <c r="FA661" s="1388"/>
    </row>
    <row r="662" spans="1:157" ht="13" customHeight="1">
      <c r="A662" s="22"/>
      <c r="B662" t="s">
        <v>17</v>
      </c>
      <c r="G662" s="1460" t="s">
        <v>2779</v>
      </c>
      <c r="H662" s="1460"/>
      <c r="I662" s="1460"/>
      <c r="J662" s="1460"/>
      <c r="K662" s="1460"/>
      <c r="L662" s="1460"/>
      <c r="M662" s="1460"/>
      <c r="N662" s="1460"/>
      <c r="O662" s="1460"/>
      <c r="P662" s="1460"/>
      <c r="Q662" s="1460"/>
      <c r="R662" s="1460"/>
      <c r="T662" s="22"/>
      <c r="U662" t="s">
        <v>17</v>
      </c>
      <c r="Z662" s="1443" t="s">
        <v>2654</v>
      </c>
      <c r="AA662" s="1443"/>
      <c r="AB662" s="1443"/>
      <c r="AC662" s="1443"/>
      <c r="AD662" s="1443"/>
      <c r="AE662" s="1443"/>
      <c r="AF662" s="1443"/>
      <c r="AG662" s="1443"/>
      <c r="AH662" s="1443"/>
      <c r="AI662" s="1443"/>
      <c r="AJ662" s="1443"/>
      <c r="AK662" s="144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8" t="e">
        <f t="shared" si="44"/>
        <v>#VALUE!</v>
      </c>
      <c r="DY662" s="1388"/>
      <c r="DZ662" s="1388"/>
      <c r="EA662" s="1388"/>
      <c r="EB662" s="1388"/>
      <c r="EC662" s="1388" t="e">
        <f t="shared" si="45"/>
        <v>#VALUE!</v>
      </c>
      <c r="ED662" s="1388"/>
      <c r="EE662" s="1388"/>
      <c r="EF662" s="1388"/>
      <c r="EG662" s="1388"/>
      <c r="EH662" s="1388" t="e">
        <f t="shared" si="46"/>
        <v>#VALUE!</v>
      </c>
      <c r="EI662" s="1388"/>
      <c r="EJ662" s="1388"/>
      <c r="EK662" s="1388"/>
      <c r="EL662" s="1388"/>
      <c r="EM662" s="1388" t="e">
        <f t="shared" si="47"/>
        <v>#VALUE!</v>
      </c>
      <c r="EN662" s="1388"/>
      <c r="EO662" s="1388"/>
      <c r="EP662" s="1388"/>
      <c r="EQ662" s="1388"/>
      <c r="ER662" s="1388" t="e">
        <f t="shared" si="48"/>
        <v>#VALUE!</v>
      </c>
      <c r="ES662" s="1388"/>
      <c r="ET662" s="1388"/>
      <c r="EU662" s="1388"/>
      <c r="EV662" s="1388"/>
      <c r="EW662" s="1388" t="e">
        <f t="shared" si="49"/>
        <v>#VALUE!</v>
      </c>
      <c r="EX662" s="1388"/>
      <c r="EY662" s="1388"/>
      <c r="EZ662" s="1388"/>
      <c r="FA662" s="1388"/>
    </row>
    <row r="663" spans="1:157" ht="13" customHeight="1">
      <c r="A663" s="22"/>
      <c r="B663" t="s">
        <v>317</v>
      </c>
      <c r="G663" s="1475" t="s">
        <v>2780</v>
      </c>
      <c r="H663" s="1475"/>
      <c r="I663" s="1475"/>
      <c r="J663" s="1475"/>
      <c r="K663" s="1475"/>
      <c r="L663" s="1475"/>
      <c r="O663" s="33" t="s">
        <v>207</v>
      </c>
      <c r="P663" s="1438"/>
      <c r="Q663" s="1438"/>
      <c r="R663" s="1438"/>
      <c r="T663" s="22"/>
      <c r="U663" t="s">
        <v>317</v>
      </c>
      <c r="Z663" s="1475" t="s">
        <v>2655</v>
      </c>
      <c r="AA663" s="1475"/>
      <c r="AB663" s="1475"/>
      <c r="AC663" s="1475"/>
      <c r="AD663" s="1475"/>
      <c r="AE663" s="1475"/>
      <c r="AH663" s="33" t="s">
        <v>207</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8" t="e">
        <f t="shared" si="44"/>
        <v>#VALUE!</v>
      </c>
      <c r="DY663" s="1388"/>
      <c r="DZ663" s="1388"/>
      <c r="EA663" s="1388"/>
      <c r="EB663" s="1388"/>
      <c r="EC663" s="1388" t="e">
        <f t="shared" si="45"/>
        <v>#VALUE!</v>
      </c>
      <c r="ED663" s="1388"/>
      <c r="EE663" s="1388"/>
      <c r="EF663" s="1388"/>
      <c r="EG663" s="1388"/>
      <c r="EH663" s="1388" t="e">
        <f t="shared" si="46"/>
        <v>#VALUE!</v>
      </c>
      <c r="EI663" s="1388"/>
      <c r="EJ663" s="1388"/>
      <c r="EK663" s="1388"/>
      <c r="EL663" s="1388"/>
      <c r="EM663" s="1388" t="e">
        <f t="shared" si="47"/>
        <v>#VALUE!</v>
      </c>
      <c r="EN663" s="1388"/>
      <c r="EO663" s="1388"/>
      <c r="EP663" s="1388"/>
      <c r="EQ663" s="1388"/>
      <c r="ER663" s="1388" t="e">
        <f t="shared" si="48"/>
        <v>#VALUE!</v>
      </c>
      <c r="ES663" s="1388"/>
      <c r="ET663" s="1388"/>
      <c r="EU663" s="1388"/>
      <c r="EV663" s="1388"/>
      <c r="EW663" s="1388" t="e">
        <f t="shared" si="49"/>
        <v>#VALUE!</v>
      </c>
      <c r="EX663" s="1388"/>
      <c r="EY663" s="1388"/>
      <c r="EZ663" s="1388"/>
      <c r="FA663" s="1388"/>
    </row>
    <row r="664" spans="1:157" ht="13" customHeight="1">
      <c r="A664" s="22"/>
      <c r="B664" t="s">
        <v>18</v>
      </c>
      <c r="H664" s="1460" t="s">
        <v>2781</v>
      </c>
      <c r="I664" s="1460"/>
      <c r="J664" s="1460"/>
      <c r="K664" s="1460"/>
      <c r="L664" s="1460"/>
      <c r="M664" s="1460"/>
      <c r="N664" s="1460"/>
      <c r="O664" s="1460"/>
      <c r="P664" s="1460"/>
      <c r="Q664" s="1460"/>
      <c r="R664" s="1460"/>
      <c r="T664" s="22"/>
      <c r="U664" t="s">
        <v>18</v>
      </c>
      <c r="AA664" s="1460" t="s">
        <v>1849</v>
      </c>
      <c r="AB664" s="1460"/>
      <c r="AC664" s="1460"/>
      <c r="AD664" s="1460"/>
      <c r="AE664" s="1460"/>
      <c r="AF664" s="1460"/>
      <c r="AG664" s="1460"/>
      <c r="AH664" s="1460"/>
      <c r="AI664" s="1460"/>
      <c r="AJ664" s="1460"/>
      <c r="AK664" s="146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8" t="e">
        <f t="shared" si="44"/>
        <v>#VALUE!</v>
      </c>
      <c r="DY664" s="1388"/>
      <c r="DZ664" s="1388"/>
      <c r="EA664" s="1388"/>
      <c r="EB664" s="1388"/>
      <c r="EC664" s="1388" t="e">
        <f t="shared" si="45"/>
        <v>#VALUE!</v>
      </c>
      <c r="ED664" s="1388"/>
      <c r="EE664" s="1388"/>
      <c r="EF664" s="1388"/>
      <c r="EG664" s="1388"/>
      <c r="EH664" s="1388" t="e">
        <f t="shared" si="46"/>
        <v>#VALUE!</v>
      </c>
      <c r="EI664" s="1388"/>
      <c r="EJ664" s="1388"/>
      <c r="EK664" s="1388"/>
      <c r="EL664" s="1388"/>
      <c r="EM664" s="1388" t="e">
        <f t="shared" si="47"/>
        <v>#VALUE!</v>
      </c>
      <c r="EN664" s="1388"/>
      <c r="EO664" s="1388"/>
      <c r="EP664" s="1388"/>
      <c r="EQ664" s="1388"/>
      <c r="ER664" s="1388" t="e">
        <f t="shared" si="48"/>
        <v>#VALUE!</v>
      </c>
      <c r="ES664" s="1388"/>
      <c r="ET664" s="1388"/>
      <c r="EU664" s="1388"/>
      <c r="EV664" s="1388"/>
      <c r="EW664" s="1388" t="e">
        <f t="shared" si="49"/>
        <v>#VALUE!</v>
      </c>
      <c r="EX664" s="1388"/>
      <c r="EY664" s="1388"/>
      <c r="EZ664" s="1388"/>
      <c r="FA664" s="1388"/>
    </row>
    <row r="665" spans="1:157" ht="13" customHeight="1">
      <c r="A665" s="22"/>
      <c r="B665" t="s">
        <v>20</v>
      </c>
      <c r="N665" s="1437" t="s">
        <v>553</v>
      </c>
      <c r="O665" s="1437"/>
      <c r="T665" s="22"/>
      <c r="U665" t="s">
        <v>20</v>
      </c>
      <c r="AG665" s="1437" t="s">
        <v>553</v>
      </c>
      <c r="AH665" s="143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8" t="e">
        <f t="shared" si="44"/>
        <v>#VALUE!</v>
      </c>
      <c r="DY665" s="1388"/>
      <c r="DZ665" s="1388"/>
      <c r="EA665" s="1388"/>
      <c r="EB665" s="1388"/>
      <c r="EC665" s="1388" t="e">
        <f t="shared" si="45"/>
        <v>#VALUE!</v>
      </c>
      <c r="ED665" s="1388"/>
      <c r="EE665" s="1388"/>
      <c r="EF665" s="1388"/>
      <c r="EG665" s="1388"/>
      <c r="EH665" s="1388" t="e">
        <f t="shared" si="46"/>
        <v>#VALUE!</v>
      </c>
      <c r="EI665" s="1388"/>
      <c r="EJ665" s="1388"/>
      <c r="EK665" s="1388"/>
      <c r="EL665" s="1388"/>
      <c r="EM665" s="1388" t="e">
        <f t="shared" si="47"/>
        <v>#VALUE!</v>
      </c>
      <c r="EN665" s="1388"/>
      <c r="EO665" s="1388"/>
      <c r="EP665" s="1388"/>
      <c r="EQ665" s="1388"/>
      <c r="ER665" s="1388" t="e">
        <f t="shared" si="48"/>
        <v>#VALUE!</v>
      </c>
      <c r="ES665" s="1388"/>
      <c r="ET665" s="1388"/>
      <c r="EU665" s="1388"/>
      <c r="EV665" s="1388"/>
      <c r="EW665" s="1388" t="e">
        <f t="shared" si="49"/>
        <v>#VALUE!</v>
      </c>
      <c r="EX665" s="1388"/>
      <c r="EY665" s="1388"/>
      <c r="EZ665" s="1388"/>
      <c r="FA665" s="1388"/>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8" t="e">
        <f t="shared" si="44"/>
        <v>#VALUE!</v>
      </c>
      <c r="DY666" s="1388"/>
      <c r="DZ666" s="1388"/>
      <c r="EA666" s="1388"/>
      <c r="EB666" s="1388"/>
      <c r="EC666" s="1388" t="e">
        <f t="shared" si="45"/>
        <v>#VALUE!</v>
      </c>
      <c r="ED666" s="1388"/>
      <c r="EE666" s="1388"/>
      <c r="EF666" s="1388"/>
      <c r="EG666" s="1388"/>
      <c r="EH666" s="1388" t="e">
        <f t="shared" si="46"/>
        <v>#VALUE!</v>
      </c>
      <c r="EI666" s="1388"/>
      <c r="EJ666" s="1388"/>
      <c r="EK666" s="1388"/>
      <c r="EL666" s="1388"/>
      <c r="EM666" s="1388" t="e">
        <f t="shared" si="47"/>
        <v>#VALUE!</v>
      </c>
      <c r="EN666" s="1388"/>
      <c r="EO666" s="1388"/>
      <c r="EP666" s="1388"/>
      <c r="EQ666" s="1388"/>
      <c r="ER666" s="1388" t="e">
        <f t="shared" si="48"/>
        <v>#VALUE!</v>
      </c>
      <c r="ES666" s="1388"/>
      <c r="ET666" s="1388"/>
      <c r="EU666" s="1388"/>
      <c r="EV666" s="1388"/>
      <c r="EW666" s="1388" t="e">
        <f t="shared" si="49"/>
        <v>#VALUE!</v>
      </c>
      <c r="EX666" s="1388"/>
      <c r="EY666" s="1388"/>
      <c r="EZ666" s="1388"/>
      <c r="FA666" s="1388"/>
    </row>
    <row r="667" spans="1:157" ht="13" customHeight="1">
      <c r="A667" s="55" t="s">
        <v>463</v>
      </c>
      <c r="B667" t="s">
        <v>471</v>
      </c>
      <c r="G667" s="1516" t="str">
        <f>C633</f>
        <v>Island City Development -GP Equity</v>
      </c>
      <c r="H667" s="1516"/>
      <c r="I667" s="1516"/>
      <c r="J667" s="1516"/>
      <c r="K667" s="1516"/>
      <c r="L667" s="1516"/>
      <c r="M667" s="1516"/>
      <c r="N667" s="1516"/>
      <c r="O667" s="1516"/>
      <c r="P667" s="1516"/>
      <c r="Q667" s="1516"/>
      <c r="R667" s="1516"/>
      <c r="T667" s="55" t="s">
        <v>464</v>
      </c>
      <c r="U667" t="s">
        <v>471</v>
      </c>
      <c r="Z667" s="1516">
        <f>C634</f>
        <v>0</v>
      </c>
      <c r="AA667" s="1516"/>
      <c r="AB667" s="1516"/>
      <c r="AC667" s="1516"/>
      <c r="AD667" s="1516"/>
      <c r="AE667" s="1516"/>
      <c r="AF667" s="1516"/>
      <c r="AG667" s="1516"/>
      <c r="AH667" s="1516"/>
      <c r="AI667" s="1516"/>
      <c r="AJ667" s="1516"/>
      <c r="AK667" s="1516"/>
      <c r="AZ667" s="3"/>
      <c r="BA667" s="118">
        <f t="shared" ref="BA667:BA699" si="50">IF($G718=0,"N/A",VLOOKUP($T$189,TC_Rent,(MATCH($B718,bedrooms,FALSE))))</f>
        <v>2724</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8" t="e">
        <f t="shared" si="44"/>
        <v>#VALUE!</v>
      </c>
      <c r="DY667" s="1388"/>
      <c r="DZ667" s="1388"/>
      <c r="EA667" s="1388"/>
      <c r="EB667" s="1388"/>
      <c r="EC667" s="1388" t="e">
        <f t="shared" si="45"/>
        <v>#VALUE!</v>
      </c>
      <c r="ED667" s="1388"/>
      <c r="EE667" s="1388"/>
      <c r="EF667" s="1388"/>
      <c r="EG667" s="1388"/>
      <c r="EH667" s="1388" t="e">
        <f t="shared" si="46"/>
        <v>#VALUE!</v>
      </c>
      <c r="EI667" s="1388"/>
      <c r="EJ667" s="1388"/>
      <c r="EK667" s="1388"/>
      <c r="EL667" s="1388"/>
      <c r="EM667" s="1388" t="e">
        <f t="shared" si="47"/>
        <v>#VALUE!</v>
      </c>
      <c r="EN667" s="1388"/>
      <c r="EO667" s="1388"/>
      <c r="EP667" s="1388"/>
      <c r="EQ667" s="1388"/>
      <c r="ER667" s="1388" t="e">
        <f t="shared" si="48"/>
        <v>#VALUE!</v>
      </c>
      <c r="ES667" s="1388"/>
      <c r="ET667" s="1388"/>
      <c r="EU667" s="1388"/>
      <c r="EV667" s="1388"/>
      <c r="EW667" s="1388" t="e">
        <f t="shared" si="49"/>
        <v>#VALUE!</v>
      </c>
      <c r="EX667" s="1388"/>
      <c r="EY667" s="1388"/>
      <c r="EZ667" s="1388"/>
      <c r="FA667" s="1388"/>
    </row>
    <row r="668" spans="1:157" ht="13" customHeight="1">
      <c r="A668" s="22"/>
      <c r="B668" t="s">
        <v>85</v>
      </c>
      <c r="G668" s="1460" t="s">
        <v>2652</v>
      </c>
      <c r="H668" s="1460"/>
      <c r="I668" s="1460"/>
      <c r="J668" s="1460"/>
      <c r="K668" s="1460"/>
      <c r="L668" s="1460"/>
      <c r="M668" s="1460"/>
      <c r="N668" s="1460"/>
      <c r="O668" s="1460"/>
      <c r="P668" s="1460"/>
      <c r="Q668" s="1460"/>
      <c r="R668" s="1460"/>
      <c r="T668" s="22"/>
      <c r="U668" t="s">
        <v>85</v>
      </c>
      <c r="Z668" s="1460"/>
      <c r="AA668" s="1460"/>
      <c r="AB668" s="1460"/>
      <c r="AC668" s="1460"/>
      <c r="AD668" s="1460"/>
      <c r="AE668" s="1460"/>
      <c r="AF668" s="1460"/>
      <c r="AG668" s="1460"/>
      <c r="AH668" s="1460"/>
      <c r="AI668" s="1460"/>
      <c r="AJ668" s="1460"/>
      <c r="AK668" s="1460"/>
      <c r="AZ668" s="3"/>
      <c r="BA668" s="118">
        <f t="shared" si="50"/>
        <v>2724</v>
      </c>
      <c r="BB668" s="3"/>
      <c r="BC668" s="3"/>
      <c r="BD668" s="3"/>
      <c r="BE668" s="3"/>
      <c r="BF668" s="218"/>
      <c r="BG668" s="315">
        <f t="shared" ref="BG668:BG700" si="51">G718</f>
        <v>20</v>
      </c>
      <c r="BH668" s="319">
        <f t="shared" ref="BH668:BH702" si="52">IF($BG$703=0,0,BG668/$BG$703)</f>
        <v>0.43478260869565216</v>
      </c>
      <c r="BI668" s="320">
        <f t="shared" ref="BI668:BI691" si="53">IF(BH668=0,"",BH668*AC718)</f>
        <v>0.13043478260869565</v>
      </c>
      <c r="BJ668" s="3"/>
      <c r="BK668" s="3"/>
      <c r="BL668" s="3"/>
      <c r="BM668" s="3"/>
      <c r="BN668" s="3"/>
      <c r="BO668" s="3"/>
      <c r="BT668" s="315">
        <f t="shared" ref="BT668:BT700" si="54">G718</f>
        <v>20</v>
      </c>
      <c r="BU668" s="319">
        <f t="shared" ref="BU668:BU702" si="55">IF($BT$703=0,0,BT668/$BT$703)</f>
        <v>0.43478260869565216</v>
      </c>
      <c r="BV668" s="320">
        <f t="shared" ref="BV668:BV700" si="56">IF(BU668=0,"",BU668*AH718)</f>
        <v>0.13040286024388686</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8" t="e">
        <f>DX630*(BN630/$BN$632)</f>
        <v>#VALUE!</v>
      </c>
      <c r="DY668" s="1388"/>
      <c r="DZ668" s="1388"/>
      <c r="EA668" s="1388"/>
      <c r="EB668" s="1388"/>
      <c r="EC668" s="1388" t="e">
        <f>EC630*(BS630/$BS$632)</f>
        <v>#VALUE!</v>
      </c>
      <c r="ED668" s="1388"/>
      <c r="EE668" s="1388"/>
      <c r="EF668" s="1388"/>
      <c r="EG668" s="1388"/>
      <c r="EH668" s="1388" t="e">
        <f>EH630*(BX630/$BX$632)</f>
        <v>#VALUE!</v>
      </c>
      <c r="EI668" s="1388"/>
      <c r="EJ668" s="1388"/>
      <c r="EK668" s="1388"/>
      <c r="EL668" s="1388"/>
      <c r="EM668" s="1388" t="e">
        <f>EM630*(CC630/$CC$632)</f>
        <v>#VALUE!</v>
      </c>
      <c r="EN668" s="1388"/>
      <c r="EO668" s="1388"/>
      <c r="EP668" s="1388"/>
      <c r="EQ668" s="1388"/>
      <c r="ER668" s="1388" t="e">
        <f>ER630*(CH630/$CH$632)</f>
        <v>#VALUE!</v>
      </c>
      <c r="ES668" s="1388"/>
      <c r="ET668" s="1388"/>
      <c r="EU668" s="1388"/>
      <c r="EV668" s="1388"/>
      <c r="EW668" s="1388" t="e">
        <f>EW630*(CM630/$CM$632)</f>
        <v>#VALUE!</v>
      </c>
      <c r="EX668" s="1388"/>
      <c r="EY668" s="1388"/>
      <c r="EZ668" s="1388"/>
      <c r="FA668" s="1388"/>
    </row>
    <row r="669" spans="1:157" ht="13" customHeight="1">
      <c r="A669" s="22"/>
      <c r="B669" t="s">
        <v>588</v>
      </c>
      <c r="G669" s="1460" t="s">
        <v>484</v>
      </c>
      <c r="H669" s="1460"/>
      <c r="I669" s="1460"/>
      <c r="J669" s="1460"/>
      <c r="K669" s="1460"/>
      <c r="L669" s="1460"/>
      <c r="M669" s="1460"/>
      <c r="N669" s="1460"/>
      <c r="O669" s="1460"/>
      <c r="P669" s="1460"/>
      <c r="Q669" s="1460"/>
      <c r="R669" s="1460"/>
      <c r="T669" s="22"/>
      <c r="U669" t="s">
        <v>588</v>
      </c>
      <c r="Z669" s="1443"/>
      <c r="AA669" s="1443"/>
      <c r="AB669" s="1443"/>
      <c r="AC669" s="1443"/>
      <c r="AD669" s="1443"/>
      <c r="AE669" s="1443"/>
      <c r="AF669" s="1443"/>
      <c r="AG669" s="1443"/>
      <c r="AH669" s="1443"/>
      <c r="AI669" s="1443"/>
      <c r="AJ669" s="1443"/>
      <c r="AK669" s="1443"/>
      <c r="AZ669" s="3"/>
      <c r="BA669" s="118">
        <f t="shared" si="50"/>
        <v>2920</v>
      </c>
      <c r="BB669" s="3"/>
      <c r="BC669" s="3"/>
      <c r="BD669" s="3"/>
      <c r="BE669" s="3"/>
      <c r="BF669" s="218"/>
      <c r="BG669" s="316">
        <f t="shared" si="51"/>
        <v>5</v>
      </c>
      <c r="BH669" s="319">
        <f t="shared" si="52"/>
        <v>0.10869565217391304</v>
      </c>
      <c r="BI669" s="320">
        <f t="shared" si="53"/>
        <v>3.2608695652173912E-2</v>
      </c>
      <c r="BJ669" s="3"/>
      <c r="BK669" s="3"/>
      <c r="BL669" s="3"/>
      <c r="BM669" s="3"/>
      <c r="BN669" s="3"/>
      <c r="BO669" s="3"/>
      <c r="BT669" s="316">
        <f t="shared" si="54"/>
        <v>5</v>
      </c>
      <c r="BU669" s="319">
        <f t="shared" si="55"/>
        <v>0.10869565217391304</v>
      </c>
      <c r="BV669" s="320">
        <f t="shared" si="56"/>
        <v>1.4365064163953264E-2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8" t="e">
        <f>DX631*(BN631/$BN$632)</f>
        <v>#VALUE!</v>
      </c>
      <c r="DY669" s="1388"/>
      <c r="DZ669" s="1388"/>
      <c r="EA669" s="1388"/>
      <c r="EB669" s="1388"/>
      <c r="EC669" s="1388" t="e">
        <f>EC631*(BS631/$BS$632)</f>
        <v>#VALUE!</v>
      </c>
      <c r="ED669" s="1388"/>
      <c r="EE669" s="1388"/>
      <c r="EF669" s="1388"/>
      <c r="EG669" s="1388"/>
      <c r="EH669" s="1388" t="e">
        <f>EH631*(BX631/$BX$632)</f>
        <v>#VALUE!</v>
      </c>
      <c r="EI669" s="1388"/>
      <c r="EJ669" s="1388"/>
      <c r="EK669" s="1388"/>
      <c r="EL669" s="1388"/>
      <c r="EM669" s="1388" t="e">
        <f>EM631*(CC631/$CC$632)</f>
        <v>#VALUE!</v>
      </c>
      <c r="EN669" s="1388"/>
      <c r="EO669" s="1388"/>
      <c r="EP669" s="1388"/>
      <c r="EQ669" s="1388"/>
      <c r="ER669" s="1388" t="e">
        <f>ER631*(CH631/$CH$632)</f>
        <v>#VALUE!</v>
      </c>
      <c r="ES669" s="1388"/>
      <c r="ET669" s="1388"/>
      <c r="EU669" s="1388"/>
      <c r="EV669" s="1388"/>
      <c r="EW669" s="1388" t="e">
        <f>EW631*(CM631/$CM$632)</f>
        <v>#VALUE!</v>
      </c>
      <c r="EX669" s="1388"/>
      <c r="EY669" s="1388"/>
      <c r="EZ669" s="1388"/>
      <c r="FA669" s="1388"/>
    </row>
    <row r="670" spans="1:157" ht="13" customHeight="1">
      <c r="A670" s="22"/>
      <c r="B670" t="s">
        <v>17</v>
      </c>
      <c r="G670" s="1460" t="s">
        <v>2654</v>
      </c>
      <c r="H670" s="1460"/>
      <c r="I670" s="1460"/>
      <c r="J670" s="1460"/>
      <c r="K670" s="1460"/>
      <c r="L670" s="1460"/>
      <c r="M670" s="1460"/>
      <c r="N670" s="1460"/>
      <c r="O670" s="1460"/>
      <c r="P670" s="1460"/>
      <c r="Q670" s="1460"/>
      <c r="R670" s="1460"/>
      <c r="T670" s="22"/>
      <c r="U670" t="s">
        <v>17</v>
      </c>
      <c r="Z670" s="1443"/>
      <c r="AA670" s="1443"/>
      <c r="AB670" s="1443"/>
      <c r="AC670" s="1443"/>
      <c r="AD670" s="1443"/>
      <c r="AE670" s="1443"/>
      <c r="AF670" s="1443"/>
      <c r="AG670" s="1443"/>
      <c r="AH670" s="1443"/>
      <c r="AI670" s="1443"/>
      <c r="AJ670" s="1443"/>
      <c r="AK670" s="1443"/>
      <c r="AZ670" s="3"/>
      <c r="BA670" s="118">
        <f t="shared" si="50"/>
        <v>2920</v>
      </c>
      <c r="BB670" s="3"/>
      <c r="BC670" s="3"/>
      <c r="BD670" s="3"/>
      <c r="BE670" s="3"/>
      <c r="BF670" s="218"/>
      <c r="BG670" s="316">
        <f t="shared" si="51"/>
        <v>20</v>
      </c>
      <c r="BH670" s="319">
        <f t="shared" si="52"/>
        <v>0.43478260869565216</v>
      </c>
      <c r="BI670" s="320">
        <f t="shared" si="53"/>
        <v>0.13043478260869565</v>
      </c>
      <c r="BJ670" s="3"/>
      <c r="BK670" s="3"/>
      <c r="BL670" s="3"/>
      <c r="BM670" s="3"/>
      <c r="BN670" s="3"/>
      <c r="BO670" s="3"/>
      <c r="BT670" s="316">
        <f t="shared" si="54"/>
        <v>20</v>
      </c>
      <c r="BU670" s="319">
        <f t="shared" si="55"/>
        <v>0.43478260869565216</v>
      </c>
      <c r="BV670" s="320">
        <f t="shared" si="56"/>
        <v>0.13043478260869565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8">
        <f>SUMIF(DX635:EB669,"&gt;0")</f>
        <v>665.6</v>
      </c>
      <c r="DY670" s="1388"/>
      <c r="DZ670" s="1388"/>
      <c r="EA670" s="1388"/>
      <c r="EB670" s="1388"/>
      <c r="EC670" s="1388">
        <f>SUMIF(EC635:EG669,"&gt;0")</f>
        <v>784.76190476190482</v>
      </c>
      <c r="ED670" s="1388"/>
      <c r="EE670" s="1388"/>
      <c r="EF670" s="1388"/>
      <c r="EG670" s="1388"/>
      <c r="EH670" s="1388">
        <f>SUMIF(EH635:EL669,"&gt;0")</f>
        <v>0</v>
      </c>
      <c r="EI670" s="1388"/>
      <c r="EJ670" s="1388"/>
      <c r="EK670" s="1388"/>
      <c r="EL670" s="1388"/>
      <c r="EM670" s="1388">
        <f>SUMIF(EM635:EQ669,"&gt;0")</f>
        <v>0</v>
      </c>
      <c r="EN670" s="1388"/>
      <c r="EO670" s="1388"/>
      <c r="EP670" s="1388"/>
      <c r="EQ670" s="1388"/>
      <c r="ER670" s="1388">
        <f>SUMIF(ER635:EV669,"&gt;0")</f>
        <v>0</v>
      </c>
      <c r="ES670" s="1388"/>
      <c r="ET670" s="1388"/>
      <c r="EU670" s="1388"/>
      <c r="EV670" s="1388"/>
      <c r="EW670" s="1388">
        <f>SUMIF(EW635:FA669,"&gt;0")</f>
        <v>0</v>
      </c>
      <c r="EX670" s="1388"/>
      <c r="EY670" s="1388"/>
      <c r="EZ670" s="1388"/>
      <c r="FA670" s="1388"/>
    </row>
    <row r="671" spans="1:157" ht="13" customHeight="1">
      <c r="A671" s="22"/>
      <c r="B671" t="s">
        <v>317</v>
      </c>
      <c r="G671" s="1475" t="s">
        <v>2655</v>
      </c>
      <c r="H671" s="1475"/>
      <c r="I671" s="1475"/>
      <c r="J671" s="1475"/>
      <c r="K671" s="1475"/>
      <c r="L671" s="1475"/>
      <c r="O671" s="33" t="s">
        <v>207</v>
      </c>
      <c r="P671" s="1438"/>
      <c r="Q671" s="1438"/>
      <c r="R671" s="1438"/>
      <c r="T671" s="22"/>
      <c r="U671" t="s">
        <v>317</v>
      </c>
      <c r="Z671" s="1475"/>
      <c r="AA671" s="1475"/>
      <c r="AB671" s="1475"/>
      <c r="AC671" s="1475"/>
      <c r="AD671" s="1475"/>
      <c r="AE671" s="1475"/>
      <c r="AH671" s="33" t="s">
        <v>207</v>
      </c>
      <c r="AI671" s="1438"/>
      <c r="AJ671" s="1438"/>
      <c r="AK671" s="1438"/>
      <c r="AZ671" s="3"/>
      <c r="BA671" s="118" t="str">
        <f t="shared" si="50"/>
        <v>N/A</v>
      </c>
      <c r="BB671" s="3"/>
      <c r="BC671" s="3"/>
      <c r="BD671" s="3"/>
      <c r="BE671" s="3"/>
      <c r="BF671" s="218"/>
      <c r="BG671" s="316">
        <f t="shared" si="51"/>
        <v>1</v>
      </c>
      <c r="BH671" s="319">
        <f t="shared" si="52"/>
        <v>2.1739130434782608E-2</v>
      </c>
      <c r="BI671" s="320">
        <f t="shared" si="53"/>
        <v>6.5217391304347823E-3</v>
      </c>
      <c r="BJ671" s="3"/>
      <c r="BK671" s="3"/>
      <c r="BL671" s="3"/>
      <c r="BM671" s="3"/>
      <c r="BN671" s="3"/>
      <c r="BO671" s="3"/>
      <c r="BT671" s="316">
        <f t="shared" si="54"/>
        <v>1</v>
      </c>
      <c r="BU671" s="319">
        <f t="shared" si="55"/>
        <v>2.1739130434782608E-2</v>
      </c>
      <c r="BV671" s="320">
        <f t="shared" si="56"/>
        <v>2.7322811197141154E-3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60" t="s">
        <v>2768</v>
      </c>
      <c r="I672" s="1460"/>
      <c r="J672" s="1460"/>
      <c r="K672" s="1460"/>
      <c r="L672" s="1460"/>
      <c r="M672" s="1460"/>
      <c r="N672" s="1460"/>
      <c r="O672" s="1460"/>
      <c r="P672" s="1460"/>
      <c r="Q672" s="1460"/>
      <c r="R672" s="1460"/>
      <c r="T672" s="22"/>
      <c r="U672" t="s">
        <v>18</v>
      </c>
      <c r="AA672" s="1460"/>
      <c r="AB672" s="1460"/>
      <c r="AC672" s="1460"/>
      <c r="AD672" s="1460"/>
      <c r="AE672" s="1460"/>
      <c r="AF672" s="1460"/>
      <c r="AG672" s="1460"/>
      <c r="AH672" s="1460"/>
      <c r="AI672" s="1460"/>
      <c r="AJ672" s="1460"/>
      <c r="AK672" s="1460"/>
      <c r="AZ672" s="3"/>
      <c r="BA672" s="118" t="str">
        <f t="shared" si="50"/>
        <v>N/A</v>
      </c>
      <c r="BB672" s="3"/>
      <c r="BC672" s="3"/>
      <c r="BD672" s="3"/>
      <c r="BE672" s="3"/>
      <c r="BF672" s="218"/>
      <c r="BG672" s="316">
        <f t="shared" si="51"/>
        <v>0</v>
      </c>
      <c r="BH672" s="319">
        <f t="shared" si="52"/>
        <v>0</v>
      </c>
      <c r="BI672" s="320" t="str">
        <f t="shared" si="53"/>
        <v/>
      </c>
      <c r="BJ672" s="3"/>
      <c r="BK672" s="3"/>
      <c r="BL672" s="3"/>
      <c r="BM672" s="3"/>
      <c r="BN672" s="3"/>
      <c r="BO672" s="3"/>
      <c r="BT672" s="316">
        <f t="shared" si="54"/>
        <v>0</v>
      </c>
      <c r="BU672" s="319">
        <f t="shared" si="55"/>
        <v>0</v>
      </c>
      <c r="BV672" s="320" t="str">
        <f t="shared" si="56"/>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37" t="s">
        <v>553</v>
      </c>
      <c r="O673" s="1437"/>
      <c r="T673" s="22"/>
      <c r="U673" t="s">
        <v>20</v>
      </c>
      <c r="AG673" s="1437" t="s">
        <v>677</v>
      </c>
      <c r="AH673" s="1437"/>
      <c r="AZ673" s="3"/>
      <c r="BA673" s="118" t="str">
        <f t="shared" si="50"/>
        <v>N/A</v>
      </c>
      <c r="BB673" s="3"/>
      <c r="BC673" s="3"/>
      <c r="BD673" s="3"/>
      <c r="BE673" s="3"/>
      <c r="BF673" s="218"/>
      <c r="BG673" s="316">
        <f t="shared" si="51"/>
        <v>0</v>
      </c>
      <c r="BH673" s="319">
        <f t="shared" si="52"/>
        <v>0</v>
      </c>
      <c r="BI673" s="320" t="str">
        <f t="shared" si="53"/>
        <v/>
      </c>
      <c r="BJ673" s="3"/>
      <c r="BK673" s="3"/>
      <c r="BL673" s="3"/>
      <c r="BM673" s="3"/>
      <c r="BN673" s="3"/>
      <c r="BO673" s="3"/>
      <c r="BT673" s="316">
        <f t="shared" si="54"/>
        <v>0</v>
      </c>
      <c r="BU673" s="319">
        <f t="shared" si="55"/>
        <v>0</v>
      </c>
      <c r="BV673" s="320" t="str">
        <f t="shared" si="56"/>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50"/>
        <v>N/A</v>
      </c>
      <c r="BB674" s="3"/>
      <c r="BC674" s="3"/>
      <c r="BD674" s="3"/>
      <c r="BE674" s="3"/>
      <c r="BF674" s="218"/>
      <c r="BG674" s="316">
        <f t="shared" si="51"/>
        <v>0</v>
      </c>
      <c r="BH674" s="319">
        <f t="shared" si="52"/>
        <v>0</v>
      </c>
      <c r="BI674" s="320" t="str">
        <f t="shared" si="53"/>
        <v/>
      </c>
      <c r="BJ674" s="3"/>
      <c r="BK674" s="3"/>
      <c r="BL674" s="3"/>
      <c r="BM674" s="3"/>
      <c r="BN674" s="3"/>
      <c r="BO674" s="3"/>
      <c r="BT674" s="316">
        <f t="shared" si="54"/>
        <v>0</v>
      </c>
      <c r="BU674" s="319">
        <f t="shared" si="55"/>
        <v>0</v>
      </c>
      <c r="BV674" s="320" t="str">
        <f t="shared" si="56"/>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516">
        <f>C635</f>
        <v>0</v>
      </c>
      <c r="H675" s="1516"/>
      <c r="I675" s="1516"/>
      <c r="J675" s="1516"/>
      <c r="K675" s="1516"/>
      <c r="L675" s="1516"/>
      <c r="M675" s="1516"/>
      <c r="N675" s="1516"/>
      <c r="O675" s="1516"/>
      <c r="P675" s="1516"/>
      <c r="Q675" s="1516"/>
      <c r="R675" s="1516"/>
      <c r="T675" s="55" t="s">
        <v>654</v>
      </c>
      <c r="U675" t="s">
        <v>471</v>
      </c>
      <c r="Z675" s="1516">
        <f>C636</f>
        <v>0</v>
      </c>
      <c r="AA675" s="1516"/>
      <c r="AB675" s="1516"/>
      <c r="AC675" s="1516"/>
      <c r="AD675" s="1516"/>
      <c r="AE675" s="1516"/>
      <c r="AF675" s="1516"/>
      <c r="AG675" s="1516"/>
      <c r="AH675" s="1516"/>
      <c r="AI675" s="1516"/>
      <c r="AJ675" s="1516"/>
      <c r="AK675" s="1516"/>
      <c r="AZ675" s="3"/>
      <c r="BA675" s="118" t="str">
        <f t="shared" si="50"/>
        <v>N/A</v>
      </c>
      <c r="BB675" s="3"/>
      <c r="BC675" s="3"/>
      <c r="BD675" s="3"/>
      <c r="BE675" s="3"/>
      <c r="BF675" s="218"/>
      <c r="BG675" s="316">
        <f t="shared" si="51"/>
        <v>0</v>
      </c>
      <c r="BH675" s="319">
        <f t="shared" si="52"/>
        <v>0</v>
      </c>
      <c r="BI675" s="320" t="str">
        <f t="shared" si="53"/>
        <v/>
      </c>
      <c r="BJ675" s="3"/>
      <c r="BK675" s="3"/>
      <c r="BL675" s="3"/>
      <c r="BM675" s="3"/>
      <c r="BN675" s="3"/>
      <c r="BO675" s="3"/>
      <c r="BT675" s="316">
        <f t="shared" si="54"/>
        <v>0</v>
      </c>
      <c r="BU675" s="319">
        <f t="shared" si="55"/>
        <v>0</v>
      </c>
      <c r="BV675" s="320" t="str">
        <f t="shared" si="56"/>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60"/>
      <c r="H676" s="1460"/>
      <c r="I676" s="1460"/>
      <c r="J676" s="1460"/>
      <c r="K676" s="1460"/>
      <c r="L676" s="1460"/>
      <c r="M676" s="1460"/>
      <c r="N676" s="1460"/>
      <c r="O676" s="1460"/>
      <c r="P676" s="1460"/>
      <c r="Q676" s="1460"/>
      <c r="R676" s="1460"/>
      <c r="T676" s="22"/>
      <c r="U676" t="s">
        <v>85</v>
      </c>
      <c r="Z676" s="1460"/>
      <c r="AA676" s="1460"/>
      <c r="AB676" s="1460"/>
      <c r="AC676" s="1460"/>
      <c r="AD676" s="1460"/>
      <c r="AE676" s="1460"/>
      <c r="AF676" s="1460"/>
      <c r="AG676" s="1460"/>
      <c r="AH676" s="1460"/>
      <c r="AI676" s="1460"/>
      <c r="AJ676" s="1460"/>
      <c r="AK676" s="1460"/>
      <c r="AZ676" s="3"/>
      <c r="BA676" s="118" t="str">
        <f t="shared" si="50"/>
        <v>N/A</v>
      </c>
      <c r="BB676" s="3"/>
      <c r="BC676" s="3"/>
      <c r="BD676" s="3"/>
      <c r="BE676" s="3"/>
      <c r="BF676" s="218"/>
      <c r="BG676" s="316">
        <f t="shared" si="51"/>
        <v>0</v>
      </c>
      <c r="BH676" s="319">
        <f t="shared" si="52"/>
        <v>0</v>
      </c>
      <c r="BI676" s="320" t="str">
        <f t="shared" si="53"/>
        <v/>
      </c>
      <c r="BJ676" s="3"/>
      <c r="BK676" s="3"/>
      <c r="BL676" s="3"/>
      <c r="BM676" s="3"/>
      <c r="BN676" s="3"/>
      <c r="BO676" s="3"/>
      <c r="BT676" s="316">
        <f t="shared" si="54"/>
        <v>0</v>
      </c>
      <c r="BU676" s="319">
        <f t="shared" si="55"/>
        <v>0</v>
      </c>
      <c r="BV676" s="320" t="str">
        <f t="shared" si="56"/>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60"/>
      <c r="H677" s="1460"/>
      <c r="I677" s="1460"/>
      <c r="J677" s="1460"/>
      <c r="K677" s="1460"/>
      <c r="L677" s="1460"/>
      <c r="M677" s="1460"/>
      <c r="N677" s="1460"/>
      <c r="O677" s="1460"/>
      <c r="P677" s="1460"/>
      <c r="Q677" s="1460"/>
      <c r="R677" s="1460"/>
      <c r="T677" s="22"/>
      <c r="U677" t="s">
        <v>588</v>
      </c>
      <c r="Z677" s="1443"/>
      <c r="AA677" s="1443"/>
      <c r="AB677" s="1443"/>
      <c r="AC677" s="1443"/>
      <c r="AD677" s="1443"/>
      <c r="AE677" s="1443"/>
      <c r="AF677" s="1443"/>
      <c r="AG677" s="1443"/>
      <c r="AH677" s="1443"/>
      <c r="AI677" s="1443"/>
      <c r="AJ677" s="1443"/>
      <c r="AK677" s="1443"/>
      <c r="AZ677" s="3"/>
      <c r="BA677" s="118" t="str">
        <f t="shared" si="50"/>
        <v>N/A</v>
      </c>
      <c r="BB677" s="3"/>
      <c r="BC677" s="3"/>
      <c r="BD677" s="3"/>
      <c r="BE677" s="3"/>
      <c r="BF677" s="218"/>
      <c r="BG677" s="316">
        <f t="shared" si="51"/>
        <v>0</v>
      </c>
      <c r="BH677" s="319">
        <f t="shared" si="52"/>
        <v>0</v>
      </c>
      <c r="BI677" s="320" t="str">
        <f t="shared" si="53"/>
        <v/>
      </c>
      <c r="BJ677" s="3"/>
      <c r="BK677" s="3"/>
      <c r="BL677" s="3"/>
      <c r="BM677" s="3"/>
      <c r="BN677" s="3"/>
      <c r="BO677" s="3"/>
      <c r="BT677" s="316">
        <f t="shared" si="54"/>
        <v>0</v>
      </c>
      <c r="BU677" s="319">
        <f t="shared" si="55"/>
        <v>0</v>
      </c>
      <c r="BV677" s="320" t="str">
        <f t="shared" si="56"/>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60"/>
      <c r="H678" s="1460"/>
      <c r="I678" s="1460"/>
      <c r="J678" s="1460"/>
      <c r="K678" s="1460"/>
      <c r="L678" s="1460"/>
      <c r="M678" s="1460"/>
      <c r="N678" s="1460"/>
      <c r="O678" s="1460"/>
      <c r="P678" s="1460"/>
      <c r="Q678" s="1460"/>
      <c r="R678" s="1460"/>
      <c r="T678" s="22"/>
      <c r="U678" t="s">
        <v>17</v>
      </c>
      <c r="Z678" s="1443"/>
      <c r="AA678" s="1443"/>
      <c r="AB678" s="1443"/>
      <c r="AC678" s="1443"/>
      <c r="AD678" s="1443"/>
      <c r="AE678" s="1443"/>
      <c r="AF678" s="1443"/>
      <c r="AG678" s="1443"/>
      <c r="AH678" s="1443"/>
      <c r="AI678" s="1443"/>
      <c r="AJ678" s="1443"/>
      <c r="AK678" s="1443"/>
      <c r="AZ678" s="3"/>
      <c r="BA678" s="118" t="str">
        <f t="shared" si="50"/>
        <v>N/A</v>
      </c>
      <c r="BB678" s="3"/>
      <c r="BC678" s="3"/>
      <c r="BD678" s="3"/>
      <c r="BE678" s="3"/>
      <c r="BF678" s="218"/>
      <c r="BG678" s="316">
        <f t="shared" si="51"/>
        <v>0</v>
      </c>
      <c r="BH678" s="319">
        <f t="shared" si="52"/>
        <v>0</v>
      </c>
      <c r="BI678" s="320" t="str">
        <f t="shared" si="53"/>
        <v/>
      </c>
      <c r="BJ678" s="3"/>
      <c r="BK678" s="3"/>
      <c r="BL678" s="3"/>
      <c r="BM678" s="3"/>
      <c r="BN678" s="3"/>
      <c r="BO678" s="3"/>
      <c r="BT678" s="316">
        <f t="shared" si="54"/>
        <v>0</v>
      </c>
      <c r="BU678" s="319">
        <f t="shared" si="55"/>
        <v>0</v>
      </c>
      <c r="BV678" s="320" t="str">
        <f t="shared" si="56"/>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75"/>
      <c r="H679" s="1475"/>
      <c r="I679" s="1475"/>
      <c r="J679" s="1475"/>
      <c r="K679" s="1475"/>
      <c r="L679" s="1475"/>
      <c r="O679" s="33" t="s">
        <v>207</v>
      </c>
      <c r="P679" s="1438"/>
      <c r="Q679" s="1438"/>
      <c r="R679" s="1438"/>
      <c r="T679" s="22"/>
      <c r="U679" t="s">
        <v>317</v>
      </c>
      <c r="Z679" s="1475"/>
      <c r="AA679" s="1475"/>
      <c r="AB679" s="1475"/>
      <c r="AC679" s="1475"/>
      <c r="AD679" s="1475"/>
      <c r="AE679" s="1475"/>
      <c r="AH679" s="33" t="s">
        <v>207</v>
      </c>
      <c r="AI679" s="1438"/>
      <c r="AJ679" s="1438"/>
      <c r="AK679" s="1438"/>
      <c r="AZ679" s="3"/>
      <c r="BA679" s="118" t="str">
        <f t="shared" si="50"/>
        <v>N/A</v>
      </c>
      <c r="BB679" s="3"/>
      <c r="BC679" s="3"/>
      <c r="BD679" s="3"/>
      <c r="BE679" s="3"/>
      <c r="BF679" s="218"/>
      <c r="BG679" s="316">
        <f t="shared" si="51"/>
        <v>0</v>
      </c>
      <c r="BH679" s="319">
        <f t="shared" si="52"/>
        <v>0</v>
      </c>
      <c r="BI679" s="320" t="str">
        <f t="shared" si="53"/>
        <v/>
      </c>
      <c r="BJ679" s="3"/>
      <c r="BK679" s="3"/>
      <c r="BL679" s="3"/>
      <c r="BM679" s="3"/>
      <c r="BN679" s="3"/>
      <c r="BO679" s="3"/>
      <c r="BT679" s="316">
        <f t="shared" si="54"/>
        <v>0</v>
      </c>
      <c r="BU679" s="319">
        <f t="shared" si="55"/>
        <v>0</v>
      </c>
      <c r="BV679" s="320" t="str">
        <f t="shared" si="56"/>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60"/>
      <c r="I680" s="1460"/>
      <c r="J680" s="1460"/>
      <c r="K680" s="1460"/>
      <c r="L680" s="1460"/>
      <c r="M680" s="1460"/>
      <c r="N680" s="1460"/>
      <c r="O680" s="1460"/>
      <c r="P680" s="1460"/>
      <c r="Q680" s="1460"/>
      <c r="R680" s="1460"/>
      <c r="T680" s="22"/>
      <c r="U680" t="s">
        <v>18</v>
      </c>
      <c r="AA680" s="1460"/>
      <c r="AB680" s="1460"/>
      <c r="AC680" s="1460"/>
      <c r="AD680" s="1460"/>
      <c r="AE680" s="1460"/>
      <c r="AF680" s="1460"/>
      <c r="AG680" s="1460"/>
      <c r="AH680" s="1460"/>
      <c r="AI680" s="1460"/>
      <c r="AJ680" s="1460"/>
      <c r="AK680" s="1460"/>
      <c r="AZ680" s="3"/>
      <c r="BA680" s="118" t="str">
        <f t="shared" si="50"/>
        <v>N/A</v>
      </c>
      <c r="BB680" s="3"/>
      <c r="BC680" s="3"/>
      <c r="BD680" s="3"/>
      <c r="BE680" s="3"/>
      <c r="BF680" s="218"/>
      <c r="BG680" s="316">
        <f t="shared" si="51"/>
        <v>0</v>
      </c>
      <c r="BH680" s="319">
        <f t="shared" si="52"/>
        <v>0</v>
      </c>
      <c r="BI680" s="320" t="str">
        <f t="shared" si="53"/>
        <v/>
      </c>
      <c r="BJ680" s="3"/>
      <c r="BK680" s="3"/>
      <c r="BL680" s="3"/>
      <c r="BM680" s="3"/>
      <c r="BN680" s="3"/>
      <c r="BO680" s="3"/>
      <c r="BT680" s="316">
        <f t="shared" si="54"/>
        <v>0</v>
      </c>
      <c r="BU680" s="319">
        <f t="shared" si="55"/>
        <v>0</v>
      </c>
      <c r="BV680" s="320" t="str">
        <f t="shared" si="56"/>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37" t="s">
        <v>677</v>
      </c>
      <c r="O681" s="1437"/>
      <c r="T681" s="22"/>
      <c r="U681" t="s">
        <v>20</v>
      </c>
      <c r="AG681" s="1437" t="s">
        <v>677</v>
      </c>
      <c r="AH681" s="1437"/>
      <c r="AZ681" s="3"/>
      <c r="BA681" s="118" t="str">
        <f t="shared" si="50"/>
        <v>N/A</v>
      </c>
      <c r="BB681" s="3"/>
      <c r="BC681" s="3"/>
      <c r="BD681" s="3"/>
      <c r="BE681" s="3"/>
      <c r="BF681" s="218"/>
      <c r="BG681" s="316">
        <f t="shared" si="51"/>
        <v>0</v>
      </c>
      <c r="BH681" s="319">
        <f t="shared" si="52"/>
        <v>0</v>
      </c>
      <c r="BI681" s="320" t="str">
        <f t="shared" si="53"/>
        <v/>
      </c>
      <c r="BJ681" s="3"/>
      <c r="BK681" s="3"/>
      <c r="BL681" s="3"/>
      <c r="BM681" s="3"/>
      <c r="BN681" s="3"/>
      <c r="BO681" s="3"/>
      <c r="BT681" s="316">
        <f t="shared" si="54"/>
        <v>0</v>
      </c>
      <c r="BU681" s="319">
        <f t="shared" si="55"/>
        <v>0</v>
      </c>
      <c r="BV681" s="320" t="str">
        <f t="shared" si="56"/>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50"/>
        <v>N/A</v>
      </c>
      <c r="BB682" s="3"/>
      <c r="BC682" s="3"/>
      <c r="BD682" s="3"/>
      <c r="BE682" s="3"/>
      <c r="BF682" s="218"/>
      <c r="BG682" s="316">
        <f t="shared" si="51"/>
        <v>0</v>
      </c>
      <c r="BH682" s="319">
        <f t="shared" si="52"/>
        <v>0</v>
      </c>
      <c r="BI682" s="320" t="str">
        <f t="shared" si="53"/>
        <v/>
      </c>
      <c r="BJ682" s="3"/>
      <c r="BK682" s="3"/>
      <c r="BL682" s="3"/>
      <c r="BM682" s="3"/>
      <c r="BN682" s="3"/>
      <c r="BO682" s="3"/>
      <c r="BT682" s="316">
        <f t="shared" si="54"/>
        <v>0</v>
      </c>
      <c r="BU682" s="319">
        <f t="shared" si="55"/>
        <v>0</v>
      </c>
      <c r="BV682" s="320" t="str">
        <f t="shared" si="56"/>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516">
        <f>C637</f>
        <v>0</v>
      </c>
      <c r="H683" s="1516"/>
      <c r="I683" s="1516"/>
      <c r="J683" s="1516"/>
      <c r="K683" s="1516"/>
      <c r="L683" s="1516"/>
      <c r="M683" s="1516"/>
      <c r="N683" s="1516"/>
      <c r="O683" s="1516"/>
      <c r="P683" s="1516"/>
      <c r="Q683" s="1516"/>
      <c r="R683" s="1516"/>
      <c r="T683" s="55" t="s">
        <v>363</v>
      </c>
      <c r="U683" t="s">
        <v>471</v>
      </c>
      <c r="Z683" s="1516">
        <f>C638</f>
        <v>0</v>
      </c>
      <c r="AA683" s="1516"/>
      <c r="AB683" s="1516"/>
      <c r="AC683" s="1516"/>
      <c r="AD683" s="1516"/>
      <c r="AE683" s="1516"/>
      <c r="AF683" s="1516"/>
      <c r="AG683" s="1516"/>
      <c r="AH683" s="1516"/>
      <c r="AI683" s="1516"/>
      <c r="AJ683" s="1516"/>
      <c r="AK683" s="1516"/>
      <c r="AZ683" s="3"/>
      <c r="BA683" s="118" t="str">
        <f t="shared" si="50"/>
        <v>N/A</v>
      </c>
      <c r="BB683" s="3"/>
      <c r="BC683" s="3"/>
      <c r="BD683" s="3"/>
      <c r="BE683" s="3"/>
      <c r="BF683" s="218"/>
      <c r="BG683" s="316">
        <f t="shared" si="51"/>
        <v>0</v>
      </c>
      <c r="BH683" s="319">
        <f t="shared" si="52"/>
        <v>0</v>
      </c>
      <c r="BI683" s="320" t="str">
        <f t="shared" si="53"/>
        <v/>
      </c>
      <c r="BJ683" s="3"/>
      <c r="BK683" s="3"/>
      <c r="BL683" s="3"/>
      <c r="BM683" s="3"/>
      <c r="BN683" s="3"/>
      <c r="BO683" s="3"/>
      <c r="BT683" s="316">
        <f t="shared" si="54"/>
        <v>0</v>
      </c>
      <c r="BU683" s="319">
        <f t="shared" si="55"/>
        <v>0</v>
      </c>
      <c r="BV683" s="320" t="str">
        <f t="shared" si="56"/>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60"/>
      <c r="H684" s="1460"/>
      <c r="I684" s="1460"/>
      <c r="J684" s="1460"/>
      <c r="K684" s="1460"/>
      <c r="L684" s="1460"/>
      <c r="M684" s="1460"/>
      <c r="N684" s="1460"/>
      <c r="O684" s="1460"/>
      <c r="P684" s="1460"/>
      <c r="Q684" s="1460"/>
      <c r="R684" s="1460"/>
      <c r="T684" s="22"/>
      <c r="U684" t="s">
        <v>85</v>
      </c>
      <c r="Z684" s="1460"/>
      <c r="AA684" s="1460"/>
      <c r="AB684" s="1460"/>
      <c r="AC684" s="1460"/>
      <c r="AD684" s="1460"/>
      <c r="AE684" s="1460"/>
      <c r="AF684" s="1460"/>
      <c r="AG684" s="1460"/>
      <c r="AH684" s="1460"/>
      <c r="AI684" s="1460"/>
      <c r="AJ684" s="1460"/>
      <c r="AK684" s="1460"/>
      <c r="AZ684" s="3"/>
      <c r="BA684" s="118" t="str">
        <f t="shared" si="50"/>
        <v>N/A</v>
      </c>
      <c r="BB684" s="3"/>
      <c r="BC684" s="3"/>
      <c r="BD684" s="3"/>
      <c r="BE684" s="3"/>
      <c r="BF684" s="218"/>
      <c r="BG684" s="316">
        <f t="shared" si="51"/>
        <v>0</v>
      </c>
      <c r="BH684" s="319">
        <f t="shared" si="52"/>
        <v>0</v>
      </c>
      <c r="BI684" s="320" t="str">
        <f t="shared" si="53"/>
        <v/>
      </c>
      <c r="BJ684" s="3"/>
      <c r="BK684" s="3"/>
      <c r="BL684" s="3"/>
      <c r="BM684" s="3"/>
      <c r="BN684" s="3"/>
      <c r="BO684" s="3"/>
      <c r="BT684" s="316">
        <f t="shared" si="54"/>
        <v>0</v>
      </c>
      <c r="BU684" s="319">
        <f t="shared" si="55"/>
        <v>0</v>
      </c>
      <c r="BV684" s="320" t="str">
        <f t="shared" si="56"/>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60"/>
      <c r="H685" s="1460"/>
      <c r="I685" s="1460"/>
      <c r="J685" s="1460"/>
      <c r="K685" s="1460"/>
      <c r="L685" s="1460"/>
      <c r="M685" s="1460"/>
      <c r="N685" s="1460"/>
      <c r="O685" s="1460"/>
      <c r="P685" s="1460"/>
      <c r="Q685" s="1460"/>
      <c r="R685" s="1460"/>
      <c r="U685" t="s">
        <v>588</v>
      </c>
      <c r="Z685" s="1443"/>
      <c r="AA685" s="1443"/>
      <c r="AB685" s="1443"/>
      <c r="AC685" s="1443"/>
      <c r="AD685" s="1443"/>
      <c r="AE685" s="1443"/>
      <c r="AF685" s="1443"/>
      <c r="AG685" s="1443"/>
      <c r="AH685" s="1443"/>
      <c r="AI685" s="1443"/>
      <c r="AJ685" s="1443"/>
      <c r="AK685" s="1443"/>
      <c r="AZ685" s="3"/>
      <c r="BA685" s="118" t="str">
        <f t="shared" si="50"/>
        <v>N/A</v>
      </c>
      <c r="BB685" s="3"/>
      <c r="BC685" s="3"/>
      <c r="BD685" s="3"/>
      <c r="BE685" s="3"/>
      <c r="BF685" s="218"/>
      <c r="BG685" s="316">
        <f t="shared" si="51"/>
        <v>0</v>
      </c>
      <c r="BH685" s="319">
        <f t="shared" si="52"/>
        <v>0</v>
      </c>
      <c r="BI685" s="320" t="str">
        <f t="shared" si="53"/>
        <v/>
      </c>
      <c r="BJ685" s="3"/>
      <c r="BK685" s="3"/>
      <c r="BL685" s="3"/>
      <c r="BM685" s="3"/>
      <c r="BN685" s="3"/>
      <c r="BO685" s="3"/>
      <c r="BT685" s="316">
        <f t="shared" si="54"/>
        <v>0</v>
      </c>
      <c r="BU685" s="319">
        <f t="shared" si="55"/>
        <v>0</v>
      </c>
      <c r="BV685" s="320" t="str">
        <f t="shared" si="56"/>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60"/>
      <c r="H686" s="1460"/>
      <c r="I686" s="1460"/>
      <c r="J686" s="1460"/>
      <c r="K686" s="1460"/>
      <c r="L686" s="1460"/>
      <c r="M686" s="1460"/>
      <c r="N686" s="1460"/>
      <c r="O686" s="1460"/>
      <c r="P686" s="1460"/>
      <c r="Q686" s="1460"/>
      <c r="R686" s="1460"/>
      <c r="U686" t="s">
        <v>17</v>
      </c>
      <c r="Z686" s="1443"/>
      <c r="AA686" s="1443"/>
      <c r="AB686" s="1443"/>
      <c r="AC686" s="1443"/>
      <c r="AD686" s="1443"/>
      <c r="AE686" s="1443"/>
      <c r="AF686" s="1443"/>
      <c r="AG686" s="1443"/>
      <c r="AH686" s="1443"/>
      <c r="AI686" s="1443"/>
      <c r="AJ686" s="1443"/>
      <c r="AK686" s="1443"/>
      <c r="AZ686" s="3"/>
      <c r="BA686" s="118" t="str">
        <f t="shared" si="50"/>
        <v>N/A</v>
      </c>
      <c r="BB686" s="3"/>
      <c r="BC686" s="3"/>
      <c r="BD686" s="3"/>
      <c r="BE686" s="3"/>
      <c r="BF686" s="218"/>
      <c r="BG686" s="316">
        <f t="shared" si="51"/>
        <v>0</v>
      </c>
      <c r="BH686" s="319">
        <f t="shared" si="52"/>
        <v>0</v>
      </c>
      <c r="BI686" s="320" t="str">
        <f t="shared" si="53"/>
        <v/>
      </c>
      <c r="BJ686" s="3"/>
      <c r="BK686" s="3"/>
      <c r="BL686" s="3"/>
      <c r="BM686" s="3"/>
      <c r="BN686" s="3"/>
      <c r="BO686" s="3"/>
      <c r="BT686" s="316">
        <f t="shared" si="54"/>
        <v>0</v>
      </c>
      <c r="BU686" s="319">
        <f t="shared" si="55"/>
        <v>0</v>
      </c>
      <c r="BV686" s="320" t="str">
        <f t="shared" si="56"/>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75"/>
      <c r="H687" s="1475"/>
      <c r="I687" s="1475"/>
      <c r="J687" s="1475"/>
      <c r="K687" s="1475"/>
      <c r="L687" s="1475"/>
      <c r="O687" s="33" t="s">
        <v>207</v>
      </c>
      <c r="P687" s="1438"/>
      <c r="Q687" s="1438"/>
      <c r="R687" s="1438"/>
      <c r="U687" t="s">
        <v>317</v>
      </c>
      <c r="Z687" s="1475"/>
      <c r="AA687" s="1475"/>
      <c r="AB687" s="1475"/>
      <c r="AC687" s="1475"/>
      <c r="AD687" s="1475"/>
      <c r="AE687" s="1475"/>
      <c r="AH687" s="33" t="s">
        <v>207</v>
      </c>
      <c r="AI687" s="1438"/>
      <c r="AJ687" s="1438"/>
      <c r="AK687" s="1438"/>
      <c r="AZ687" s="3"/>
      <c r="BA687" s="118" t="str">
        <f t="shared" si="50"/>
        <v>N/A</v>
      </c>
      <c r="BB687" s="3"/>
      <c r="BC687" s="3"/>
      <c r="BD687" s="3"/>
      <c r="BE687" s="3"/>
      <c r="BF687" s="218"/>
      <c r="BG687" s="316">
        <f t="shared" si="51"/>
        <v>0</v>
      </c>
      <c r="BH687" s="319">
        <f t="shared" si="52"/>
        <v>0</v>
      </c>
      <c r="BI687" s="320" t="str">
        <f t="shared" si="53"/>
        <v/>
      </c>
      <c r="BJ687" s="3"/>
      <c r="BK687" s="3"/>
      <c r="BL687" s="3"/>
      <c r="BM687" s="3"/>
      <c r="BN687" s="3"/>
      <c r="BO687" s="3"/>
      <c r="BT687" s="316">
        <f t="shared" si="54"/>
        <v>0</v>
      </c>
      <c r="BU687" s="319">
        <f t="shared" si="55"/>
        <v>0</v>
      </c>
      <c r="BV687" s="320" t="str">
        <f t="shared" si="56"/>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60"/>
      <c r="I688" s="1460"/>
      <c r="J688" s="1460"/>
      <c r="K688" s="1460"/>
      <c r="L688" s="1460"/>
      <c r="M688" s="1460"/>
      <c r="N688" s="1460"/>
      <c r="O688" s="1460"/>
      <c r="P688" s="1460"/>
      <c r="Q688" s="1460"/>
      <c r="R688" s="1460"/>
      <c r="U688" t="s">
        <v>18</v>
      </c>
      <c r="AA688" s="1460"/>
      <c r="AB688" s="1460"/>
      <c r="AC688" s="1460"/>
      <c r="AD688" s="1460"/>
      <c r="AE688" s="1460"/>
      <c r="AF688" s="1460"/>
      <c r="AG688" s="1460"/>
      <c r="AH688" s="1460"/>
      <c r="AI688" s="1460"/>
      <c r="AJ688" s="1460"/>
      <c r="AK688" s="1460"/>
      <c r="AZ688" s="3"/>
      <c r="BA688" s="118" t="str">
        <f t="shared" si="50"/>
        <v>N/A</v>
      </c>
      <c r="BB688" s="3"/>
      <c r="BF688" s="218"/>
      <c r="BG688" s="316">
        <f t="shared" si="51"/>
        <v>0</v>
      </c>
      <c r="BH688" s="319">
        <f t="shared" si="52"/>
        <v>0</v>
      </c>
      <c r="BI688" s="320" t="str">
        <f t="shared" si="53"/>
        <v/>
      </c>
      <c r="BL688" s="3"/>
      <c r="BM688" s="3"/>
      <c r="BN688" s="3"/>
      <c r="BO688" s="3"/>
      <c r="BT688" s="316">
        <f t="shared" si="54"/>
        <v>0</v>
      </c>
      <c r="BU688" s="319">
        <f t="shared" si="55"/>
        <v>0</v>
      </c>
      <c r="BV688" s="320" t="str">
        <f t="shared" si="56"/>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37" t="s">
        <v>677</v>
      </c>
      <c r="O689" s="1437"/>
      <c r="U689" t="s">
        <v>20</v>
      </c>
      <c r="AG689" s="1437" t="s">
        <v>677</v>
      </c>
      <c r="AH689" s="1437"/>
      <c r="AZ689" s="3"/>
      <c r="BA689" s="118" t="str">
        <f t="shared" si="50"/>
        <v>N/A</v>
      </c>
      <c r="BB689" s="3"/>
      <c r="BF689" s="218"/>
      <c r="BG689" s="316">
        <f t="shared" si="51"/>
        <v>0</v>
      </c>
      <c r="BH689" s="319">
        <f t="shared" si="52"/>
        <v>0</v>
      </c>
      <c r="BI689" s="320" t="str">
        <f t="shared" si="53"/>
        <v/>
      </c>
      <c r="BL689" s="3"/>
      <c r="BM689" s="3"/>
      <c r="BN689" s="3"/>
      <c r="BO689" s="3"/>
      <c r="BT689" s="316">
        <f t="shared" si="54"/>
        <v>0</v>
      </c>
      <c r="BU689" s="319">
        <f t="shared" si="55"/>
        <v>0</v>
      </c>
      <c r="BV689" s="320" t="str">
        <f t="shared" si="56"/>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50"/>
        <v>N/A</v>
      </c>
      <c r="BB690" s="3"/>
      <c r="BF690" s="218"/>
      <c r="BG690" s="316">
        <f t="shared" si="51"/>
        <v>0</v>
      </c>
      <c r="BH690" s="319">
        <f t="shared" si="52"/>
        <v>0</v>
      </c>
      <c r="BI690" s="320" t="str">
        <f t="shared" si="53"/>
        <v/>
      </c>
      <c r="BL690" s="3"/>
      <c r="BM690" s="3"/>
      <c r="BN690" s="3"/>
      <c r="BO690" s="3"/>
      <c r="BT690" s="316">
        <f t="shared" si="54"/>
        <v>0</v>
      </c>
      <c r="BU690" s="319">
        <f t="shared" si="55"/>
        <v>0</v>
      </c>
      <c r="BV690" s="320" t="str">
        <f t="shared" si="56"/>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328</v>
      </c>
      <c r="E691" s="130"/>
      <c r="F691" s="130"/>
      <c r="G691" s="130"/>
      <c r="H691" s="130"/>
      <c r="AZ691" s="3"/>
      <c r="BA691" s="118" t="str">
        <f t="shared" si="50"/>
        <v>N/A</v>
      </c>
      <c r="BB691" s="3"/>
      <c r="BF691" s="218"/>
      <c r="BG691" s="316">
        <f t="shared" si="51"/>
        <v>0</v>
      </c>
      <c r="BH691" s="319">
        <f t="shared" si="52"/>
        <v>0</v>
      </c>
      <c r="BI691" s="320" t="str">
        <f t="shared" si="53"/>
        <v/>
      </c>
      <c r="BL691" s="3"/>
      <c r="BM691" s="3"/>
      <c r="BN691" s="3"/>
      <c r="BO691" s="3"/>
      <c r="BT691" s="316">
        <f t="shared" si="54"/>
        <v>0</v>
      </c>
      <c r="BU691" s="319">
        <f t="shared" si="55"/>
        <v>0</v>
      </c>
      <c r="BV691" s="320" t="str">
        <f t="shared" si="56"/>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50"/>
        <v>N/A</v>
      </c>
      <c r="BB692" s="3"/>
      <c r="BC692" s="3"/>
      <c r="BF692" s="218"/>
      <c r="BG692" s="316">
        <f t="shared" si="51"/>
        <v>0</v>
      </c>
      <c r="BH692" s="319">
        <f t="shared" si="52"/>
        <v>0</v>
      </c>
      <c r="BI692" s="320" t="str">
        <f t="shared" ref="BI692:BI697" si="57">IF(BH692=0,"",BH692*AC752)</f>
        <v/>
      </c>
      <c r="BM692" s="3"/>
      <c r="BN692" s="3"/>
      <c r="BO692" s="3"/>
      <c r="BT692" s="316">
        <f t="shared" si="54"/>
        <v>0</v>
      </c>
      <c r="BU692" s="319">
        <f t="shared" si="55"/>
        <v>0</v>
      </c>
      <c r="BV692" s="320" t="str">
        <f t="shared" si="56"/>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37" t="s">
        <v>553</v>
      </c>
      <c r="AF693" s="1437"/>
      <c r="AZ693" s="3"/>
      <c r="BA693" s="118" t="str">
        <f t="shared" si="50"/>
        <v>N/A</v>
      </c>
      <c r="BB693" s="3"/>
      <c r="BC693" s="3"/>
      <c r="BD693" s="3"/>
      <c r="BG693" s="316">
        <f t="shared" si="51"/>
        <v>0</v>
      </c>
      <c r="BH693" s="319">
        <f t="shared" si="52"/>
        <v>0</v>
      </c>
      <c r="BI693" s="320" t="str">
        <f t="shared" si="57"/>
        <v/>
      </c>
      <c r="BT693" s="316">
        <f t="shared" si="54"/>
        <v>0</v>
      </c>
      <c r="BU693" s="319">
        <f t="shared" si="55"/>
        <v>0</v>
      </c>
      <c r="BV693" s="320" t="str">
        <f t="shared" si="56"/>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37" t="s">
        <v>677</v>
      </c>
      <c r="AF694" s="1437"/>
      <c r="AZ694" s="3"/>
      <c r="BA694" s="118" t="str">
        <f t="shared" si="50"/>
        <v>N/A</v>
      </c>
      <c r="BB694" s="3"/>
      <c r="BC694" s="3"/>
      <c r="BD694" s="3"/>
      <c r="BE694" s="3"/>
      <c r="BF694" s="3"/>
      <c r="BG694" s="316">
        <f t="shared" si="51"/>
        <v>0</v>
      </c>
      <c r="BH694" s="319">
        <f t="shared" si="52"/>
        <v>0</v>
      </c>
      <c r="BI694" s="320" t="str">
        <f t="shared" si="57"/>
        <v/>
      </c>
      <c r="BJ694" s="3"/>
      <c r="BK694" s="3"/>
      <c r="BL694" s="3"/>
      <c r="BM694" s="3"/>
      <c r="BN694" s="3"/>
      <c r="BO694" s="3"/>
      <c r="BT694" s="316">
        <f t="shared" si="54"/>
        <v>0</v>
      </c>
      <c r="BU694" s="319">
        <f t="shared" si="55"/>
        <v>0</v>
      </c>
      <c r="BV694" s="320" t="str">
        <f t="shared" si="56"/>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539">
        <v>45531</v>
      </c>
      <c r="AF695" s="1539"/>
      <c r="AG695" s="1539"/>
      <c r="AH695" s="1539"/>
      <c r="AI695" s="1539"/>
      <c r="AZ695" s="3"/>
      <c r="BA695" s="118" t="str">
        <f t="shared" si="50"/>
        <v>N/A</v>
      </c>
      <c r="BB695" s="3"/>
      <c r="BC695" s="3"/>
      <c r="BD695" s="3"/>
      <c r="BE695" s="3"/>
      <c r="BF695" s="3"/>
      <c r="BG695" s="316">
        <f t="shared" si="51"/>
        <v>0</v>
      </c>
      <c r="BH695" s="319">
        <f t="shared" si="52"/>
        <v>0</v>
      </c>
      <c r="BI695" s="320" t="str">
        <f t="shared" si="57"/>
        <v/>
      </c>
      <c r="BJ695" s="3"/>
      <c r="BK695" s="3"/>
      <c r="BL695" s="3"/>
      <c r="BM695" s="3"/>
      <c r="BN695" s="3"/>
      <c r="BO695" s="3"/>
      <c r="BT695" s="316">
        <f t="shared" si="54"/>
        <v>0</v>
      </c>
      <c r="BU695" s="319">
        <f t="shared" si="55"/>
        <v>0</v>
      </c>
      <c r="BV695" s="320" t="str">
        <f t="shared" si="56"/>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580">
        <v>45637</v>
      </c>
      <c r="AF696" s="1580"/>
      <c r="AG696" s="1580"/>
      <c r="AH696" s="1580"/>
      <c r="AI696" s="1580"/>
      <c r="AZ696" s="34"/>
      <c r="BA696" s="118" t="str">
        <f t="shared" si="50"/>
        <v>N/A</v>
      </c>
      <c r="BB696" s="34"/>
      <c r="BC696" s="34"/>
      <c r="BD696" s="34"/>
      <c r="BE696" s="34"/>
      <c r="BF696" s="34"/>
      <c r="BG696" s="316">
        <f t="shared" si="51"/>
        <v>0</v>
      </c>
      <c r="BH696" s="319">
        <f t="shared" si="52"/>
        <v>0</v>
      </c>
      <c r="BI696" s="320" t="str">
        <f t="shared" si="57"/>
        <v/>
      </c>
      <c r="BJ696" s="34"/>
      <c r="BK696" s="34"/>
      <c r="BL696" s="34"/>
      <c r="BM696" s="34"/>
      <c r="BN696" s="34"/>
      <c r="BO696" s="34"/>
      <c r="BT696" s="316">
        <f t="shared" si="54"/>
        <v>0</v>
      </c>
      <c r="BU696" s="319">
        <f t="shared" si="55"/>
        <v>0</v>
      </c>
      <c r="BV696" s="320" t="str">
        <f t="shared" si="56"/>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50"/>
        <v>N/A</v>
      </c>
      <c r="BB697" s="34"/>
      <c r="BC697" s="34"/>
      <c r="BD697" s="34"/>
      <c r="BE697" s="34"/>
      <c r="BF697" s="34"/>
      <c r="BG697" s="316">
        <f t="shared" si="51"/>
        <v>0</v>
      </c>
      <c r="BH697" s="319">
        <f t="shared" si="52"/>
        <v>0</v>
      </c>
      <c r="BI697" s="320" t="str">
        <f t="shared" si="57"/>
        <v/>
      </c>
      <c r="BJ697" s="34"/>
      <c r="BK697" s="34"/>
      <c r="BL697" s="34"/>
      <c r="BM697" s="34"/>
      <c r="BN697" s="34"/>
      <c r="BO697" s="34"/>
      <c r="BT697" s="316">
        <f t="shared" si="54"/>
        <v>0</v>
      </c>
      <c r="BU697" s="319">
        <f t="shared" si="55"/>
        <v>0</v>
      </c>
      <c r="BV697" s="320" t="str">
        <f t="shared" si="56"/>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539">
        <v>45777</v>
      </c>
      <c r="AF698" s="1539"/>
      <c r="AG698" s="1539"/>
      <c r="AH698" s="1539"/>
      <c r="AI698" s="1539"/>
      <c r="AZ698" s="34"/>
      <c r="BA698" s="118" t="str">
        <f t="shared" si="50"/>
        <v>N/A</v>
      </c>
      <c r="BB698" s="34"/>
      <c r="BC698" s="34"/>
      <c r="BD698" s="34"/>
      <c r="BE698" s="34"/>
      <c r="BF698" s="34"/>
      <c r="BG698" s="316">
        <f t="shared" si="51"/>
        <v>0</v>
      </c>
      <c r="BH698" s="319">
        <f t="shared" si="52"/>
        <v>0</v>
      </c>
      <c r="BI698" s="320" t="str">
        <f>IF(BH698=0,"",BH698*AC759)</f>
        <v/>
      </c>
      <c r="BJ698" s="3"/>
      <c r="BK698" s="34"/>
      <c r="BL698" s="34"/>
      <c r="BM698" s="34"/>
      <c r="BN698" s="34"/>
      <c r="BO698" s="34"/>
      <c r="BT698" s="316">
        <f t="shared" si="54"/>
        <v>0</v>
      </c>
      <c r="BU698" s="319">
        <f t="shared" si="55"/>
        <v>0</v>
      </c>
      <c r="BV698" s="320" t="str">
        <f t="shared" si="56"/>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585">
        <f>[1]budgets!$I$26</f>
        <v>0.54500000000000004</v>
      </c>
      <c r="AF699" s="1585"/>
      <c r="AG699" s="1585"/>
      <c r="AH699" s="1585"/>
      <c r="AI699" s="1585"/>
      <c r="AZ699" s="34"/>
      <c r="BA699" s="118" t="str">
        <f t="shared" si="50"/>
        <v>N/A</v>
      </c>
      <c r="BB699" s="34"/>
      <c r="BC699" s="34"/>
      <c r="BD699" s="34"/>
      <c r="BE699" s="34"/>
      <c r="BF699" s="34"/>
      <c r="BG699" s="316">
        <f t="shared" si="51"/>
        <v>0</v>
      </c>
      <c r="BH699" s="319">
        <f t="shared" si="52"/>
        <v>0</v>
      </c>
      <c r="BI699" s="320" t="str">
        <f>IF(BH699=0,"",BH699*AC760)</f>
        <v/>
      </c>
      <c r="BJ699" s="3"/>
      <c r="BK699" s="34"/>
      <c r="BL699" s="34"/>
      <c r="BM699" s="34"/>
      <c r="BN699" s="34"/>
      <c r="BO699" s="34"/>
      <c r="BT699" s="316">
        <f t="shared" si="54"/>
        <v>0</v>
      </c>
      <c r="BU699" s="319">
        <f t="shared" si="55"/>
        <v>0</v>
      </c>
      <c r="BV699" s="320" t="str">
        <f t="shared" si="56"/>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516" t="str">
        <f>H335</f>
        <v>California Municipal Finance Authority</v>
      </c>
      <c r="X700" s="1516"/>
      <c r="Y700" s="1516"/>
      <c r="Z700" s="1516"/>
      <c r="AA700" s="1516"/>
      <c r="AB700" s="1516"/>
      <c r="AC700" s="1516"/>
      <c r="AD700" s="1516"/>
      <c r="AE700" s="1516"/>
      <c r="AF700" s="1516"/>
      <c r="AG700" s="1516"/>
      <c r="AH700" s="1516"/>
      <c r="AI700" s="1516"/>
      <c r="AJ700" s="1516"/>
      <c r="AK700" s="1516"/>
      <c r="AZ700" s="34"/>
      <c r="BA700" s="118" t="str">
        <f>IF($G751=0,"N/A",VLOOKUP($T$189,TC_Rent,(MATCH($B751,bedrooms,FALSE))))</f>
        <v>N/A</v>
      </c>
      <c r="BB700" s="34"/>
      <c r="BC700" s="34"/>
      <c r="BD700" s="34"/>
      <c r="BE700" s="34"/>
      <c r="BF700" s="34"/>
      <c r="BG700" s="316">
        <f t="shared" si="51"/>
        <v>0</v>
      </c>
      <c r="BH700" s="319">
        <f t="shared" si="52"/>
        <v>0</v>
      </c>
      <c r="BI700" s="320" t="str">
        <f>IF(BH700=0,"",BH700*AC761)</f>
        <v/>
      </c>
      <c r="BJ700" s="3"/>
      <c r="BK700" s="34"/>
      <c r="BL700" s="34"/>
      <c r="BM700" s="34"/>
      <c r="BN700" s="34"/>
      <c r="BO700" s="34"/>
      <c r="BT700" s="316">
        <f t="shared" si="54"/>
        <v>0</v>
      </c>
      <c r="BU700" s="319">
        <f t="shared" si="55"/>
        <v>0</v>
      </c>
      <c r="BV700" s="320" t="str">
        <f t="shared" si="56"/>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8">G751</f>
        <v>0</v>
      </c>
      <c r="BH701" s="319">
        <f t="shared" si="52"/>
        <v>0</v>
      </c>
      <c r="BI701" s="320" t="str">
        <f>IF(BH701=0,"",BH701*AC762)</f>
        <v/>
      </c>
      <c r="BJ701" s="3"/>
      <c r="BK701" s="34"/>
      <c r="BL701" s="34"/>
      <c r="BM701" s="34"/>
      <c r="BN701" s="34"/>
      <c r="BO701" s="34"/>
      <c r="BT701" s="316">
        <f t="shared" ref="BT701" si="59">G751</f>
        <v>0</v>
      </c>
      <c r="BU701" s="319">
        <f t="shared" si="55"/>
        <v>0</v>
      </c>
      <c r="BV701" s="320" t="str">
        <f t="shared" ref="BV701" si="60">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37" t="s">
        <v>677</v>
      </c>
      <c r="AF702" s="1437"/>
      <c r="AZ702" s="34"/>
      <c r="BA702" s="34"/>
      <c r="BB702" s="34"/>
      <c r="BC702" s="34"/>
      <c r="BD702" s="34"/>
      <c r="BE702" s="3"/>
      <c r="BG702" s="316">
        <f>G752</f>
        <v>0</v>
      </c>
      <c r="BH702" s="319">
        <f t="shared" si="52"/>
        <v>0</v>
      </c>
      <c r="BI702" s="320" t="str">
        <f>IF(BH702=0,"",BH702*AC762)</f>
        <v/>
      </c>
      <c r="BJ702" s="3"/>
      <c r="BK702" s="34"/>
      <c r="BL702" s="34"/>
      <c r="BM702" s="34"/>
      <c r="BN702" s="34"/>
      <c r="BO702" s="34"/>
      <c r="BT702" s="894">
        <f>G752</f>
        <v>0</v>
      </c>
      <c r="BU702" s="319">
        <f t="shared" si="55"/>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60"/>
      <c r="X703" s="1460"/>
      <c r="Y703" s="1460"/>
      <c r="Z703" s="1460"/>
      <c r="AA703" s="1460"/>
      <c r="AB703" s="1460"/>
      <c r="AC703" s="1460"/>
      <c r="AD703" s="1460"/>
      <c r="AE703" s="1460"/>
      <c r="AF703" s="1460"/>
      <c r="AG703" s="1460"/>
      <c r="AH703" s="1460"/>
      <c r="AI703" s="1460"/>
      <c r="AJ703" s="1460"/>
      <c r="AK703" s="1460"/>
      <c r="AZ703" s="34"/>
      <c r="BA703" s="34"/>
      <c r="BB703" s="34"/>
      <c r="BC703" s="34"/>
      <c r="BD703" s="34"/>
      <c r="BE703" s="3"/>
      <c r="BF703" s="312" t="s">
        <v>914</v>
      </c>
      <c r="BG703" s="321">
        <f>SUM(BG668:BG702)</f>
        <v>46</v>
      </c>
      <c r="BH703" s="322">
        <f>SUM(BH668:BH702)</f>
        <v>0.99999999999999989</v>
      </c>
      <c r="BI703" s="322">
        <f>SUM(BI668:BI702)</f>
        <v>0.3</v>
      </c>
      <c r="BN703" s="3"/>
      <c r="BO703" s="3"/>
      <c r="BT703" s="893">
        <f>SUM(BT668:BT702)</f>
        <v>46</v>
      </c>
      <c r="BU703" s="322">
        <f>SUM(BU668:BU702)</f>
        <v>0.99999999999999989</v>
      </c>
      <c r="BV703" s="322">
        <f>SUM(BV668:BV702)</f>
        <v>0.27793498813624995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60"/>
      <c r="K704" s="1460"/>
      <c r="L704" s="1460"/>
      <c r="M704" s="1460"/>
      <c r="N704" s="1460"/>
      <c r="O704" s="1460"/>
      <c r="P704" s="1460"/>
      <c r="Q704" s="1460"/>
      <c r="R704" s="1460"/>
      <c r="S704" s="1460"/>
      <c r="T704" s="1460"/>
      <c r="U704" s="1460"/>
      <c r="V704" s="1460"/>
      <c r="W704" s="1460"/>
      <c r="X704" s="146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75"/>
      <c r="K705" s="1475"/>
      <c r="L705" s="1475"/>
      <c r="M705" s="1475"/>
      <c r="N705" s="1475"/>
      <c r="O705" s="1475"/>
      <c r="P705" s="4" t="s">
        <v>207</v>
      </c>
      <c r="Q705" s="4"/>
      <c r="R705" s="1438"/>
      <c r="S705" s="1438"/>
      <c r="T705" s="1438"/>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60" t="s">
        <v>308</v>
      </c>
      <c r="X706" s="1460"/>
      <c r="Y706" s="1460"/>
      <c r="Z706" s="1460"/>
      <c r="AA706" s="1460"/>
      <c r="AB706" s="1460"/>
      <c r="AC706" s="1460"/>
      <c r="AD706" s="1460"/>
      <c r="AE706" s="1460"/>
      <c r="AF706" s="1460"/>
      <c r="AG706" s="1460"/>
      <c r="AH706" s="1460"/>
      <c r="AI706" s="1460"/>
      <c r="AJ706" s="1460"/>
      <c r="AK706" s="146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60" t="s">
        <v>335</v>
      </c>
      <c r="F707" s="1460"/>
      <c r="G707" s="1460"/>
      <c r="H707" s="1460"/>
      <c r="I707" s="1460"/>
      <c r="J707" s="1460"/>
      <c r="K707" s="1460"/>
      <c r="L707" s="1460"/>
      <c r="M707" s="1460"/>
      <c r="N707" s="1460"/>
      <c r="O707" s="1460"/>
      <c r="P707" s="1460"/>
      <c r="Q707" s="1460"/>
      <c r="R707" s="1460"/>
      <c r="S707" s="1460"/>
      <c r="T707" s="1460"/>
      <c r="U707" s="1460"/>
      <c r="V707" s="1460"/>
      <c r="W707" s="1460"/>
      <c r="X707" s="1460"/>
      <c r="Y707" s="1460"/>
      <c r="Z707" s="1460"/>
      <c r="AA707" s="1460"/>
      <c r="AB707" s="1460"/>
      <c r="AC707" s="1460"/>
      <c r="AD707" s="1460"/>
      <c r="AE707" s="1460"/>
      <c r="AF707" s="1460"/>
      <c r="AG707" s="1460"/>
      <c r="AH707" s="1460"/>
      <c r="AI707" s="1460"/>
      <c r="AJ707" s="1460"/>
      <c r="AK707" s="146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14" t="s">
        <v>389</v>
      </c>
      <c r="C714" s="1368"/>
      <c r="D714" s="1368"/>
      <c r="E714" s="1368"/>
      <c r="F714" s="1369"/>
      <c r="G714" s="1514" t="s">
        <v>286</v>
      </c>
      <c r="H714" s="1368"/>
      <c r="I714" s="1368"/>
      <c r="J714" s="1369"/>
      <c r="K714" s="1382" t="s">
        <v>1866</v>
      </c>
      <c r="L714" s="1383"/>
      <c r="M714" s="1383"/>
      <c r="N714" s="1384"/>
      <c r="O714" s="1514" t="s">
        <v>455</v>
      </c>
      <c r="P714" s="1368"/>
      <c r="Q714" s="1368"/>
      <c r="R714" s="1368"/>
      <c r="S714" s="1369"/>
      <c r="T714" s="1367" t="s">
        <v>2250</v>
      </c>
      <c r="U714" s="1368"/>
      <c r="V714" s="1368"/>
      <c r="W714" s="1369"/>
      <c r="X714" s="1367" t="s">
        <v>2252</v>
      </c>
      <c r="Y714" s="1368"/>
      <c r="Z714" s="1368"/>
      <c r="AA714" s="1368"/>
      <c r="AB714" s="1369"/>
      <c r="AC714" s="1367" t="s">
        <v>2251</v>
      </c>
      <c r="AD714" s="1368"/>
      <c r="AE714" s="1368"/>
      <c r="AF714" s="1368"/>
      <c r="AG714" s="1369"/>
      <c r="AH714" s="1367" t="s">
        <v>2253</v>
      </c>
      <c r="AI714" s="1368"/>
      <c r="AJ714" s="1369"/>
      <c r="AK714" s="1367" t="s">
        <v>2287</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0"/>
      <c r="C715" s="1371"/>
      <c r="D715" s="1371"/>
      <c r="E715" s="1371"/>
      <c r="F715" s="1372"/>
      <c r="G715" s="1370"/>
      <c r="H715" s="1371"/>
      <c r="I715" s="1371"/>
      <c r="J715" s="1372"/>
      <c r="K715" s="1385"/>
      <c r="L715" s="1386"/>
      <c r="M715" s="1386"/>
      <c r="N715" s="1387"/>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0"/>
      <c r="C716" s="1371"/>
      <c r="D716" s="1371"/>
      <c r="E716" s="1371"/>
      <c r="F716" s="1372"/>
      <c r="G716" s="1370"/>
      <c r="H716" s="1371"/>
      <c r="I716" s="1371"/>
      <c r="J716" s="1372"/>
      <c r="K716" s="1385"/>
      <c r="L716" s="1386"/>
      <c r="M716" s="1386"/>
      <c r="N716" s="1387"/>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3"/>
      <c r="C717" s="1374"/>
      <c r="D717" s="1374"/>
      <c r="E717" s="1374"/>
      <c r="F717" s="1375"/>
      <c r="G717" s="1373"/>
      <c r="H717" s="1374"/>
      <c r="I717" s="1374"/>
      <c r="J717" s="1375"/>
      <c r="K717" s="1385"/>
      <c r="L717" s="1386"/>
      <c r="M717" s="1386"/>
      <c r="N717" s="1387"/>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5" t="s">
        <v>325</v>
      </c>
      <c r="C718" s="1356"/>
      <c r="D718" s="1356"/>
      <c r="E718" s="1356"/>
      <c r="F718" s="1357"/>
      <c r="G718" s="1364">
        <f>+[2]budgets!$AA$7</f>
        <v>20</v>
      </c>
      <c r="H718" s="1365"/>
      <c r="I718" s="1365"/>
      <c r="J718" s="1366"/>
      <c r="K718" s="1575">
        <f>400</f>
        <v>400</v>
      </c>
      <c r="L718" s="1576"/>
      <c r="M718" s="1576"/>
      <c r="N718" s="1577"/>
      <c r="O718" s="1376">
        <f>[1]budgets!$AB$7</f>
        <v>757</v>
      </c>
      <c r="P718" s="1377"/>
      <c r="Q718" s="1377"/>
      <c r="R718" s="1377"/>
      <c r="S718" s="1378"/>
      <c r="T718" s="1376">
        <f>[1]budgets!$AE$7</f>
        <v>60</v>
      </c>
      <c r="U718" s="1377"/>
      <c r="V718" s="1377"/>
      <c r="W718" s="1378"/>
      <c r="X718" s="1358">
        <f t="shared" ref="X718:X741" si="61">O718+T718</f>
        <v>817</v>
      </c>
      <c r="Y718" s="1359"/>
      <c r="Z718" s="1359"/>
      <c r="AA718" s="1359"/>
      <c r="AB718" s="1360"/>
      <c r="AC718" s="1379">
        <v>0.3</v>
      </c>
      <c r="AD718" s="1380"/>
      <c r="AE718" s="1380"/>
      <c r="AF718" s="1380"/>
      <c r="AG718" s="1381"/>
      <c r="AH718" s="1361">
        <f t="shared" ref="AH718:AH751" si="62">IF($AC718&gt;0,($X718/$BA667), "")</f>
        <v>0.29992657856093979</v>
      </c>
      <c r="AI718" s="1362"/>
      <c r="AJ718" s="1363"/>
      <c r="AK718" s="1355" t="s">
        <v>1067</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5" t="s">
        <v>325</v>
      </c>
      <c r="C719" s="1356"/>
      <c r="D719" s="1356"/>
      <c r="E719" s="1356"/>
      <c r="F719" s="1357"/>
      <c r="G719" s="1364">
        <f>+[2]budgets!$AA$8</f>
        <v>5</v>
      </c>
      <c r="H719" s="1365"/>
      <c r="I719" s="1365"/>
      <c r="J719" s="1366"/>
      <c r="K719" s="1575">
        <f>400</f>
        <v>400</v>
      </c>
      <c r="L719" s="1576"/>
      <c r="M719" s="1576"/>
      <c r="N719" s="1577"/>
      <c r="O719" s="1376">
        <f>[1]budgets!$AB$8</f>
        <v>300</v>
      </c>
      <c r="P719" s="1377"/>
      <c r="Q719" s="1377"/>
      <c r="R719" s="1377"/>
      <c r="S719" s="1378"/>
      <c r="T719" s="1376">
        <f>T718</f>
        <v>60</v>
      </c>
      <c r="U719" s="1377"/>
      <c r="V719" s="1377"/>
      <c r="W719" s="1378"/>
      <c r="X719" s="1358">
        <f t="shared" si="61"/>
        <v>360</v>
      </c>
      <c r="Y719" s="1359"/>
      <c r="Z719" s="1359"/>
      <c r="AA719" s="1359"/>
      <c r="AB719" s="1360"/>
      <c r="AC719" s="1379">
        <v>0.3</v>
      </c>
      <c r="AD719" s="1380"/>
      <c r="AE719" s="1380"/>
      <c r="AF719" s="1380"/>
      <c r="AG719" s="1381"/>
      <c r="AH719" s="1361">
        <f t="shared" si="62"/>
        <v>0.13215859030837004</v>
      </c>
      <c r="AI719" s="1362"/>
      <c r="AJ719" s="1363"/>
      <c r="AK719" s="1355" t="s">
        <v>1067</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5" t="s">
        <v>326</v>
      </c>
      <c r="C720" s="1356"/>
      <c r="D720" s="1356"/>
      <c r="E720" s="1356"/>
      <c r="F720" s="1357"/>
      <c r="G720" s="1364">
        <f>+[2]budgets!$AA$11</f>
        <v>20</v>
      </c>
      <c r="H720" s="1365"/>
      <c r="I720" s="1365"/>
      <c r="J720" s="1366"/>
      <c r="K720" s="1575">
        <f>600</f>
        <v>600</v>
      </c>
      <c r="L720" s="1576"/>
      <c r="M720" s="1576"/>
      <c r="N720" s="1577"/>
      <c r="O720" s="1376">
        <f>[1]budgets!$AB$11</f>
        <v>809</v>
      </c>
      <c r="P720" s="1377"/>
      <c r="Q720" s="1377"/>
      <c r="R720" s="1377"/>
      <c r="S720" s="1378"/>
      <c r="T720" s="1376">
        <f>[1]budgets!$AE$11</f>
        <v>67</v>
      </c>
      <c r="U720" s="1377"/>
      <c r="V720" s="1377"/>
      <c r="W720" s="1378"/>
      <c r="X720" s="1358">
        <f t="shared" si="61"/>
        <v>876</v>
      </c>
      <c r="Y720" s="1359"/>
      <c r="Z720" s="1359"/>
      <c r="AA720" s="1359"/>
      <c r="AB720" s="1360"/>
      <c r="AC720" s="1379">
        <v>0.3</v>
      </c>
      <c r="AD720" s="1380"/>
      <c r="AE720" s="1380"/>
      <c r="AF720" s="1380"/>
      <c r="AG720" s="1381"/>
      <c r="AH720" s="1361">
        <f t="shared" si="62"/>
        <v>0.3</v>
      </c>
      <c r="AI720" s="1362"/>
      <c r="AJ720" s="1363"/>
      <c r="AK720" s="1355" t="s">
        <v>1067</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5" t="s">
        <v>326</v>
      </c>
      <c r="C721" s="1356"/>
      <c r="D721" s="1356"/>
      <c r="E721" s="1356"/>
      <c r="F721" s="1357"/>
      <c r="G721" s="1364">
        <f>+[2]budgets!$AA$12</f>
        <v>1</v>
      </c>
      <c r="H721" s="1365"/>
      <c r="I721" s="1365"/>
      <c r="J721" s="1366"/>
      <c r="K721" s="1575">
        <f>600</f>
        <v>600</v>
      </c>
      <c r="L721" s="1576"/>
      <c r="M721" s="1576"/>
      <c r="N721" s="1577"/>
      <c r="O721" s="1376">
        <f>[1]budgets!$AB$12</f>
        <v>300</v>
      </c>
      <c r="P721" s="1377"/>
      <c r="Q721" s="1377"/>
      <c r="R721" s="1377"/>
      <c r="S721" s="1378"/>
      <c r="T721" s="1376">
        <f>T720</f>
        <v>67</v>
      </c>
      <c r="U721" s="1377"/>
      <c r="V721" s="1377"/>
      <c r="W721" s="1378"/>
      <c r="X721" s="1358">
        <f t="shared" si="61"/>
        <v>367</v>
      </c>
      <c r="Y721" s="1359"/>
      <c r="Z721" s="1359"/>
      <c r="AA721" s="1359"/>
      <c r="AB721" s="1360"/>
      <c r="AC721" s="1379">
        <v>0.3</v>
      </c>
      <c r="AD721" s="1380"/>
      <c r="AE721" s="1380"/>
      <c r="AF721" s="1380"/>
      <c r="AG721" s="1381"/>
      <c r="AH721" s="1361">
        <f t="shared" si="62"/>
        <v>0.12568493150684931</v>
      </c>
      <c r="AI721" s="1362"/>
      <c r="AJ721" s="1363"/>
      <c r="AK721" s="1355" t="s">
        <v>1067</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5"/>
      <c r="C722" s="1356"/>
      <c r="D722" s="1356"/>
      <c r="E722" s="1356"/>
      <c r="F722" s="1357"/>
      <c r="G722" s="1364"/>
      <c r="H722" s="1365"/>
      <c r="I722" s="1365"/>
      <c r="J722" s="1366"/>
      <c r="K722" s="1575"/>
      <c r="L722" s="1576"/>
      <c r="M722" s="1576"/>
      <c r="N722" s="1577"/>
      <c r="O722" s="1376"/>
      <c r="P722" s="1377"/>
      <c r="Q722" s="1377"/>
      <c r="R722" s="1377"/>
      <c r="S722" s="1378"/>
      <c r="T722" s="1376"/>
      <c r="U722" s="1377"/>
      <c r="V722" s="1377"/>
      <c r="W722" s="1378"/>
      <c r="X722" s="1358">
        <f t="shared" si="61"/>
        <v>0</v>
      </c>
      <c r="Y722" s="1359"/>
      <c r="Z722" s="1359"/>
      <c r="AA722" s="1359"/>
      <c r="AB722" s="1360"/>
      <c r="AC722" s="1379"/>
      <c r="AD722" s="1380"/>
      <c r="AE722" s="1380"/>
      <c r="AF722" s="1380"/>
      <c r="AG722" s="1381"/>
      <c r="AH722" s="1361" t="str">
        <f t="shared" si="62"/>
        <v/>
      </c>
      <c r="AI722" s="1362"/>
      <c r="AJ722" s="1363"/>
      <c r="AK722" s="1355" t="s">
        <v>599</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5"/>
      <c r="C723" s="1356"/>
      <c r="D723" s="1356"/>
      <c r="E723" s="1356"/>
      <c r="F723" s="1357"/>
      <c r="G723" s="1364"/>
      <c r="H723" s="1365"/>
      <c r="I723" s="1365"/>
      <c r="J723" s="1366"/>
      <c r="K723" s="1575"/>
      <c r="L723" s="1576"/>
      <c r="M723" s="1576"/>
      <c r="N723" s="1577"/>
      <c r="O723" s="1376"/>
      <c r="P723" s="1377"/>
      <c r="Q723" s="1377"/>
      <c r="R723" s="1377"/>
      <c r="S723" s="1378"/>
      <c r="T723" s="1376"/>
      <c r="U723" s="1377"/>
      <c r="V723" s="1377"/>
      <c r="W723" s="1378"/>
      <c r="X723" s="1358">
        <f t="shared" si="61"/>
        <v>0</v>
      </c>
      <c r="Y723" s="1359"/>
      <c r="Z723" s="1359"/>
      <c r="AA723" s="1359"/>
      <c r="AB723" s="1360"/>
      <c r="AC723" s="1379"/>
      <c r="AD723" s="1380"/>
      <c r="AE723" s="1380"/>
      <c r="AF723" s="1380"/>
      <c r="AG723" s="1381"/>
      <c r="AH723" s="1361" t="str">
        <f t="shared" si="62"/>
        <v/>
      </c>
      <c r="AI723" s="1362"/>
      <c r="AJ723" s="1363"/>
      <c r="AK723" s="1355" t="s">
        <v>599</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5"/>
      <c r="C724" s="1356"/>
      <c r="D724" s="1356"/>
      <c r="E724" s="1356"/>
      <c r="F724" s="1357"/>
      <c r="G724" s="1364"/>
      <c r="H724" s="1365"/>
      <c r="I724" s="1365"/>
      <c r="J724" s="1366"/>
      <c r="K724" s="1575"/>
      <c r="L724" s="1576"/>
      <c r="M724" s="1576"/>
      <c r="N724" s="1577"/>
      <c r="O724" s="1376"/>
      <c r="P724" s="1377"/>
      <c r="Q724" s="1377"/>
      <c r="R724" s="1377"/>
      <c r="S724" s="1378"/>
      <c r="T724" s="1376"/>
      <c r="U724" s="1377"/>
      <c r="V724" s="1377"/>
      <c r="W724" s="1378"/>
      <c r="X724" s="1358">
        <f t="shared" si="61"/>
        <v>0</v>
      </c>
      <c r="Y724" s="1359"/>
      <c r="Z724" s="1359"/>
      <c r="AA724" s="1359"/>
      <c r="AB724" s="1360"/>
      <c r="AC724" s="1379"/>
      <c r="AD724" s="1380"/>
      <c r="AE724" s="1380"/>
      <c r="AF724" s="1380"/>
      <c r="AG724" s="1381"/>
      <c r="AH724" s="1361" t="str">
        <f t="shared" si="62"/>
        <v/>
      </c>
      <c r="AI724" s="1362"/>
      <c r="AJ724" s="1363"/>
      <c r="AK724" s="1355" t="s">
        <v>599</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5"/>
      <c r="C725" s="1356"/>
      <c r="D725" s="1356"/>
      <c r="E725" s="1356"/>
      <c r="F725" s="1357"/>
      <c r="G725" s="1364"/>
      <c r="H725" s="1365"/>
      <c r="I725" s="1365"/>
      <c r="J725" s="1366"/>
      <c r="K725" s="1575"/>
      <c r="L725" s="1576"/>
      <c r="M725" s="1576"/>
      <c r="N725" s="1577"/>
      <c r="O725" s="1376"/>
      <c r="P725" s="1377"/>
      <c r="Q725" s="1377"/>
      <c r="R725" s="1377"/>
      <c r="S725" s="1378"/>
      <c r="T725" s="1376"/>
      <c r="U725" s="1377"/>
      <c r="V725" s="1377"/>
      <c r="W725" s="1378"/>
      <c r="X725" s="1358">
        <f t="shared" si="61"/>
        <v>0</v>
      </c>
      <c r="Y725" s="1359"/>
      <c r="Z725" s="1359"/>
      <c r="AA725" s="1359"/>
      <c r="AB725" s="1360"/>
      <c r="AC725" s="1379"/>
      <c r="AD725" s="1380"/>
      <c r="AE725" s="1380"/>
      <c r="AF725" s="1380"/>
      <c r="AG725" s="1381"/>
      <c r="AH725" s="1361" t="str">
        <f t="shared" si="62"/>
        <v/>
      </c>
      <c r="AI725" s="1362"/>
      <c r="AJ725" s="1363"/>
      <c r="AK725" s="1355" t="s">
        <v>599</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5"/>
      <c r="C726" s="1356"/>
      <c r="D726" s="1356"/>
      <c r="E726" s="1356"/>
      <c r="F726" s="1357"/>
      <c r="G726" s="1364"/>
      <c r="H726" s="1365"/>
      <c r="I726" s="1365"/>
      <c r="J726" s="1366"/>
      <c r="K726" s="1575"/>
      <c r="L726" s="1576"/>
      <c r="M726" s="1576"/>
      <c r="N726" s="1577"/>
      <c r="O726" s="1376"/>
      <c r="P726" s="1377"/>
      <c r="Q726" s="1377"/>
      <c r="R726" s="1377"/>
      <c r="S726" s="1378"/>
      <c r="T726" s="1376"/>
      <c r="U726" s="1377"/>
      <c r="V726" s="1377"/>
      <c r="W726" s="1378"/>
      <c r="X726" s="1358">
        <f t="shared" si="61"/>
        <v>0</v>
      </c>
      <c r="Y726" s="1359"/>
      <c r="Z726" s="1359"/>
      <c r="AA726" s="1359"/>
      <c r="AB726" s="1360"/>
      <c r="AC726" s="1379"/>
      <c r="AD726" s="1380"/>
      <c r="AE726" s="1380"/>
      <c r="AF726" s="1380"/>
      <c r="AG726" s="1381"/>
      <c r="AH726" s="1361" t="str">
        <f t="shared" si="62"/>
        <v/>
      </c>
      <c r="AI726" s="1362"/>
      <c r="AJ726" s="1363"/>
      <c r="AK726" s="1355" t="s">
        <v>599</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5"/>
      <c r="C727" s="1356"/>
      <c r="D727" s="1356"/>
      <c r="E727" s="1356"/>
      <c r="F727" s="1357"/>
      <c r="G727" s="1364"/>
      <c r="H727" s="1365"/>
      <c r="I727" s="1365"/>
      <c r="J727" s="1366"/>
      <c r="K727" s="1575"/>
      <c r="L727" s="1576"/>
      <c r="M727" s="1576"/>
      <c r="N727" s="1577"/>
      <c r="O727" s="1376"/>
      <c r="P727" s="1377"/>
      <c r="Q727" s="1377"/>
      <c r="R727" s="1377"/>
      <c r="S727" s="1378"/>
      <c r="T727" s="1376"/>
      <c r="U727" s="1377"/>
      <c r="V727" s="1377"/>
      <c r="W727" s="1378"/>
      <c r="X727" s="1358">
        <f t="shared" si="61"/>
        <v>0</v>
      </c>
      <c r="Y727" s="1359"/>
      <c r="Z727" s="1359"/>
      <c r="AA727" s="1359"/>
      <c r="AB727" s="1360"/>
      <c r="AC727" s="1379"/>
      <c r="AD727" s="1380"/>
      <c r="AE727" s="1380"/>
      <c r="AF727" s="1380"/>
      <c r="AG727" s="1381"/>
      <c r="AH727" s="1361" t="str">
        <f t="shared" si="62"/>
        <v/>
      </c>
      <c r="AI727" s="1362"/>
      <c r="AJ727" s="1363"/>
      <c r="AK727" s="1355" t="s">
        <v>599</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5"/>
      <c r="C728" s="1356"/>
      <c r="D728" s="1356"/>
      <c r="E728" s="1356"/>
      <c r="F728" s="1357"/>
      <c r="G728" s="1364"/>
      <c r="H728" s="1365"/>
      <c r="I728" s="1365"/>
      <c r="J728" s="1366"/>
      <c r="K728" s="1575"/>
      <c r="L728" s="1576"/>
      <c r="M728" s="1576"/>
      <c r="N728" s="1577"/>
      <c r="O728" s="1376"/>
      <c r="P728" s="1377"/>
      <c r="Q728" s="1377"/>
      <c r="R728" s="1377"/>
      <c r="S728" s="1378"/>
      <c r="T728" s="1376"/>
      <c r="U728" s="1377"/>
      <c r="V728" s="1377"/>
      <c r="W728" s="1378"/>
      <c r="X728" s="1358">
        <f t="shared" si="61"/>
        <v>0</v>
      </c>
      <c r="Y728" s="1359"/>
      <c r="Z728" s="1359"/>
      <c r="AA728" s="1359"/>
      <c r="AB728" s="1360"/>
      <c r="AC728" s="1379"/>
      <c r="AD728" s="1380"/>
      <c r="AE728" s="1380"/>
      <c r="AF728" s="1380"/>
      <c r="AG728" s="1381"/>
      <c r="AH728" s="1361" t="str">
        <f t="shared" si="62"/>
        <v/>
      </c>
      <c r="AI728" s="1362"/>
      <c r="AJ728" s="1363"/>
      <c r="AK728" s="1355" t="s">
        <v>599</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5"/>
      <c r="C729" s="1356"/>
      <c r="D729" s="1356"/>
      <c r="E729" s="1356"/>
      <c r="F729" s="1357"/>
      <c r="G729" s="1364"/>
      <c r="H729" s="1365"/>
      <c r="I729" s="1365"/>
      <c r="J729" s="1366"/>
      <c r="K729" s="1575"/>
      <c r="L729" s="1576"/>
      <c r="M729" s="1576"/>
      <c r="N729" s="1577"/>
      <c r="O729" s="1376"/>
      <c r="P729" s="1377"/>
      <c r="Q729" s="1377"/>
      <c r="R729" s="1377"/>
      <c r="S729" s="1378"/>
      <c r="T729" s="1376"/>
      <c r="U729" s="1377"/>
      <c r="V729" s="1377"/>
      <c r="W729" s="1378"/>
      <c r="X729" s="1358">
        <f t="shared" si="61"/>
        <v>0</v>
      </c>
      <c r="Y729" s="1359"/>
      <c r="Z729" s="1359"/>
      <c r="AA729" s="1359"/>
      <c r="AB729" s="1360"/>
      <c r="AC729" s="1379"/>
      <c r="AD729" s="1380"/>
      <c r="AE729" s="1380"/>
      <c r="AF729" s="1380"/>
      <c r="AG729" s="1381"/>
      <c r="AH729" s="1361" t="str">
        <f t="shared" si="62"/>
        <v/>
      </c>
      <c r="AI729" s="1362"/>
      <c r="AJ729" s="1363"/>
      <c r="AK729" s="1355" t="s">
        <v>599</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5"/>
      <c r="C730" s="1356"/>
      <c r="D730" s="1356"/>
      <c r="E730" s="1356"/>
      <c r="F730" s="1357"/>
      <c r="G730" s="1364"/>
      <c r="H730" s="1365"/>
      <c r="I730" s="1365"/>
      <c r="J730" s="1366"/>
      <c r="K730" s="1575"/>
      <c r="L730" s="1576"/>
      <c r="M730" s="1576"/>
      <c r="N730" s="1577"/>
      <c r="O730" s="1376"/>
      <c r="P730" s="1377"/>
      <c r="Q730" s="1377"/>
      <c r="R730" s="1377"/>
      <c r="S730" s="1378"/>
      <c r="T730" s="1376"/>
      <c r="U730" s="1377"/>
      <c r="V730" s="1377"/>
      <c r="W730" s="1378"/>
      <c r="X730" s="1358">
        <f t="shared" si="61"/>
        <v>0</v>
      </c>
      <c r="Y730" s="1359"/>
      <c r="Z730" s="1359"/>
      <c r="AA730" s="1359"/>
      <c r="AB730" s="1360"/>
      <c r="AC730" s="1379"/>
      <c r="AD730" s="1380"/>
      <c r="AE730" s="1380"/>
      <c r="AF730" s="1380"/>
      <c r="AG730" s="1381"/>
      <c r="AH730" s="1361" t="str">
        <f t="shared" si="62"/>
        <v/>
      </c>
      <c r="AI730" s="1362"/>
      <c r="AJ730" s="1363"/>
      <c r="AK730" s="1355" t="s">
        <v>599</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5"/>
      <c r="C731" s="1356"/>
      <c r="D731" s="1356"/>
      <c r="E731" s="1356"/>
      <c r="F731" s="1357"/>
      <c r="G731" s="1364"/>
      <c r="H731" s="1365"/>
      <c r="I731" s="1365"/>
      <c r="J731" s="1366"/>
      <c r="K731" s="1575"/>
      <c r="L731" s="1576"/>
      <c r="M731" s="1576"/>
      <c r="N731" s="1577"/>
      <c r="O731" s="1376"/>
      <c r="P731" s="1377"/>
      <c r="Q731" s="1377"/>
      <c r="R731" s="1377"/>
      <c r="S731" s="1378"/>
      <c r="T731" s="1376"/>
      <c r="U731" s="1377"/>
      <c r="V731" s="1377"/>
      <c r="W731" s="1378"/>
      <c r="X731" s="1358">
        <f t="shared" si="61"/>
        <v>0</v>
      </c>
      <c r="Y731" s="1359"/>
      <c r="Z731" s="1359"/>
      <c r="AA731" s="1359"/>
      <c r="AB731" s="1360"/>
      <c r="AC731" s="1379"/>
      <c r="AD731" s="1380"/>
      <c r="AE731" s="1380"/>
      <c r="AF731" s="1380"/>
      <c r="AG731" s="1381"/>
      <c r="AH731" s="1361" t="str">
        <f t="shared" si="62"/>
        <v/>
      </c>
      <c r="AI731" s="1362"/>
      <c r="AJ731" s="1363"/>
      <c r="AK731" s="1355" t="s">
        <v>599</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5"/>
      <c r="C732" s="1356"/>
      <c r="D732" s="1356"/>
      <c r="E732" s="1356"/>
      <c r="F732" s="1357"/>
      <c r="G732" s="1364"/>
      <c r="H732" s="1365"/>
      <c r="I732" s="1365"/>
      <c r="J732" s="1366"/>
      <c r="K732" s="1575"/>
      <c r="L732" s="1576"/>
      <c r="M732" s="1576"/>
      <c r="N732" s="1577"/>
      <c r="O732" s="1376"/>
      <c r="P732" s="1377"/>
      <c r="Q732" s="1377"/>
      <c r="R732" s="1377"/>
      <c r="S732" s="1378"/>
      <c r="T732" s="1376"/>
      <c r="U732" s="1377"/>
      <c r="V732" s="1377"/>
      <c r="W732" s="1378"/>
      <c r="X732" s="1358">
        <f t="shared" si="61"/>
        <v>0</v>
      </c>
      <c r="Y732" s="1359"/>
      <c r="Z732" s="1359"/>
      <c r="AA732" s="1359"/>
      <c r="AB732" s="1360"/>
      <c r="AC732" s="1379"/>
      <c r="AD732" s="1380"/>
      <c r="AE732" s="1380"/>
      <c r="AF732" s="1380"/>
      <c r="AG732" s="1381"/>
      <c r="AH732" s="1361" t="str">
        <f t="shared" si="62"/>
        <v/>
      </c>
      <c r="AI732" s="1362"/>
      <c r="AJ732" s="1363"/>
      <c r="AK732" s="1355" t="s">
        <v>599</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5"/>
      <c r="C733" s="1356"/>
      <c r="D733" s="1356"/>
      <c r="E733" s="1356"/>
      <c r="F733" s="1357"/>
      <c r="G733" s="1364"/>
      <c r="H733" s="1365"/>
      <c r="I733" s="1365"/>
      <c r="J733" s="1366"/>
      <c r="K733" s="1575"/>
      <c r="L733" s="1576"/>
      <c r="M733" s="1576"/>
      <c r="N733" s="1577"/>
      <c r="O733" s="1376"/>
      <c r="P733" s="1377"/>
      <c r="Q733" s="1377"/>
      <c r="R733" s="1377"/>
      <c r="S733" s="1378"/>
      <c r="T733" s="1376"/>
      <c r="U733" s="1377"/>
      <c r="V733" s="1377"/>
      <c r="W733" s="1378"/>
      <c r="X733" s="1358">
        <f t="shared" si="61"/>
        <v>0</v>
      </c>
      <c r="Y733" s="1359"/>
      <c r="Z733" s="1359"/>
      <c r="AA733" s="1359"/>
      <c r="AB733" s="1360"/>
      <c r="AC733" s="1379"/>
      <c r="AD733" s="1380"/>
      <c r="AE733" s="1380"/>
      <c r="AF733" s="1380"/>
      <c r="AG733" s="1381"/>
      <c r="AH733" s="1361" t="str">
        <f t="shared" si="62"/>
        <v/>
      </c>
      <c r="AI733" s="1362"/>
      <c r="AJ733" s="1363"/>
      <c r="AK733" s="1355" t="s">
        <v>599</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5"/>
      <c r="C734" s="1356"/>
      <c r="D734" s="1356"/>
      <c r="E734" s="1356"/>
      <c r="F734" s="1357"/>
      <c r="G734" s="1364"/>
      <c r="H734" s="1365"/>
      <c r="I734" s="1365"/>
      <c r="J734" s="1366"/>
      <c r="K734" s="1575"/>
      <c r="L734" s="1576"/>
      <c r="M734" s="1576"/>
      <c r="N734" s="1577"/>
      <c r="O734" s="1376"/>
      <c r="P734" s="1377"/>
      <c r="Q734" s="1377"/>
      <c r="R734" s="1377"/>
      <c r="S734" s="1378"/>
      <c r="T734" s="1376"/>
      <c r="U734" s="1377"/>
      <c r="V734" s="1377"/>
      <c r="W734" s="1378"/>
      <c r="X734" s="1358">
        <f t="shared" si="61"/>
        <v>0</v>
      </c>
      <c r="Y734" s="1359"/>
      <c r="Z734" s="1359"/>
      <c r="AA734" s="1359"/>
      <c r="AB734" s="1360"/>
      <c r="AC734" s="1379"/>
      <c r="AD734" s="1380"/>
      <c r="AE734" s="1380"/>
      <c r="AF734" s="1380"/>
      <c r="AG734" s="1381"/>
      <c r="AH734" s="1361" t="str">
        <f t="shared" si="62"/>
        <v/>
      </c>
      <c r="AI734" s="1362"/>
      <c r="AJ734" s="1363"/>
      <c r="AK734" s="1355" t="s">
        <v>599</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5"/>
      <c r="C735" s="1356"/>
      <c r="D735" s="1356"/>
      <c r="E735" s="1356"/>
      <c r="F735" s="1357"/>
      <c r="G735" s="1364"/>
      <c r="H735" s="1365"/>
      <c r="I735" s="1365"/>
      <c r="J735" s="1366"/>
      <c r="K735" s="1575"/>
      <c r="L735" s="1576"/>
      <c r="M735" s="1576"/>
      <c r="N735" s="1577"/>
      <c r="O735" s="1376"/>
      <c r="P735" s="1377"/>
      <c r="Q735" s="1377"/>
      <c r="R735" s="1377"/>
      <c r="S735" s="1378"/>
      <c r="T735" s="1376"/>
      <c r="U735" s="1377"/>
      <c r="V735" s="1377"/>
      <c r="W735" s="1378"/>
      <c r="X735" s="1358">
        <f t="shared" si="61"/>
        <v>0</v>
      </c>
      <c r="Y735" s="1359"/>
      <c r="Z735" s="1359"/>
      <c r="AA735" s="1359"/>
      <c r="AB735" s="1360"/>
      <c r="AC735" s="1379"/>
      <c r="AD735" s="1380"/>
      <c r="AE735" s="1380"/>
      <c r="AF735" s="1380"/>
      <c r="AG735" s="1381"/>
      <c r="AH735" s="1361" t="str">
        <f t="shared" si="62"/>
        <v/>
      </c>
      <c r="AI735" s="1362"/>
      <c r="AJ735" s="1363"/>
      <c r="AK735" s="1355" t="s">
        <v>599</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5"/>
      <c r="C736" s="1356"/>
      <c r="D736" s="1356"/>
      <c r="E736" s="1356"/>
      <c r="F736" s="1357"/>
      <c r="G736" s="1364"/>
      <c r="H736" s="1365"/>
      <c r="I736" s="1365"/>
      <c r="J736" s="1366"/>
      <c r="K736" s="1575"/>
      <c r="L736" s="1576"/>
      <c r="M736" s="1576"/>
      <c r="N736" s="1577"/>
      <c r="O736" s="1376"/>
      <c r="P736" s="1377"/>
      <c r="Q736" s="1377"/>
      <c r="R736" s="1377"/>
      <c r="S736" s="1378"/>
      <c r="T736" s="1376"/>
      <c r="U736" s="1377"/>
      <c r="V736" s="1377"/>
      <c r="W736" s="1378"/>
      <c r="X736" s="1358">
        <f t="shared" si="61"/>
        <v>0</v>
      </c>
      <c r="Y736" s="1359"/>
      <c r="Z736" s="1359"/>
      <c r="AA736" s="1359"/>
      <c r="AB736" s="1360"/>
      <c r="AC736" s="1379"/>
      <c r="AD736" s="1380"/>
      <c r="AE736" s="1380"/>
      <c r="AF736" s="1380"/>
      <c r="AG736" s="1381"/>
      <c r="AH736" s="1361" t="str">
        <f t="shared" si="62"/>
        <v/>
      </c>
      <c r="AI736" s="1362"/>
      <c r="AJ736" s="1363"/>
      <c r="AK736" s="1355" t="s">
        <v>599</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5"/>
      <c r="C737" s="1356"/>
      <c r="D737" s="1356"/>
      <c r="E737" s="1356"/>
      <c r="F737" s="1357"/>
      <c r="G737" s="1364"/>
      <c r="H737" s="1365"/>
      <c r="I737" s="1365"/>
      <c r="J737" s="1366"/>
      <c r="K737" s="1575"/>
      <c r="L737" s="1576"/>
      <c r="M737" s="1576"/>
      <c r="N737" s="1577"/>
      <c r="O737" s="1376"/>
      <c r="P737" s="1377"/>
      <c r="Q737" s="1377"/>
      <c r="R737" s="1377"/>
      <c r="S737" s="1378"/>
      <c r="T737" s="1376"/>
      <c r="U737" s="1377"/>
      <c r="V737" s="1377"/>
      <c r="W737" s="1378"/>
      <c r="X737" s="1358">
        <f t="shared" si="61"/>
        <v>0</v>
      </c>
      <c r="Y737" s="1359"/>
      <c r="Z737" s="1359"/>
      <c r="AA737" s="1359"/>
      <c r="AB737" s="1360"/>
      <c r="AC737" s="1379"/>
      <c r="AD737" s="1380"/>
      <c r="AE737" s="1380"/>
      <c r="AF737" s="1380"/>
      <c r="AG737" s="1381"/>
      <c r="AH737" s="1361" t="str">
        <f t="shared" si="62"/>
        <v/>
      </c>
      <c r="AI737" s="1362"/>
      <c r="AJ737" s="1363"/>
      <c r="AK737" s="1355" t="s">
        <v>599</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5"/>
      <c r="C738" s="1356"/>
      <c r="D738" s="1356"/>
      <c r="E738" s="1356"/>
      <c r="F738" s="1357"/>
      <c r="G738" s="1364"/>
      <c r="H738" s="1365"/>
      <c r="I738" s="1365"/>
      <c r="J738" s="1366"/>
      <c r="K738" s="1575"/>
      <c r="L738" s="1576"/>
      <c r="M738" s="1576"/>
      <c r="N738" s="1577"/>
      <c r="O738" s="1376"/>
      <c r="P738" s="1377"/>
      <c r="Q738" s="1377"/>
      <c r="R738" s="1377"/>
      <c r="S738" s="1378"/>
      <c r="T738" s="1376"/>
      <c r="U738" s="1377"/>
      <c r="V738" s="1377"/>
      <c r="W738" s="1378"/>
      <c r="X738" s="1358">
        <f t="shared" si="61"/>
        <v>0</v>
      </c>
      <c r="Y738" s="1359"/>
      <c r="Z738" s="1359"/>
      <c r="AA738" s="1359"/>
      <c r="AB738" s="1360"/>
      <c r="AC738" s="1379"/>
      <c r="AD738" s="1380"/>
      <c r="AE738" s="1380"/>
      <c r="AF738" s="1380"/>
      <c r="AG738" s="1381"/>
      <c r="AH738" s="1361" t="str">
        <f t="shared" si="62"/>
        <v/>
      </c>
      <c r="AI738" s="1362"/>
      <c r="AJ738" s="1363"/>
      <c r="AK738" s="1355" t="s">
        <v>599</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5"/>
      <c r="C739" s="1356"/>
      <c r="D739" s="1356"/>
      <c r="E739" s="1356"/>
      <c r="F739" s="1357"/>
      <c r="G739" s="1364"/>
      <c r="H739" s="1365"/>
      <c r="I739" s="1365"/>
      <c r="J739" s="1366"/>
      <c r="K739" s="1575"/>
      <c r="L739" s="1576"/>
      <c r="M739" s="1576"/>
      <c r="N739" s="1577"/>
      <c r="O739" s="1376"/>
      <c r="P739" s="1377"/>
      <c r="Q739" s="1377"/>
      <c r="R739" s="1377"/>
      <c r="S739" s="1378"/>
      <c r="T739" s="1376"/>
      <c r="U739" s="1377"/>
      <c r="V739" s="1377"/>
      <c r="W739" s="1378"/>
      <c r="X739" s="1358">
        <f t="shared" si="61"/>
        <v>0</v>
      </c>
      <c r="Y739" s="1359"/>
      <c r="Z739" s="1359"/>
      <c r="AA739" s="1359"/>
      <c r="AB739" s="1360"/>
      <c r="AC739" s="1379"/>
      <c r="AD739" s="1380"/>
      <c r="AE739" s="1380"/>
      <c r="AF739" s="1380"/>
      <c r="AG739" s="1381"/>
      <c r="AH739" s="1361" t="str">
        <f t="shared" si="62"/>
        <v/>
      </c>
      <c r="AI739" s="1362"/>
      <c r="AJ739" s="1363"/>
      <c r="AK739" s="1355" t="s">
        <v>599</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5"/>
      <c r="C740" s="1356"/>
      <c r="D740" s="1356"/>
      <c r="E740" s="1356"/>
      <c r="F740" s="1357"/>
      <c r="G740" s="1364"/>
      <c r="H740" s="1365"/>
      <c r="I740" s="1365"/>
      <c r="J740" s="1366"/>
      <c r="K740" s="1575"/>
      <c r="L740" s="1576"/>
      <c r="M740" s="1576"/>
      <c r="N740" s="1577"/>
      <c r="O740" s="1376"/>
      <c r="P740" s="1377"/>
      <c r="Q740" s="1377"/>
      <c r="R740" s="1377"/>
      <c r="S740" s="1378"/>
      <c r="T740" s="1376"/>
      <c r="U740" s="1377"/>
      <c r="V740" s="1377"/>
      <c r="W740" s="1378"/>
      <c r="X740" s="1358">
        <f t="shared" si="61"/>
        <v>0</v>
      </c>
      <c r="Y740" s="1359"/>
      <c r="Z740" s="1359"/>
      <c r="AA740" s="1359"/>
      <c r="AB740" s="1360"/>
      <c r="AC740" s="1379"/>
      <c r="AD740" s="1380"/>
      <c r="AE740" s="1380"/>
      <c r="AF740" s="1380"/>
      <c r="AG740" s="1381"/>
      <c r="AH740" s="1361" t="str">
        <f t="shared" si="62"/>
        <v/>
      </c>
      <c r="AI740" s="1362"/>
      <c r="AJ740" s="1363"/>
      <c r="AK740" s="1355" t="s">
        <v>599</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5"/>
      <c r="C741" s="1356"/>
      <c r="D741" s="1356"/>
      <c r="E741" s="1356"/>
      <c r="F741" s="1357"/>
      <c r="G741" s="1364"/>
      <c r="H741" s="1365"/>
      <c r="I741" s="1365"/>
      <c r="J741" s="1366"/>
      <c r="K741" s="1575"/>
      <c r="L741" s="1576"/>
      <c r="M741" s="1576"/>
      <c r="N741" s="1577"/>
      <c r="O741" s="1376"/>
      <c r="P741" s="1377"/>
      <c r="Q741" s="1377"/>
      <c r="R741" s="1377"/>
      <c r="S741" s="1378"/>
      <c r="T741" s="1376"/>
      <c r="U741" s="1377"/>
      <c r="V741" s="1377"/>
      <c r="W741" s="1378"/>
      <c r="X741" s="1358">
        <f t="shared" si="61"/>
        <v>0</v>
      </c>
      <c r="Y741" s="1359"/>
      <c r="Z741" s="1359"/>
      <c r="AA741" s="1359"/>
      <c r="AB741" s="1360"/>
      <c r="AC741" s="1379"/>
      <c r="AD741" s="1380"/>
      <c r="AE741" s="1380"/>
      <c r="AF741" s="1380"/>
      <c r="AG741" s="1381"/>
      <c r="AH741" s="1361" t="str">
        <f t="shared" si="62"/>
        <v/>
      </c>
      <c r="AI741" s="1362"/>
      <c r="AJ741" s="1363"/>
      <c r="AK741" s="1355" t="s">
        <v>599</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5"/>
      <c r="C742" s="1356"/>
      <c r="D742" s="1356"/>
      <c r="E742" s="1356"/>
      <c r="F742" s="1357"/>
      <c r="G742" s="1364"/>
      <c r="H742" s="1365"/>
      <c r="I742" s="1365"/>
      <c r="J742" s="1366"/>
      <c r="K742" s="1575"/>
      <c r="L742" s="1576"/>
      <c r="M742" s="1576"/>
      <c r="N742" s="1577"/>
      <c r="O742" s="1376"/>
      <c r="P742" s="1377"/>
      <c r="Q742" s="1377"/>
      <c r="R742" s="1377"/>
      <c r="S742" s="1378"/>
      <c r="T742" s="1376"/>
      <c r="U742" s="1377"/>
      <c r="V742" s="1377"/>
      <c r="W742" s="1378"/>
      <c r="X742" s="1358">
        <f t="shared" ref="X742:X751" si="63">O742+T742</f>
        <v>0</v>
      </c>
      <c r="Y742" s="1359"/>
      <c r="Z742" s="1359"/>
      <c r="AA742" s="1359"/>
      <c r="AB742" s="1360"/>
      <c r="AC742" s="1379"/>
      <c r="AD742" s="1380"/>
      <c r="AE742" s="1380"/>
      <c r="AF742" s="1380"/>
      <c r="AG742" s="1381"/>
      <c r="AH742" s="1361" t="str">
        <f t="shared" si="62"/>
        <v/>
      </c>
      <c r="AI742" s="1362"/>
      <c r="AJ742" s="1363"/>
      <c r="AK742" s="1355" t="s">
        <v>599</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5"/>
      <c r="C743" s="1356"/>
      <c r="D743" s="1356"/>
      <c r="E743" s="1356"/>
      <c r="F743" s="1357"/>
      <c r="G743" s="1364"/>
      <c r="H743" s="1365"/>
      <c r="I743" s="1365"/>
      <c r="J743" s="1366"/>
      <c r="K743" s="1575"/>
      <c r="L743" s="1576"/>
      <c r="M743" s="1576"/>
      <c r="N743" s="1577"/>
      <c r="O743" s="1376"/>
      <c r="P743" s="1377"/>
      <c r="Q743" s="1377"/>
      <c r="R743" s="1377"/>
      <c r="S743" s="1378"/>
      <c r="T743" s="1376"/>
      <c r="U743" s="1377"/>
      <c r="V743" s="1377"/>
      <c r="W743" s="1378"/>
      <c r="X743" s="1358">
        <f t="shared" si="63"/>
        <v>0</v>
      </c>
      <c r="Y743" s="1359"/>
      <c r="Z743" s="1359"/>
      <c r="AA743" s="1359"/>
      <c r="AB743" s="1360"/>
      <c r="AC743" s="1379"/>
      <c r="AD743" s="1380"/>
      <c r="AE743" s="1380"/>
      <c r="AF743" s="1380"/>
      <c r="AG743" s="1381"/>
      <c r="AH743" s="1361" t="str">
        <f t="shared" si="62"/>
        <v/>
      </c>
      <c r="AI743" s="1362"/>
      <c r="AJ743" s="1363"/>
      <c r="AK743" s="1355" t="s">
        <v>599</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5"/>
      <c r="C744" s="1356"/>
      <c r="D744" s="1356"/>
      <c r="E744" s="1356"/>
      <c r="F744" s="1357"/>
      <c r="G744" s="1364"/>
      <c r="H744" s="1365"/>
      <c r="I744" s="1365"/>
      <c r="J744" s="1366"/>
      <c r="K744" s="1575"/>
      <c r="L744" s="1576"/>
      <c r="M744" s="1576"/>
      <c r="N744" s="1577"/>
      <c r="O744" s="1376"/>
      <c r="P744" s="1377"/>
      <c r="Q744" s="1377"/>
      <c r="R744" s="1377"/>
      <c r="S744" s="1378"/>
      <c r="T744" s="1376"/>
      <c r="U744" s="1377"/>
      <c r="V744" s="1377"/>
      <c r="W744" s="1378"/>
      <c r="X744" s="1358">
        <f t="shared" si="63"/>
        <v>0</v>
      </c>
      <c r="Y744" s="1359"/>
      <c r="Z744" s="1359"/>
      <c r="AA744" s="1359"/>
      <c r="AB744" s="1360"/>
      <c r="AC744" s="1379"/>
      <c r="AD744" s="1380"/>
      <c r="AE744" s="1380"/>
      <c r="AF744" s="1380"/>
      <c r="AG744" s="1381"/>
      <c r="AH744" s="1361" t="str">
        <f t="shared" si="62"/>
        <v/>
      </c>
      <c r="AI744" s="1362"/>
      <c r="AJ744" s="1363"/>
      <c r="AK744" s="1355" t="s">
        <v>599</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5"/>
      <c r="C745" s="1356"/>
      <c r="D745" s="1356"/>
      <c r="E745" s="1356"/>
      <c r="F745" s="1357"/>
      <c r="G745" s="1364"/>
      <c r="H745" s="1365"/>
      <c r="I745" s="1365"/>
      <c r="J745" s="1366"/>
      <c r="K745" s="1575"/>
      <c r="L745" s="1576"/>
      <c r="M745" s="1576"/>
      <c r="N745" s="1577"/>
      <c r="O745" s="1376"/>
      <c r="P745" s="1377"/>
      <c r="Q745" s="1377"/>
      <c r="R745" s="1377"/>
      <c r="S745" s="1378"/>
      <c r="T745" s="1376"/>
      <c r="U745" s="1377"/>
      <c r="V745" s="1377"/>
      <c r="W745" s="1378"/>
      <c r="X745" s="1358">
        <f t="shared" si="63"/>
        <v>0</v>
      </c>
      <c r="Y745" s="1359"/>
      <c r="Z745" s="1359"/>
      <c r="AA745" s="1359"/>
      <c r="AB745" s="1360"/>
      <c r="AC745" s="1379"/>
      <c r="AD745" s="1380"/>
      <c r="AE745" s="1380"/>
      <c r="AF745" s="1380"/>
      <c r="AG745" s="1381"/>
      <c r="AH745" s="1361" t="str">
        <f t="shared" si="62"/>
        <v/>
      </c>
      <c r="AI745" s="1362"/>
      <c r="AJ745" s="1363"/>
      <c r="AK745" s="1355" t="s">
        <v>599</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5"/>
      <c r="C746" s="1356"/>
      <c r="D746" s="1356"/>
      <c r="E746" s="1356"/>
      <c r="F746" s="1357"/>
      <c r="G746" s="1364"/>
      <c r="H746" s="1365"/>
      <c r="I746" s="1365"/>
      <c r="J746" s="1366"/>
      <c r="K746" s="1575"/>
      <c r="L746" s="1576"/>
      <c r="M746" s="1576"/>
      <c r="N746" s="1577"/>
      <c r="O746" s="1376"/>
      <c r="P746" s="1377"/>
      <c r="Q746" s="1377"/>
      <c r="R746" s="1377"/>
      <c r="S746" s="1378"/>
      <c r="T746" s="1376"/>
      <c r="U746" s="1377"/>
      <c r="V746" s="1377"/>
      <c r="W746" s="1378"/>
      <c r="X746" s="1358">
        <f t="shared" si="63"/>
        <v>0</v>
      </c>
      <c r="Y746" s="1359"/>
      <c r="Z746" s="1359"/>
      <c r="AA746" s="1359"/>
      <c r="AB746" s="1360"/>
      <c r="AC746" s="1379"/>
      <c r="AD746" s="1380"/>
      <c r="AE746" s="1380"/>
      <c r="AF746" s="1380"/>
      <c r="AG746" s="1381"/>
      <c r="AH746" s="1361" t="str">
        <f t="shared" si="62"/>
        <v/>
      </c>
      <c r="AI746" s="1362"/>
      <c r="AJ746" s="1363"/>
      <c r="AK746" s="1355" t="s">
        <v>599</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5"/>
      <c r="C747" s="1356"/>
      <c r="D747" s="1356"/>
      <c r="E747" s="1356"/>
      <c r="F747" s="1357"/>
      <c r="G747" s="1364"/>
      <c r="H747" s="1365"/>
      <c r="I747" s="1365"/>
      <c r="J747" s="1366"/>
      <c r="K747" s="1575"/>
      <c r="L747" s="1576"/>
      <c r="M747" s="1576"/>
      <c r="N747" s="1577"/>
      <c r="O747" s="1376"/>
      <c r="P747" s="1377"/>
      <c r="Q747" s="1377"/>
      <c r="R747" s="1377"/>
      <c r="S747" s="1378"/>
      <c r="T747" s="1376"/>
      <c r="U747" s="1377"/>
      <c r="V747" s="1377"/>
      <c r="W747" s="1378"/>
      <c r="X747" s="1358">
        <f t="shared" si="63"/>
        <v>0</v>
      </c>
      <c r="Y747" s="1359"/>
      <c r="Z747" s="1359"/>
      <c r="AA747" s="1359"/>
      <c r="AB747" s="1360"/>
      <c r="AC747" s="1379"/>
      <c r="AD747" s="1380"/>
      <c r="AE747" s="1380"/>
      <c r="AF747" s="1380"/>
      <c r="AG747" s="1381"/>
      <c r="AH747" s="1361" t="str">
        <f t="shared" si="62"/>
        <v/>
      </c>
      <c r="AI747" s="1362"/>
      <c r="AJ747" s="1363"/>
      <c r="AK747" s="1355" t="s">
        <v>599</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5"/>
      <c r="C748" s="1356"/>
      <c r="D748" s="1356"/>
      <c r="E748" s="1356"/>
      <c r="F748" s="1357"/>
      <c r="G748" s="1364"/>
      <c r="H748" s="1365"/>
      <c r="I748" s="1365"/>
      <c r="J748" s="1366"/>
      <c r="K748" s="1575"/>
      <c r="L748" s="1576"/>
      <c r="M748" s="1576"/>
      <c r="N748" s="1577"/>
      <c r="O748" s="1376"/>
      <c r="P748" s="1377"/>
      <c r="Q748" s="1377"/>
      <c r="R748" s="1377"/>
      <c r="S748" s="1378"/>
      <c r="T748" s="1376"/>
      <c r="U748" s="1377"/>
      <c r="V748" s="1377"/>
      <c r="W748" s="1378"/>
      <c r="X748" s="1358">
        <f t="shared" si="63"/>
        <v>0</v>
      </c>
      <c r="Y748" s="1359"/>
      <c r="Z748" s="1359"/>
      <c r="AA748" s="1359"/>
      <c r="AB748" s="1360"/>
      <c r="AC748" s="1379"/>
      <c r="AD748" s="1380"/>
      <c r="AE748" s="1380"/>
      <c r="AF748" s="1380"/>
      <c r="AG748" s="1381"/>
      <c r="AH748" s="1361" t="str">
        <f t="shared" si="62"/>
        <v/>
      </c>
      <c r="AI748" s="1362"/>
      <c r="AJ748" s="1363"/>
      <c r="AK748" s="1355" t="s">
        <v>599</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5"/>
      <c r="C749" s="1356"/>
      <c r="D749" s="1356"/>
      <c r="E749" s="1356"/>
      <c r="F749" s="1357"/>
      <c r="G749" s="1364"/>
      <c r="H749" s="1365"/>
      <c r="I749" s="1365"/>
      <c r="J749" s="1366"/>
      <c r="K749" s="1575"/>
      <c r="L749" s="1576"/>
      <c r="M749" s="1576"/>
      <c r="N749" s="1577"/>
      <c r="O749" s="1376"/>
      <c r="P749" s="1377"/>
      <c r="Q749" s="1377"/>
      <c r="R749" s="1377"/>
      <c r="S749" s="1378"/>
      <c r="T749" s="1376"/>
      <c r="U749" s="1377"/>
      <c r="V749" s="1377"/>
      <c r="W749" s="1378"/>
      <c r="X749" s="1358">
        <f t="shared" si="63"/>
        <v>0</v>
      </c>
      <c r="Y749" s="1359"/>
      <c r="Z749" s="1359"/>
      <c r="AA749" s="1359"/>
      <c r="AB749" s="1360"/>
      <c r="AC749" s="1379"/>
      <c r="AD749" s="1380"/>
      <c r="AE749" s="1380"/>
      <c r="AF749" s="1380"/>
      <c r="AG749" s="1381"/>
      <c r="AH749" s="1361" t="str">
        <f t="shared" si="62"/>
        <v/>
      </c>
      <c r="AI749" s="1362"/>
      <c r="AJ749" s="1363"/>
      <c r="AK749" s="1355" t="s">
        <v>599</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5"/>
      <c r="C750" s="1356"/>
      <c r="D750" s="1356"/>
      <c r="E750" s="1356"/>
      <c r="F750" s="1357"/>
      <c r="G750" s="1364"/>
      <c r="H750" s="1365"/>
      <c r="I750" s="1365"/>
      <c r="J750" s="1366"/>
      <c r="K750" s="1575"/>
      <c r="L750" s="1576"/>
      <c r="M750" s="1576"/>
      <c r="N750" s="1577"/>
      <c r="O750" s="1376"/>
      <c r="P750" s="1377"/>
      <c r="Q750" s="1377"/>
      <c r="R750" s="1377"/>
      <c r="S750" s="1378"/>
      <c r="T750" s="1376"/>
      <c r="U750" s="1377"/>
      <c r="V750" s="1377"/>
      <c r="W750" s="1378"/>
      <c r="X750" s="1358">
        <f t="shared" si="63"/>
        <v>0</v>
      </c>
      <c r="Y750" s="1359"/>
      <c r="Z750" s="1359"/>
      <c r="AA750" s="1359"/>
      <c r="AB750" s="1360"/>
      <c r="AC750" s="1379"/>
      <c r="AD750" s="1380"/>
      <c r="AE750" s="1380"/>
      <c r="AF750" s="1380"/>
      <c r="AG750" s="1381"/>
      <c r="AH750" s="1361" t="str">
        <f t="shared" si="62"/>
        <v/>
      </c>
      <c r="AI750" s="1362"/>
      <c r="AJ750" s="1363"/>
      <c r="AK750" s="1355" t="s">
        <v>599</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5"/>
      <c r="C751" s="1356"/>
      <c r="D751" s="1356"/>
      <c r="E751" s="1356"/>
      <c r="F751" s="1357"/>
      <c r="G751" s="1364"/>
      <c r="H751" s="1365"/>
      <c r="I751" s="1365"/>
      <c r="J751" s="1366"/>
      <c r="K751" s="1575"/>
      <c r="L751" s="1576"/>
      <c r="M751" s="1576"/>
      <c r="N751" s="1577"/>
      <c r="O751" s="1376"/>
      <c r="P751" s="1377"/>
      <c r="Q751" s="1377"/>
      <c r="R751" s="1377"/>
      <c r="S751" s="1378"/>
      <c r="T751" s="1376"/>
      <c r="U751" s="1377"/>
      <c r="V751" s="1377"/>
      <c r="W751" s="1378"/>
      <c r="X751" s="1358">
        <f t="shared" si="63"/>
        <v>0</v>
      </c>
      <c r="Y751" s="1359"/>
      <c r="Z751" s="1359"/>
      <c r="AA751" s="1359"/>
      <c r="AB751" s="1360"/>
      <c r="AC751" s="1379"/>
      <c r="AD751" s="1380"/>
      <c r="AE751" s="1380"/>
      <c r="AF751" s="1380"/>
      <c r="AG751" s="1381"/>
      <c r="AH751" s="1361" t="str">
        <f t="shared" si="62"/>
        <v/>
      </c>
      <c r="AI751" s="1362"/>
      <c r="AJ751" s="1363"/>
      <c r="AK751" s="1355" t="s">
        <v>599</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5"/>
      <c r="C752" s="1356"/>
      <c r="D752" s="1356"/>
      <c r="E752" s="1356"/>
      <c r="F752" s="1357"/>
      <c r="G752" s="1364"/>
      <c r="H752" s="1365"/>
      <c r="I752" s="1365"/>
      <c r="J752" s="1366"/>
      <c r="K752" s="1575"/>
      <c r="L752" s="1576"/>
      <c r="M752" s="1576"/>
      <c r="N752" s="1577"/>
      <c r="O752" s="1376"/>
      <c r="P752" s="1377"/>
      <c r="Q752" s="1377"/>
      <c r="R752" s="1377"/>
      <c r="S752" s="1378"/>
      <c r="T752" s="1376"/>
      <c r="U752" s="1377"/>
      <c r="V752" s="1377"/>
      <c r="W752" s="1378"/>
      <c r="X752" s="1358">
        <f>O752+T752</f>
        <v>0</v>
      </c>
      <c r="Y752" s="1359"/>
      <c r="Z752" s="1359"/>
      <c r="AA752" s="1359"/>
      <c r="AB752" s="1360"/>
      <c r="AC752" s="1379"/>
      <c r="AD752" s="1380"/>
      <c r="AE752" s="1380"/>
      <c r="AF752" s="1380"/>
      <c r="AG752" s="1381"/>
      <c r="AH752" s="1361" t="str">
        <f>IF($AC752&gt;0,($X752/$BA701), "")</f>
        <v/>
      </c>
      <c r="AI752" s="1362"/>
      <c r="AJ752" s="1363"/>
      <c r="AK752" s="1355" t="s">
        <v>599</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02" t="s">
        <v>125</v>
      </c>
      <c r="C753" s="1603"/>
      <c r="D753" s="1603"/>
      <c r="E753" s="1603"/>
      <c r="F753" s="1604"/>
      <c r="G753" s="1739">
        <f>SUM(G718:G752)</f>
        <v>46</v>
      </c>
      <c r="H753" s="1740"/>
      <c r="I753" s="1740"/>
      <c r="J753" s="1741"/>
      <c r="K753" s="937" t="s">
        <v>124</v>
      </c>
      <c r="L753" s="5"/>
      <c r="M753" s="5"/>
      <c r="N753" s="46"/>
      <c r="O753" s="1358">
        <f>SUMPRODUCT(G718:G752,O718:O752)</f>
        <v>33120</v>
      </c>
      <c r="P753" s="1359"/>
      <c r="Q753" s="1359"/>
      <c r="R753" s="1359"/>
      <c r="S753" s="1360"/>
      <c r="T753"/>
      <c r="U753"/>
      <c r="V753"/>
      <c r="W753"/>
      <c r="X753" s="939" t="s">
        <v>915</v>
      </c>
      <c r="Y753" s="938"/>
      <c r="Z753" s="938"/>
      <c r="AA753" s="938"/>
      <c r="AB753" s="940"/>
      <c r="AC753" s="1732">
        <f>BI703</f>
        <v>0.3</v>
      </c>
      <c r="AD753" s="1733"/>
      <c r="AE753" s="1733"/>
      <c r="AF753" s="1733"/>
      <c r="AG753" s="1734"/>
      <c r="AH753" s="1732">
        <f>IFERROR(BV703,"")</f>
        <v>0.27793498813624995</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69" t="s">
        <v>2181</v>
      </c>
      <c r="C754" s="1869"/>
      <c r="D754" s="1869"/>
      <c r="E754" s="1869"/>
      <c r="F754" s="1869"/>
      <c r="G754" s="1869"/>
      <c r="H754" s="1869"/>
      <c r="I754" s="1869"/>
      <c r="J754" s="1869"/>
      <c r="K754" s="1869"/>
      <c r="L754" s="1869"/>
      <c r="M754" s="1869"/>
      <c r="N754" s="1869"/>
      <c r="O754" s="1869"/>
      <c r="P754" s="1869"/>
      <c r="Q754" s="1869"/>
      <c r="R754" s="1869"/>
      <c r="S754" s="1869"/>
      <c r="T754" s="1869"/>
      <c r="U754" s="1869"/>
      <c r="V754" s="1869"/>
      <c r="W754" s="1869"/>
      <c r="X754" s="1869"/>
      <c r="Y754" s="1869"/>
      <c r="Z754" s="1869"/>
      <c r="AA754" s="1869"/>
      <c r="AB754" s="1869"/>
      <c r="AC754" s="1869"/>
      <c r="AD754" s="1869"/>
      <c r="AE754" s="1869"/>
      <c r="AF754" s="1869"/>
      <c r="AG754" s="1869"/>
      <c r="AH754" s="186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69"/>
      <c r="C755" s="1869"/>
      <c r="D755" s="1869"/>
      <c r="E755" s="1869"/>
      <c r="F755" s="1869"/>
      <c r="G755" s="1869"/>
      <c r="H755" s="1869"/>
      <c r="I755" s="1869"/>
      <c r="J755" s="1869"/>
      <c r="K755" s="1869"/>
      <c r="L755" s="1869"/>
      <c r="M755" s="1869"/>
      <c r="N755" s="1869"/>
      <c r="O755" s="1869"/>
      <c r="P755" s="1869"/>
      <c r="Q755" s="1869"/>
      <c r="R755" s="1869"/>
      <c r="S755" s="1869"/>
      <c r="T755" s="1869"/>
      <c r="U755" s="1869"/>
      <c r="V755" s="1869"/>
      <c r="W755" s="1869"/>
      <c r="X755" s="1869"/>
      <c r="Y755" s="1869"/>
      <c r="Z755" s="1869"/>
      <c r="AA755" s="1869"/>
      <c r="AB755" s="1869"/>
      <c r="AC755" s="1869"/>
      <c r="AD755" s="1869"/>
      <c r="AE755" s="1869"/>
      <c r="AF755" s="1869"/>
      <c r="AG755" s="1869"/>
      <c r="AH755" s="186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2179</v>
      </c>
      <c r="D756" s="1067"/>
      <c r="E756" s="1067"/>
      <c r="F756" s="1067"/>
      <c r="G756" s="1068"/>
      <c r="H756" s="1068"/>
      <c r="I756" s="1068"/>
      <c r="J756" s="1068"/>
      <c r="K756" s="1067"/>
      <c r="L756" s="1067"/>
      <c r="M756" s="1067"/>
      <c r="N756" s="1067"/>
      <c r="O756" s="1392">
        <f>CS634</f>
        <v>46</v>
      </c>
      <c r="P756" s="1392"/>
      <c r="Q756" s="1392"/>
      <c r="R756" s="1392"/>
      <c r="S756" s="1004"/>
      <c r="T756" s="1004"/>
      <c r="U756" s="118" t="s">
        <v>2180</v>
      </c>
      <c r="V756" s="1067"/>
      <c r="W756" s="1067"/>
      <c r="X756" s="1067"/>
      <c r="Y756" s="1068"/>
      <c r="Z756" s="1068"/>
      <c r="AA756" s="1068"/>
      <c r="AB756" s="1068"/>
      <c r="AC756" s="1067"/>
      <c r="AD756" s="1067"/>
      <c r="AE756" s="1067"/>
      <c r="AF756" s="1067"/>
      <c r="AG756" s="1743">
        <v>46</v>
      </c>
      <c r="AH756" s="1743"/>
      <c r="AI756" s="1743"/>
      <c r="AJ756" s="174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7" t="str">
        <f>IF(G753&lt;&gt;AG440,"! Total Low-Income Units in the Unit Mix Table above does not match the number of Total Low-Income Units on row #"&amp;TEXT(ROW(D440),"#"),"")</f>
        <v/>
      </c>
      <c r="D757" s="1867"/>
      <c r="E757" s="1867"/>
      <c r="F757" s="1867"/>
      <c r="G757" s="1867"/>
      <c r="H757" s="1867"/>
      <c r="I757" s="1867"/>
      <c r="J757" s="1867"/>
      <c r="K757" s="1867"/>
      <c r="L757" s="1867"/>
      <c r="M757" s="1867"/>
      <c r="N757" s="1867"/>
      <c r="O757" s="1867"/>
      <c r="P757" s="1867"/>
      <c r="Q757" s="1867"/>
      <c r="R757" s="1867"/>
      <c r="S757" s="1867"/>
      <c r="T757" s="1867"/>
      <c r="U757" s="1867"/>
      <c r="V757" s="1867"/>
      <c r="W757" s="1867"/>
      <c r="X757" s="1867"/>
      <c r="Y757" s="1867"/>
      <c r="Z757" s="1867"/>
      <c r="AA757" s="1867"/>
      <c r="AB757" s="1867"/>
      <c r="AC757" s="1867"/>
      <c r="AD757" s="1867"/>
      <c r="AE757" s="1867"/>
      <c r="AF757" s="1867"/>
      <c r="AG757" s="1867"/>
      <c r="AH757" s="1867"/>
      <c r="AI757" s="1867"/>
      <c r="AJ757" s="1867"/>
      <c r="AK757" s="1867"/>
      <c r="AL757" s="1867"/>
      <c r="AM757" s="186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7"/>
      <c r="D758" s="1867"/>
      <c r="E758" s="1867"/>
      <c r="F758" s="1867"/>
      <c r="G758" s="1867"/>
      <c r="H758" s="1867"/>
      <c r="I758" s="1867"/>
      <c r="J758" s="1867"/>
      <c r="K758" s="1867"/>
      <c r="L758" s="1867"/>
      <c r="M758" s="1867"/>
      <c r="N758" s="1867"/>
      <c r="O758" s="1867"/>
      <c r="P758" s="1867"/>
      <c r="Q758" s="1867"/>
      <c r="R758" s="1867"/>
      <c r="S758" s="1867"/>
      <c r="T758" s="1867"/>
      <c r="U758" s="1867"/>
      <c r="V758" s="1867"/>
      <c r="W758" s="1867"/>
      <c r="X758" s="1867"/>
      <c r="Y758" s="1867"/>
      <c r="Z758" s="1867"/>
      <c r="AA758" s="1867"/>
      <c r="AB758" s="1867"/>
      <c r="AC758" s="1867"/>
      <c r="AD758" s="1867"/>
      <c r="AE758" s="1867"/>
      <c r="AF758" s="1867"/>
      <c r="AG758" s="1867"/>
      <c r="AH758" s="1867"/>
      <c r="AI758" s="1867"/>
      <c r="AJ758" s="1867"/>
      <c r="AK758" s="1867"/>
      <c r="AL758" s="1867"/>
      <c r="AM758" s="186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42" t="s">
        <v>599</v>
      </c>
      <c r="AE759" s="1742"/>
      <c r="AF759" s="174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2" t="s">
        <v>2404</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2" t="s">
        <v>2405</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14" t="s">
        <v>389</v>
      </c>
      <c r="K769" s="1368"/>
      <c r="L769" s="1368"/>
      <c r="M769" s="1368"/>
      <c r="N769" s="1369"/>
      <c r="O769" s="1738" t="s">
        <v>286</v>
      </c>
      <c r="P769" s="1738"/>
      <c r="Q769" s="1738"/>
      <c r="R769" s="1738"/>
      <c r="S769" s="1738"/>
      <c r="T769" s="1382" t="s">
        <v>1866</v>
      </c>
      <c r="U769" s="1383"/>
      <c r="V769" s="1383"/>
      <c r="W769" s="1384"/>
      <c r="X769" s="1514" t="s">
        <v>455</v>
      </c>
      <c r="Y769" s="1368"/>
      <c r="Z769" s="1368"/>
      <c r="AA769" s="1368"/>
      <c r="AB769" s="1369"/>
      <c r="AC769" s="1514" t="s">
        <v>287</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0"/>
      <c r="K770" s="1371"/>
      <c r="L770" s="1371"/>
      <c r="M770" s="1371"/>
      <c r="N770" s="1372"/>
      <c r="O770" s="1738"/>
      <c r="P770" s="1738"/>
      <c r="Q770" s="1738"/>
      <c r="R770" s="1738"/>
      <c r="S770" s="1738"/>
      <c r="T770" s="1385"/>
      <c r="U770" s="1386"/>
      <c r="V770" s="1386"/>
      <c r="W770" s="1387"/>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0"/>
      <c r="K771" s="1371"/>
      <c r="L771" s="1371"/>
      <c r="M771" s="1371"/>
      <c r="N771" s="1372"/>
      <c r="O771" s="1738"/>
      <c r="P771" s="1738"/>
      <c r="Q771" s="1738"/>
      <c r="R771" s="1738"/>
      <c r="S771" s="1738"/>
      <c r="T771" s="1385"/>
      <c r="U771" s="1386"/>
      <c r="V771" s="1386"/>
      <c r="W771" s="1387"/>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3"/>
      <c r="K772" s="1374"/>
      <c r="L772" s="1374"/>
      <c r="M772" s="1374"/>
      <c r="N772" s="1375"/>
      <c r="O772" s="1738"/>
      <c r="P772" s="1738"/>
      <c r="Q772" s="1738"/>
      <c r="R772" s="1738"/>
      <c r="S772" s="1738"/>
      <c r="T772" s="1599"/>
      <c r="U772" s="1600"/>
      <c r="V772" s="1600"/>
      <c r="W772" s="1601"/>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5"/>
      <c r="K773" s="1356"/>
      <c r="L773" s="1356"/>
      <c r="M773" s="1356"/>
      <c r="N773" s="1357"/>
      <c r="O773" s="1489"/>
      <c r="P773" s="1489"/>
      <c r="Q773" s="1489"/>
      <c r="R773" s="1489"/>
      <c r="S773" s="1489"/>
      <c r="T773" s="1575" t="s">
        <v>2743</v>
      </c>
      <c r="U773" s="1576"/>
      <c r="V773" s="1576"/>
      <c r="W773" s="1577"/>
      <c r="X773" s="1376"/>
      <c r="Y773" s="1377"/>
      <c r="Z773" s="1377"/>
      <c r="AA773" s="1377"/>
      <c r="AB773" s="1378"/>
      <c r="AC773" s="1358">
        <f>X773*O773</f>
        <v>0</v>
      </c>
      <c r="AD773" s="1359"/>
      <c r="AE773" s="1359"/>
      <c r="AF773" s="1359"/>
      <c r="AG773" s="136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5"/>
      <c r="K774" s="1356"/>
      <c r="L774" s="1356"/>
      <c r="M774" s="1356"/>
      <c r="N774" s="1357"/>
      <c r="O774" s="1489"/>
      <c r="P774" s="1489"/>
      <c r="Q774" s="1489"/>
      <c r="R774" s="1489"/>
      <c r="S774" s="1489"/>
      <c r="T774" s="1575"/>
      <c r="U774" s="1576"/>
      <c r="V774" s="1576"/>
      <c r="W774" s="1577"/>
      <c r="X774" s="1376"/>
      <c r="Y774" s="1377"/>
      <c r="Z774" s="1377"/>
      <c r="AA774" s="1377"/>
      <c r="AB774" s="1378"/>
      <c r="AC774" s="1358">
        <f>X774*O774</f>
        <v>0</v>
      </c>
      <c r="AD774" s="1359"/>
      <c r="AE774" s="1359"/>
      <c r="AF774" s="1359"/>
      <c r="AG774" s="136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5"/>
      <c r="K775" s="1356"/>
      <c r="L775" s="1356"/>
      <c r="M775" s="1356"/>
      <c r="N775" s="1357"/>
      <c r="O775" s="1489"/>
      <c r="P775" s="1489"/>
      <c r="Q775" s="1489"/>
      <c r="R775" s="1489"/>
      <c r="S775" s="1489"/>
      <c r="T775" s="1575"/>
      <c r="U775" s="1576"/>
      <c r="V775" s="1576"/>
      <c r="W775" s="1577"/>
      <c r="X775" s="1376"/>
      <c r="Y775" s="1377"/>
      <c r="Z775" s="1377"/>
      <c r="AA775" s="1377"/>
      <c r="AB775" s="1378"/>
      <c r="AC775" s="1358">
        <f>X775*O775</f>
        <v>0</v>
      </c>
      <c r="AD775" s="1359"/>
      <c r="AE775" s="1359"/>
      <c r="AF775" s="1359"/>
      <c r="AG775" s="136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5"/>
      <c r="K776" s="1356"/>
      <c r="L776" s="1356"/>
      <c r="M776" s="1356"/>
      <c r="N776" s="1357"/>
      <c r="O776" s="1489"/>
      <c r="P776" s="1489"/>
      <c r="Q776" s="1489"/>
      <c r="R776" s="1489"/>
      <c r="S776" s="1489"/>
      <c r="T776" s="1575"/>
      <c r="U776" s="1576"/>
      <c r="V776" s="1576"/>
      <c r="W776" s="1577"/>
      <c r="X776" s="1376"/>
      <c r="Y776" s="1377"/>
      <c r="Z776" s="1377"/>
      <c r="AA776" s="1377"/>
      <c r="AB776" s="1378"/>
      <c r="AC776" s="1358">
        <f>X776*O776</f>
        <v>0</v>
      </c>
      <c r="AD776" s="1359"/>
      <c r="AE776" s="1359"/>
      <c r="AF776" s="1359"/>
      <c r="AG776" s="136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02" t="s">
        <v>125</v>
      </c>
      <c r="K777" s="1603"/>
      <c r="L777" s="1603"/>
      <c r="M777" s="1603"/>
      <c r="N777" s="1604"/>
      <c r="O777" s="1398">
        <f>SUM(O773:S776)</f>
        <v>0</v>
      </c>
      <c r="P777" s="1517"/>
      <c r="Q777" s="1517"/>
      <c r="R777" s="1517"/>
      <c r="S777" s="1399"/>
      <c r="X777" s="1602" t="s">
        <v>124</v>
      </c>
      <c r="Y777" s="1603"/>
      <c r="Z777" s="1603"/>
      <c r="AA777" s="1603"/>
      <c r="AB777" s="1604"/>
      <c r="AC777" s="1358">
        <f>SUM(AC773:AG776)</f>
        <v>0</v>
      </c>
      <c r="AD777" s="1359"/>
      <c r="AE777" s="1359"/>
      <c r="AF777" s="1359"/>
      <c r="AG777" s="136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36" t="s">
        <v>677</v>
      </c>
      <c r="K779" s="1436"/>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14" t="s">
        <v>389</v>
      </c>
      <c r="K783" s="1368"/>
      <c r="L783" s="1368"/>
      <c r="M783" s="1368"/>
      <c r="N783" s="1369"/>
      <c r="O783" s="1738" t="s">
        <v>286</v>
      </c>
      <c r="P783" s="1738"/>
      <c r="Q783" s="1738"/>
      <c r="R783" s="1738"/>
      <c r="S783" s="1738"/>
      <c r="T783" s="1382" t="s">
        <v>1866</v>
      </c>
      <c r="U783" s="1383"/>
      <c r="V783" s="1383"/>
      <c r="W783" s="1384"/>
      <c r="X783" s="1514" t="s">
        <v>455</v>
      </c>
      <c r="Y783" s="1368"/>
      <c r="Z783" s="1368"/>
      <c r="AA783" s="1368"/>
      <c r="AB783" s="1369"/>
      <c r="AC783" s="1514" t="s">
        <v>287</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0"/>
      <c r="K784" s="1371"/>
      <c r="L784" s="1371"/>
      <c r="M784" s="1371"/>
      <c r="N784" s="1372"/>
      <c r="O784" s="1738"/>
      <c r="P784" s="1738"/>
      <c r="Q784" s="1738"/>
      <c r="R784" s="1738"/>
      <c r="S784" s="1738"/>
      <c r="T784" s="1385"/>
      <c r="U784" s="1386"/>
      <c r="V784" s="1386"/>
      <c r="W784" s="1387"/>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0"/>
      <c r="K785" s="1371"/>
      <c r="L785" s="1371"/>
      <c r="M785" s="1371"/>
      <c r="N785" s="1372"/>
      <c r="O785" s="1738"/>
      <c r="P785" s="1738"/>
      <c r="Q785" s="1738"/>
      <c r="R785" s="1738"/>
      <c r="S785" s="1738"/>
      <c r="T785" s="1385"/>
      <c r="U785" s="1386"/>
      <c r="V785" s="1386"/>
      <c r="W785" s="1387"/>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3"/>
      <c r="K786" s="1374"/>
      <c r="L786" s="1374"/>
      <c r="M786" s="1374"/>
      <c r="N786" s="1375"/>
      <c r="O786" s="1738"/>
      <c r="P786" s="1738"/>
      <c r="Q786" s="1738"/>
      <c r="R786" s="1738"/>
      <c r="S786" s="1738"/>
      <c r="T786" s="1599"/>
      <c r="U786" s="1600"/>
      <c r="V786" s="1600"/>
      <c r="W786" s="1601"/>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5"/>
      <c r="K787" s="1356"/>
      <c r="L787" s="1356"/>
      <c r="M787" s="1356"/>
      <c r="N787" s="1357"/>
      <c r="O787" s="1489"/>
      <c r="P787" s="1489"/>
      <c r="Q787" s="1489"/>
      <c r="R787" s="1489"/>
      <c r="S787" s="1489"/>
      <c r="T787" s="1575"/>
      <c r="U787" s="1576"/>
      <c r="V787" s="1576"/>
      <c r="W787" s="1577"/>
      <c r="X787" s="1376"/>
      <c r="Y787" s="1377"/>
      <c r="Z787" s="1377"/>
      <c r="AA787" s="1377"/>
      <c r="AB787" s="1378"/>
      <c r="AC787" s="1358">
        <f t="shared" ref="AC787:AC796" si="64">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5"/>
      <c r="K788" s="1356"/>
      <c r="L788" s="1356"/>
      <c r="M788" s="1356"/>
      <c r="N788" s="1357"/>
      <c r="O788" s="1489"/>
      <c r="P788" s="1489"/>
      <c r="Q788" s="1489"/>
      <c r="R788" s="1489"/>
      <c r="S788" s="1489"/>
      <c r="T788" s="1575"/>
      <c r="U788" s="1576"/>
      <c r="V788" s="1576"/>
      <c r="W788" s="1577"/>
      <c r="X788" s="1376"/>
      <c r="Y788" s="1377"/>
      <c r="Z788" s="1377"/>
      <c r="AA788" s="1377"/>
      <c r="AB788" s="1378"/>
      <c r="AC788" s="1358">
        <f t="shared" si="64"/>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5"/>
      <c r="K789" s="1356"/>
      <c r="L789" s="1356"/>
      <c r="M789" s="1356"/>
      <c r="N789" s="1357"/>
      <c r="O789" s="1489"/>
      <c r="P789" s="1489"/>
      <c r="Q789" s="1489"/>
      <c r="R789" s="1489"/>
      <c r="S789" s="1489"/>
      <c r="T789" s="1575"/>
      <c r="U789" s="1576"/>
      <c r="V789" s="1576"/>
      <c r="W789" s="1577"/>
      <c r="X789" s="1376"/>
      <c r="Y789" s="1377"/>
      <c r="Z789" s="1377"/>
      <c r="AA789" s="1377"/>
      <c r="AB789" s="1378"/>
      <c r="AC789" s="1358">
        <f t="shared" si="64"/>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5"/>
      <c r="K790" s="1356"/>
      <c r="L790" s="1356"/>
      <c r="M790" s="1356"/>
      <c r="N790" s="1357"/>
      <c r="O790" s="1489"/>
      <c r="P790" s="1489"/>
      <c r="Q790" s="1489"/>
      <c r="R790" s="1489"/>
      <c r="S790" s="1489"/>
      <c r="T790" s="1575"/>
      <c r="U790" s="1576"/>
      <c r="V790" s="1576"/>
      <c r="W790" s="1577"/>
      <c r="X790" s="1376"/>
      <c r="Y790" s="1377"/>
      <c r="Z790" s="1377"/>
      <c r="AA790" s="1377"/>
      <c r="AB790" s="1378"/>
      <c r="AC790" s="1358">
        <f t="shared" si="64"/>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5"/>
      <c r="K791" s="1356"/>
      <c r="L791" s="1356"/>
      <c r="M791" s="1356"/>
      <c r="N791" s="1357"/>
      <c r="O791" s="1489"/>
      <c r="P791" s="1489"/>
      <c r="Q791" s="1489"/>
      <c r="R791" s="1489"/>
      <c r="S791" s="1489"/>
      <c r="T791" s="1575"/>
      <c r="U791" s="1576"/>
      <c r="V791" s="1576"/>
      <c r="W791" s="1577"/>
      <c r="X791" s="1376"/>
      <c r="Y791" s="1377"/>
      <c r="Z791" s="1377"/>
      <c r="AA791" s="1377"/>
      <c r="AB791" s="1378"/>
      <c r="AC791" s="1358">
        <f t="shared" si="64"/>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5"/>
      <c r="K792" s="1356"/>
      <c r="L792" s="1356"/>
      <c r="M792" s="1356"/>
      <c r="N792" s="1357"/>
      <c r="O792" s="1489"/>
      <c r="P792" s="1489"/>
      <c r="Q792" s="1489"/>
      <c r="R792" s="1489"/>
      <c r="S792" s="1489"/>
      <c r="T792" s="1575"/>
      <c r="U792" s="1576"/>
      <c r="V792" s="1576"/>
      <c r="W792" s="1577"/>
      <c r="X792" s="1376"/>
      <c r="Y792" s="1377"/>
      <c r="Z792" s="1377"/>
      <c r="AA792" s="1377"/>
      <c r="AB792" s="1378"/>
      <c r="AC792" s="1358">
        <f t="shared" si="64"/>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5"/>
      <c r="K793" s="1356"/>
      <c r="L793" s="1356"/>
      <c r="M793" s="1356"/>
      <c r="N793" s="1357"/>
      <c r="O793" s="1489"/>
      <c r="P793" s="1489"/>
      <c r="Q793" s="1489"/>
      <c r="R793" s="1489"/>
      <c r="S793" s="1489"/>
      <c r="T793" s="1575"/>
      <c r="U793" s="1576"/>
      <c r="V793" s="1576"/>
      <c r="W793" s="1577"/>
      <c r="X793" s="1376"/>
      <c r="Y793" s="1377"/>
      <c r="Z793" s="1377"/>
      <c r="AA793" s="1377"/>
      <c r="AB793" s="1378"/>
      <c r="AC793" s="1358">
        <f t="shared" si="64"/>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5"/>
      <c r="K794" s="1356"/>
      <c r="L794" s="1356"/>
      <c r="M794" s="1356"/>
      <c r="N794" s="1357"/>
      <c r="O794" s="1489"/>
      <c r="P794" s="1489"/>
      <c r="Q794" s="1489"/>
      <c r="R794" s="1489"/>
      <c r="S794" s="1489"/>
      <c r="T794" s="1575"/>
      <c r="U794" s="1576"/>
      <c r="V794" s="1576"/>
      <c r="W794" s="1577"/>
      <c r="X794" s="1376"/>
      <c r="Y794" s="1377"/>
      <c r="Z794" s="1377"/>
      <c r="AA794" s="1377"/>
      <c r="AB794" s="1378"/>
      <c r="AC794" s="1358">
        <f t="shared" si="64"/>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5"/>
      <c r="K795" s="1356"/>
      <c r="L795" s="1356"/>
      <c r="M795" s="1356"/>
      <c r="N795" s="1357"/>
      <c r="O795" s="1489"/>
      <c r="P795" s="1489"/>
      <c r="Q795" s="1489"/>
      <c r="R795" s="1489"/>
      <c r="S795" s="1489"/>
      <c r="T795" s="1575"/>
      <c r="U795" s="1576"/>
      <c r="V795" s="1576"/>
      <c r="W795" s="1577"/>
      <c r="X795" s="1376"/>
      <c r="Y795" s="1377"/>
      <c r="Z795" s="1377"/>
      <c r="AA795" s="1377"/>
      <c r="AB795" s="1378"/>
      <c r="AC795" s="1358">
        <f t="shared" si="64"/>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5"/>
      <c r="K796" s="1356"/>
      <c r="L796" s="1356"/>
      <c r="M796" s="1356"/>
      <c r="N796" s="1357"/>
      <c r="O796" s="1489"/>
      <c r="P796" s="1489"/>
      <c r="Q796" s="1489"/>
      <c r="R796" s="1489"/>
      <c r="S796" s="1489"/>
      <c r="T796" s="1575"/>
      <c r="U796" s="1576"/>
      <c r="V796" s="1576"/>
      <c r="W796" s="1577"/>
      <c r="X796" s="1376"/>
      <c r="Y796" s="1377"/>
      <c r="Z796" s="1377"/>
      <c r="AA796" s="1377"/>
      <c r="AB796" s="1378"/>
      <c r="AC796" s="1358">
        <f t="shared" si="64"/>
        <v>0</v>
      </c>
      <c r="AD796" s="1359"/>
      <c r="AE796" s="1359"/>
      <c r="AF796" s="1359"/>
      <c r="AG796" s="136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22" t="s">
        <v>477</v>
      </c>
      <c r="BO796" s="1723"/>
      <c r="BP796" s="3"/>
      <c r="BQ796" s="3"/>
      <c r="BR796" s="3"/>
      <c r="BS796" s="14" t="s">
        <v>642</v>
      </c>
      <c r="BT796" s="14"/>
      <c r="BU796" s="14"/>
      <c r="BV796" s="14"/>
      <c r="BW796" s="14"/>
      <c r="BX796" s="14"/>
      <c r="BY796" s="14"/>
      <c r="BZ796" s="14"/>
      <c r="CA796" s="14"/>
      <c r="CB796" s="1719" t="str">
        <f>T189</f>
        <v>Alameda</v>
      </c>
      <c r="CC796" s="1720"/>
      <c r="CD796" s="1720"/>
      <c r="CE796" s="1720"/>
      <c r="CF796" s="1720"/>
      <c r="CG796" s="1720"/>
      <c r="CH796" s="172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02" t="s">
        <v>125</v>
      </c>
      <c r="K797" s="1603"/>
      <c r="L797" s="1603"/>
      <c r="M797" s="1603"/>
      <c r="N797" s="1604"/>
      <c r="O797" s="1712">
        <f>SUM(O787:S796)</f>
        <v>0</v>
      </c>
      <c r="P797" s="1712"/>
      <c r="Q797" s="1712"/>
      <c r="R797" s="1712"/>
      <c r="S797" s="1712"/>
      <c r="T797"/>
      <c r="U797"/>
      <c r="V797"/>
      <c r="W797"/>
      <c r="X797" s="937" t="s">
        <v>124</v>
      </c>
      <c r="Y797" s="11"/>
      <c r="Z797" s="11"/>
      <c r="AA797" s="11"/>
      <c r="AB797" s="944"/>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45" t="str">
        <f>IF(O797&lt;&gt;AG438,"! Total market rate units in the Unit Mix Table above does not match the number of  market rate units on row #"&amp;TEXT(ROW(D438),"#"),"")</f>
        <v/>
      </c>
      <c r="D798" s="1445"/>
      <c r="E798" s="1445"/>
      <c r="F798" s="1445"/>
      <c r="G798" s="1445"/>
      <c r="H798" s="1445"/>
      <c r="I798" s="1445"/>
      <c r="J798" s="1445"/>
      <c r="K798" s="1445"/>
      <c r="L798" s="1445"/>
      <c r="M798" s="1445"/>
      <c r="N798" s="1445"/>
      <c r="O798" s="1445"/>
      <c r="P798" s="1445"/>
      <c r="Q798" s="1445"/>
      <c r="R798" s="1445"/>
      <c r="S798" s="1445"/>
      <c r="T798" s="1445"/>
      <c r="U798" s="1445"/>
      <c r="V798" s="1445"/>
      <c r="W798" s="1445"/>
      <c r="X798" s="1445"/>
      <c r="Y798" s="1445"/>
      <c r="Z798" s="1445"/>
      <c r="AA798" s="1445"/>
      <c r="AB798" s="1445"/>
      <c r="AC798" s="1445"/>
      <c r="AD798" s="1445"/>
      <c r="AE798" s="1445"/>
      <c r="AF798" s="1445"/>
      <c r="AG798" s="1445"/>
      <c r="AH798" s="1445"/>
      <c r="AI798" s="1445"/>
      <c r="AJ798" s="1445"/>
      <c r="AK798" s="1445"/>
      <c r="AL798" s="1445"/>
      <c r="AM798" s="1445"/>
      <c r="AN798" s="144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45"/>
      <c r="D799" s="1445"/>
      <c r="E799" s="1445"/>
      <c r="F799" s="1445"/>
      <c r="G799" s="1445"/>
      <c r="H799" s="1445"/>
      <c r="I799" s="1445"/>
      <c r="J799" s="1445"/>
      <c r="K799" s="1445"/>
      <c r="L799" s="1445"/>
      <c r="M799" s="1445"/>
      <c r="N799" s="1445"/>
      <c r="O799" s="1445"/>
      <c r="P799" s="1445"/>
      <c r="Q799" s="1445"/>
      <c r="R799" s="1445"/>
      <c r="S799" s="1445"/>
      <c r="T799" s="1445"/>
      <c r="U799" s="1445"/>
      <c r="V799" s="1445"/>
      <c r="W799" s="1445"/>
      <c r="X799" s="1445"/>
      <c r="Y799" s="1445"/>
      <c r="Z799" s="1445"/>
      <c r="AA799" s="1445"/>
      <c r="AB799" s="1445"/>
      <c r="AC799" s="1445"/>
      <c r="AD799" s="1445"/>
      <c r="AE799" s="1445"/>
      <c r="AF799" s="1445"/>
      <c r="AG799" s="1445"/>
      <c r="AH799" s="1445"/>
      <c r="AI799" s="1445"/>
      <c r="AJ799" s="1445"/>
      <c r="AK799" s="1445"/>
      <c r="AL799" s="1445"/>
      <c r="AM799" s="1445"/>
      <c r="AN799" s="144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33120</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397440</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4">
        <v>40</v>
      </c>
      <c r="AA806" s="1597"/>
      <c r="AB806" s="1597"/>
      <c r="AC806" s="1597"/>
      <c r="AD806" s="1597"/>
      <c r="AE806" s="159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6">
        <v>30</v>
      </c>
      <c r="AA807" s="1597"/>
      <c r="AB807" s="1597"/>
      <c r="AC807" s="1597"/>
      <c r="AD807" s="1597"/>
      <c r="AE807" s="159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t="s">
        <v>2744</v>
      </c>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732960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2">
        <v>0</v>
      </c>
      <c r="AA813" s="1583"/>
      <c r="AB813" s="1583"/>
      <c r="AC813" s="1583"/>
      <c r="AD813" s="1583"/>
      <c r="AE813" s="158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2"/>
      <c r="AA814" s="1583"/>
      <c r="AB814" s="1583"/>
      <c r="AC814" s="1583"/>
      <c r="AD814" s="1583"/>
      <c r="AE814" s="158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2"/>
      <c r="AA815" s="1583"/>
      <c r="AB815" s="1583"/>
      <c r="AC815" s="1583"/>
      <c r="AD815" s="1583"/>
      <c r="AE815" s="158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6" t="s">
        <v>599</v>
      </c>
      <c r="Q816" s="1617"/>
      <c r="R816" s="1617"/>
      <c r="S816" s="1617"/>
      <c r="T816" s="1617"/>
      <c r="U816" s="1617"/>
      <c r="V816" s="1617"/>
      <c r="W816" s="1617"/>
      <c r="X816" s="1617"/>
      <c r="Y816" s="1618"/>
      <c r="Z816" s="1582"/>
      <c r="AA816" s="1583"/>
      <c r="AB816" s="1583"/>
      <c r="AC816" s="1583"/>
      <c r="AD816" s="1583"/>
      <c r="AE816" s="158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0">
        <f>Z817+Y801+Z809</f>
        <v>1130400</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36" t="s">
        <v>126</v>
      </c>
      <c r="N823" s="1736"/>
      <c r="O823" s="1736"/>
      <c r="P823" s="1737"/>
      <c r="Q823" s="1595" t="s">
        <v>291</v>
      </c>
      <c r="R823" s="1595"/>
      <c r="S823" s="1595"/>
      <c r="T823" s="1595"/>
      <c r="U823" s="1595" t="s">
        <v>292</v>
      </c>
      <c r="V823" s="1595"/>
      <c r="W823" s="1595"/>
      <c r="X823" s="1595"/>
      <c r="Y823" s="1595" t="s">
        <v>293</v>
      </c>
      <c r="Z823" s="1595"/>
      <c r="AA823" s="1595"/>
      <c r="AB823" s="1595"/>
      <c r="AC823" s="1595" t="s">
        <v>361</v>
      </c>
      <c r="AD823" s="1595"/>
      <c r="AE823" s="1595"/>
      <c r="AF823" s="1595"/>
      <c r="AG823" s="1606" t="s">
        <v>2798</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48"/>
      <c r="N824" s="1648"/>
      <c r="O824" s="1648"/>
      <c r="P824" s="1649"/>
      <c r="Q824" s="1595"/>
      <c r="R824" s="1595"/>
      <c r="S824" s="1595"/>
      <c r="T824" s="1595"/>
      <c r="U824" s="1595"/>
      <c r="V824" s="1595"/>
      <c r="W824" s="1595"/>
      <c r="X824" s="1595"/>
      <c r="Y824" s="1595"/>
      <c r="Z824" s="1595"/>
      <c r="AA824" s="1595"/>
      <c r="AB824" s="1595"/>
      <c r="AC824" s="1595"/>
      <c r="AD824" s="1595"/>
      <c r="AE824" s="1595"/>
      <c r="AF824" s="1595"/>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4" t="s">
        <v>40</v>
      </c>
      <c r="D825" s="1516"/>
      <c r="E825" s="1516"/>
      <c r="F825" s="1516"/>
      <c r="G825" s="1516"/>
      <c r="H825" s="1516"/>
      <c r="I825" s="48"/>
      <c r="J825" s="48"/>
      <c r="K825" s="48"/>
      <c r="L825" s="49"/>
      <c r="M825" s="1593">
        <f>13</f>
        <v>13</v>
      </c>
      <c r="N825" s="1593"/>
      <c r="O825" s="1593"/>
      <c r="P825" s="1593"/>
      <c r="Q825" s="1593">
        <f>15</f>
        <v>15</v>
      </c>
      <c r="R825" s="1593"/>
      <c r="S825" s="1593"/>
      <c r="T825" s="1593"/>
      <c r="U825" s="1593">
        <f>19</f>
        <v>19</v>
      </c>
      <c r="V825" s="1593"/>
      <c r="W825" s="1593"/>
      <c r="X825" s="1593"/>
      <c r="Y825" s="1593">
        <f>24</f>
        <v>24</v>
      </c>
      <c r="Z825" s="1593"/>
      <c r="AA825" s="1593"/>
      <c r="AB825" s="1593"/>
      <c r="AC825" s="1586">
        <f>28</f>
        <v>28</v>
      </c>
      <c r="AD825" s="1587"/>
      <c r="AE825" s="1587"/>
      <c r="AF825" s="1588"/>
      <c r="AG825" s="1586">
        <f>32</f>
        <v>32</v>
      </c>
      <c r="AH825" s="1587"/>
      <c r="AI825" s="1587"/>
      <c r="AJ825" s="158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81" t="s">
        <v>41</v>
      </c>
      <c r="D826" s="1433"/>
      <c r="E826" s="1433"/>
      <c r="F826" s="1433"/>
      <c r="G826" s="1433"/>
      <c r="H826" s="1433"/>
      <c r="I826" s="5"/>
      <c r="J826" s="5"/>
      <c r="K826" s="5"/>
      <c r="L826" s="46"/>
      <c r="M826" s="1593"/>
      <c r="N826" s="1593"/>
      <c r="O826" s="1593"/>
      <c r="P826" s="1593"/>
      <c r="Q826" s="1593"/>
      <c r="R826" s="1593"/>
      <c r="S826" s="1593"/>
      <c r="T826" s="1593"/>
      <c r="U826" s="1593"/>
      <c r="V826" s="1593"/>
      <c r="W826" s="1593"/>
      <c r="X826" s="1593"/>
      <c r="Y826" s="1593"/>
      <c r="Z826" s="1593"/>
      <c r="AA826" s="1593"/>
      <c r="AB826" s="1593"/>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81" t="s">
        <v>42</v>
      </c>
      <c r="D827" s="1433"/>
      <c r="E827" s="1433"/>
      <c r="F827" s="1433"/>
      <c r="G827" s="1433"/>
      <c r="H827" s="1433"/>
      <c r="I827" s="60"/>
      <c r="J827" s="60"/>
      <c r="K827" s="60"/>
      <c r="L827" s="61"/>
      <c r="M827" s="1593">
        <f>5</f>
        <v>5</v>
      </c>
      <c r="N827" s="1593"/>
      <c r="O827" s="1593"/>
      <c r="P827" s="1593"/>
      <c r="Q827" s="1593">
        <f>6</f>
        <v>6</v>
      </c>
      <c r="R827" s="1593"/>
      <c r="S827" s="1593"/>
      <c r="T827" s="1593"/>
      <c r="U827" s="1593">
        <f>9</f>
        <v>9</v>
      </c>
      <c r="V827" s="1593"/>
      <c r="W827" s="1593"/>
      <c r="X827" s="1593"/>
      <c r="Y827" s="1593">
        <f>12</f>
        <v>12</v>
      </c>
      <c r="Z827" s="1593"/>
      <c r="AA827" s="1593"/>
      <c r="AB827" s="1593"/>
      <c r="AC827" s="1586">
        <f>15</f>
        <v>15</v>
      </c>
      <c r="AD827" s="1587"/>
      <c r="AE827" s="1587"/>
      <c r="AF827" s="1588"/>
      <c r="AG827" s="1586">
        <f>18</f>
        <v>18</v>
      </c>
      <c r="AH827" s="1587"/>
      <c r="AI827" s="1587"/>
      <c r="AJ827" s="158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81" t="s">
        <v>771</v>
      </c>
      <c r="D828" s="1433"/>
      <c r="E828" s="1433"/>
      <c r="F828" s="1433"/>
      <c r="G828" s="1433"/>
      <c r="H828" s="1433"/>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81" t="s">
        <v>467</v>
      </c>
      <c r="D829" s="1433"/>
      <c r="E829" s="1433"/>
      <c r="F829" s="1433"/>
      <c r="G829" s="1433"/>
      <c r="H829" s="1433"/>
      <c r="I829" s="60"/>
      <c r="J829" s="60"/>
      <c r="K829" s="60"/>
      <c r="L829" s="61"/>
      <c r="M829" s="1593">
        <f>42</f>
        <v>42</v>
      </c>
      <c r="N829" s="1593"/>
      <c r="O829" s="1593"/>
      <c r="P829" s="1593"/>
      <c r="Q829" s="1593">
        <f>46</f>
        <v>46</v>
      </c>
      <c r="R829" s="1593"/>
      <c r="S829" s="1593"/>
      <c r="T829" s="1593"/>
      <c r="U829" s="1593">
        <f>55</f>
        <v>55</v>
      </c>
      <c r="V829" s="1593"/>
      <c r="W829" s="1593"/>
      <c r="X829" s="1593"/>
      <c r="Y829" s="1593">
        <f>65</f>
        <v>65</v>
      </c>
      <c r="Z829" s="1593"/>
      <c r="AA829" s="1593"/>
      <c r="AB829" s="1593"/>
      <c r="AC829" s="1586">
        <f>78</f>
        <v>78</v>
      </c>
      <c r="AD829" s="1587"/>
      <c r="AE829" s="1587"/>
      <c r="AF829" s="1588"/>
      <c r="AG829" s="1586">
        <f>92</f>
        <v>92</v>
      </c>
      <c r="AH829" s="1587"/>
      <c r="AI829" s="1587"/>
      <c r="AJ829" s="158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44" t="s">
        <v>792</v>
      </c>
      <c r="D830" s="1433"/>
      <c r="E830" s="1433"/>
      <c r="F830" s="1433"/>
      <c r="G830" s="1433"/>
      <c r="H830" s="1433"/>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16" t="s">
        <v>599</v>
      </c>
      <c r="G831" s="1617"/>
      <c r="H831" s="1617"/>
      <c r="I831" s="1617"/>
      <c r="J831" s="1617"/>
      <c r="K831" s="1617"/>
      <c r="L831" s="1617"/>
      <c r="M831" s="1593"/>
      <c r="N831" s="1593"/>
      <c r="O831" s="1593"/>
      <c r="P831" s="1593"/>
      <c r="Q831" s="1593"/>
      <c r="R831" s="1593"/>
      <c r="S831" s="1593"/>
      <c r="T831" s="1593"/>
      <c r="U831" s="1593"/>
      <c r="V831" s="1593"/>
      <c r="W831" s="1593"/>
      <c r="X831" s="1593"/>
      <c r="Y831" s="1593"/>
      <c r="Z831" s="1593"/>
      <c r="AA831" s="1593"/>
      <c r="AB831" s="1593"/>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02" t="s">
        <v>124</v>
      </c>
      <c r="D832" s="1603"/>
      <c r="E832" s="1603"/>
      <c r="F832" s="1603"/>
      <c r="G832" s="1603"/>
      <c r="H832" s="1603"/>
      <c r="I832" s="1603"/>
      <c r="J832" s="1603"/>
      <c r="K832" s="1603"/>
      <c r="L832" s="1604"/>
      <c r="M832" s="1610">
        <f>SUM(M825:P831)</f>
        <v>60</v>
      </c>
      <c r="N832" s="1610"/>
      <c r="O832" s="1610"/>
      <c r="P832" s="1610"/>
      <c r="Q832" s="1610">
        <f>SUM(Q825:T831)</f>
        <v>67</v>
      </c>
      <c r="R832" s="1610"/>
      <c r="S832" s="1610"/>
      <c r="T832" s="1610"/>
      <c r="U832" s="1610">
        <f>SUM(U825:X831)</f>
        <v>83</v>
      </c>
      <c r="V832" s="1610"/>
      <c r="W832" s="1610"/>
      <c r="X832" s="1610"/>
      <c r="Y832" s="1610">
        <f>SUM(Y825:AB831)</f>
        <v>101</v>
      </c>
      <c r="Z832" s="1610"/>
      <c r="AA832" s="1610"/>
      <c r="AB832" s="1610"/>
      <c r="AC832" s="1610">
        <f>SUM(AC825:AF831)</f>
        <v>121</v>
      </c>
      <c r="AD832" s="1610"/>
      <c r="AE832" s="1610"/>
      <c r="AF832" s="1610"/>
      <c r="AG832" s="1610">
        <f>SUM(AG825:AJ831)</f>
        <v>142</v>
      </c>
      <c r="AH832" s="1610"/>
      <c r="AI832" s="1610"/>
      <c r="AJ832" s="161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13" t="s">
        <v>2658</v>
      </c>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c r="AC837" s="1714"/>
      <c r="AD837" s="1714"/>
      <c r="AE837" s="1714"/>
      <c r="AF837" s="1714"/>
      <c r="AG837" s="1714"/>
      <c r="AH837" s="1714"/>
      <c r="AI837" s="1714"/>
      <c r="AJ837" s="171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11">
        <v>750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611">
        <v>5000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611">
        <v>20000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611">
        <v>46700</v>
      </c>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16" t="s">
        <v>2745</v>
      </c>
      <c r="N846" s="1617"/>
      <c r="O846" s="1617"/>
      <c r="P846" s="1617"/>
      <c r="Q846" s="1617"/>
      <c r="R846" s="1617"/>
      <c r="S846" s="1617"/>
      <c r="T846" s="1617"/>
      <c r="U846" s="1617"/>
      <c r="V846" s="1618"/>
      <c r="W846" s="1611">
        <v>26581</v>
      </c>
      <c r="X846" s="1611"/>
      <c r="Y846" s="1611"/>
      <c r="Z846" s="1611"/>
      <c r="AA846" s="1611"/>
      <c r="AB846" s="1611"/>
      <c r="AC846" s="1611"/>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590">
        <f>SUM(W842:AC846)</f>
        <v>99031</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5"/>
      <c r="BH848" s="1615"/>
      <c r="BI848" s="1615"/>
      <c r="BJ848" s="1615"/>
      <c r="BK848" s="1615"/>
      <c r="BL848" s="1615"/>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02" t="s">
        <v>345</v>
      </c>
      <c r="K849" s="1603"/>
      <c r="L849" s="1603"/>
      <c r="M849" s="1603"/>
      <c r="N849" s="1603"/>
      <c r="O849" s="1603"/>
      <c r="P849" s="1603"/>
      <c r="Q849" s="1603"/>
      <c r="R849" s="1603"/>
      <c r="S849" s="1603"/>
      <c r="T849" s="1603"/>
      <c r="U849" s="1603"/>
      <c r="V849" s="1604"/>
      <c r="W849" s="1582">
        <v>40500</v>
      </c>
      <c r="X849" s="1583"/>
      <c r="Y849" s="1583"/>
      <c r="Z849" s="1583"/>
      <c r="AA849" s="1583"/>
      <c r="AB849" s="1583"/>
      <c r="AC849" s="1584"/>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605">
        <v>0</v>
      </c>
      <c r="X851" s="1605"/>
      <c r="Y851" s="1605"/>
      <c r="Z851" s="1605"/>
      <c r="AA851" s="1605"/>
      <c r="AB851" s="1605"/>
      <c r="AC851" s="1605"/>
      <c r="AZ851" s="1619">
        <f>SUM(AZ818:AZ846)</f>
        <v>7.5000000000000011E-2</v>
      </c>
      <c r="BA851" s="1619"/>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605">
        <v>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605">
        <v>21600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605">
        <f>27000+35100</f>
        <v>62100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76">
        <f>SUM(W851:AC854)</f>
        <v>83700</v>
      </c>
      <c r="X855" s="1676"/>
      <c r="Y855" s="1676"/>
      <c r="Z855" s="1676"/>
      <c r="AA855" s="1676"/>
      <c r="AB855" s="1676"/>
      <c r="AC855" s="167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612">
        <f>126208</f>
        <v>126208</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1766</v>
      </c>
      <c r="K858" s="5"/>
      <c r="L858" s="5"/>
      <c r="M858" s="5"/>
      <c r="N858" s="5"/>
      <c r="O858" s="5"/>
      <c r="P858" s="5"/>
      <c r="Q858" s="5"/>
      <c r="R858" s="5"/>
      <c r="S858" s="5"/>
      <c r="T858" s="1621">
        <v>2</v>
      </c>
      <c r="U858" s="1578"/>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612">
        <v>62160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1767</v>
      </c>
      <c r="K860" s="5"/>
      <c r="L860" s="5"/>
      <c r="M860" s="5"/>
      <c r="N860" s="5"/>
      <c r="O860" s="5"/>
      <c r="P860" s="5"/>
      <c r="Q860" s="5"/>
      <c r="R860" s="5"/>
      <c r="S860" s="5"/>
      <c r="T860" s="1621">
        <v>0</v>
      </c>
      <c r="U860" s="1578"/>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16" t="s">
        <v>2746</v>
      </c>
      <c r="N861" s="1617"/>
      <c r="O861" s="1617"/>
      <c r="P861" s="1617"/>
      <c r="Q861" s="1617"/>
      <c r="R861" s="1617"/>
      <c r="S861" s="1617"/>
      <c r="T861" s="1617"/>
      <c r="U861" s="1617"/>
      <c r="V861" s="1618"/>
      <c r="W861" s="1612">
        <v>51440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3">
        <f>SUM(W857:AC861)</f>
        <v>239808</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2">
        <f>36800-6039</f>
        <v>30761</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611">
        <v>2500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611">
        <f>27900-4000</f>
        <v>23900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611">
        <v>16200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611">
        <v>5000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611">
        <v>4800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611">
        <v>4000</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16" t="s">
        <v>2747</v>
      </c>
      <c r="N871" s="1617"/>
      <c r="O871" s="1617"/>
      <c r="P871" s="1617"/>
      <c r="Q871" s="1617"/>
      <c r="R871" s="1617"/>
      <c r="S871" s="1617"/>
      <c r="T871" s="1617"/>
      <c r="U871" s="1617"/>
      <c r="V871" s="1618"/>
      <c r="W871" s="1611">
        <v>4000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589">
        <f>SUM(W865:AC871)</f>
        <v>60400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170</v>
      </c>
      <c r="K874" s="5"/>
      <c r="L874" s="5"/>
      <c r="M874" s="1616" t="s">
        <v>2748</v>
      </c>
      <c r="N874" s="1617"/>
      <c r="O874" s="1617"/>
      <c r="P874" s="1617"/>
      <c r="Q874" s="1617"/>
      <c r="R874" s="1617"/>
      <c r="S874" s="1617"/>
      <c r="T874" s="1617"/>
      <c r="U874" s="1617"/>
      <c r="V874" s="1618"/>
      <c r="W874" s="1582">
        <v>800</v>
      </c>
      <c r="X874" s="1583"/>
      <c r="Y874" s="1583"/>
      <c r="Z874" s="1583"/>
      <c r="AA874" s="1583"/>
      <c r="AB874" s="1583"/>
      <c r="AC874" s="158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170</v>
      </c>
      <c r="K875" s="5"/>
      <c r="L875" s="5"/>
      <c r="M875" s="1616" t="s">
        <v>335</v>
      </c>
      <c r="N875" s="1617"/>
      <c r="O875" s="1617"/>
      <c r="P875" s="1617"/>
      <c r="Q875" s="1617"/>
      <c r="R875" s="1617"/>
      <c r="S875" s="1617"/>
      <c r="T875" s="1617"/>
      <c r="U875" s="1617"/>
      <c r="V875" s="1618"/>
      <c r="W875" s="1582"/>
      <c r="X875" s="1583"/>
      <c r="Y875" s="1583"/>
      <c r="Z875" s="1583"/>
      <c r="AA875" s="1583"/>
      <c r="AB875" s="1583"/>
      <c r="AC875" s="158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16" t="s">
        <v>335</v>
      </c>
      <c r="N876" s="1617"/>
      <c r="O876" s="1617"/>
      <c r="P876" s="1617"/>
      <c r="Q876" s="1617"/>
      <c r="R876" s="1617"/>
      <c r="S876" s="1617"/>
      <c r="T876" s="1617"/>
      <c r="U876" s="1617"/>
      <c r="V876" s="1618"/>
      <c r="W876" s="1582"/>
      <c r="X876" s="1583"/>
      <c r="Y876" s="1583"/>
      <c r="Z876" s="1583"/>
      <c r="AA876" s="1583"/>
      <c r="AB876" s="1583"/>
      <c r="AC876" s="158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16" t="s">
        <v>335</v>
      </c>
      <c r="N877" s="1617"/>
      <c r="O877" s="1617"/>
      <c r="P877" s="1617"/>
      <c r="Q877" s="1617"/>
      <c r="R877" s="1617"/>
      <c r="S877" s="1617"/>
      <c r="T877" s="1617"/>
      <c r="U877" s="1617"/>
      <c r="V877" s="1618"/>
      <c r="W877" s="1582"/>
      <c r="X877" s="1583"/>
      <c r="Y877" s="1583"/>
      <c r="Z877" s="1583"/>
      <c r="AA877" s="1583"/>
      <c r="AB877" s="1583"/>
      <c r="AC877" s="158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16" t="s">
        <v>335</v>
      </c>
      <c r="N878" s="1617"/>
      <c r="O878" s="1617"/>
      <c r="P878" s="1617"/>
      <c r="Q878" s="1617"/>
      <c r="R878" s="1617"/>
      <c r="S878" s="1617"/>
      <c r="T878" s="1617"/>
      <c r="U878" s="1617"/>
      <c r="V878" s="1618"/>
      <c r="W878" s="1582"/>
      <c r="X878" s="1583"/>
      <c r="Y878" s="1583"/>
      <c r="Z878" s="1583"/>
      <c r="AA878" s="1583"/>
      <c r="AB878" s="1583"/>
      <c r="AC878" s="158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90">
        <f>SUM(W874:AC878)</f>
        <v>800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555000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42">
        <f>O797+O777+G753</f>
        <v>46</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28" t="s">
        <v>32</v>
      </c>
      <c r="F885" s="1728"/>
      <c r="G885" s="1728"/>
      <c r="H885" s="1728"/>
      <c r="I885" s="1728"/>
      <c r="J885" s="1728"/>
      <c r="K885" s="1728"/>
      <c r="L885" s="1728"/>
      <c r="M885" s="1728"/>
      <c r="N885" s="1728"/>
      <c r="O885" s="1728"/>
      <c r="P885" s="1728"/>
      <c r="Q885" s="1728"/>
      <c r="R885" s="1728"/>
      <c r="S885" s="1728"/>
      <c r="T885" s="1728"/>
      <c r="U885" s="1728"/>
      <c r="V885" s="1728"/>
      <c r="W885" s="1728"/>
      <c r="X885" s="1728"/>
      <c r="Y885" s="1728"/>
      <c r="Z885" s="1728"/>
      <c r="AA885" s="1728"/>
      <c r="AB885" s="1729"/>
      <c r="AC885" s="1589">
        <f>IF(ISERROR((ROUNDDOWN(AC883/AC884,0))),0,(ROUNDDOWN(AC883/AC884,0)))</f>
        <v>12065</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26">
        <f>'Sources and Uses Budget'!C75</f>
        <v>426000</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4"/>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3">
        <f>[1]budgets!$AD$40</f>
        <v>220000</v>
      </c>
      <c r="AD888" s="1583"/>
      <c r="AE888" s="1583"/>
      <c r="AF888" s="1583"/>
      <c r="AG888" s="1583"/>
      <c r="AH888" s="158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3">
        <f>[1]budgets!$AD$50</f>
        <v>23000</v>
      </c>
      <c r="AD889" s="1583"/>
      <c r="AE889" s="1583"/>
      <c r="AF889" s="1583"/>
      <c r="AG889" s="1583"/>
      <c r="AH889" s="158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6">
        <f>[1]budgets!$AD$42+[1]budgets!$AD$41</f>
        <v>16360</v>
      </c>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3">
        <v>50000</v>
      </c>
      <c r="AD891" s="1583"/>
      <c r="AE891" s="1583"/>
      <c r="AF891" s="1583"/>
      <c r="AG891" s="1583"/>
      <c r="AH891" s="158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83"/>
      <c r="AD892" s="1583"/>
      <c r="AE892" s="1583"/>
      <c r="AF892" s="1583"/>
      <c r="AG892" s="1583"/>
      <c r="AH892" s="158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9" t="s">
        <v>975</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1"/>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9" t="s">
        <v>975</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82">
        <v>0</v>
      </c>
      <c r="AA898" s="1583"/>
      <c r="AB898" s="1583"/>
      <c r="AC898" s="1583"/>
      <c r="AD898" s="1583"/>
      <c r="AE898" s="1584"/>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82">
        <v>0</v>
      </c>
      <c r="AA899" s="1583"/>
      <c r="AB899" s="1583"/>
      <c r="AC899" s="1583"/>
      <c r="AD899" s="1583"/>
      <c r="AE899" s="1584"/>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82">
        <v>0</v>
      </c>
      <c r="AA900" s="1583"/>
      <c r="AB900" s="1583"/>
      <c r="AC900" s="1583"/>
      <c r="AD900" s="1583"/>
      <c r="AE900" s="1584"/>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735" t="s">
        <v>96</v>
      </c>
      <c r="B909" s="1735"/>
      <c r="C909" s="1735"/>
      <c r="D909" s="1735"/>
      <c r="E909" s="1735"/>
      <c r="F909" s="1735"/>
      <c r="G909" s="1735"/>
      <c r="H909" s="1735"/>
      <c r="I909" s="1735"/>
      <c r="J909" s="1735"/>
      <c r="K909" s="1735"/>
      <c r="L909" s="1735"/>
      <c r="M909" s="1735"/>
      <c r="N909" s="1735"/>
      <c r="O909" s="1735"/>
      <c r="P909" s="1735"/>
      <c r="Q909" s="1735"/>
      <c r="R909" s="1735"/>
      <c r="S909" s="1735"/>
      <c r="T909" s="1735"/>
      <c r="U909" s="1735"/>
      <c r="V909" s="1735"/>
      <c r="W909" s="1735"/>
      <c r="X909" s="1735"/>
      <c r="Y909" s="1735"/>
      <c r="Z909" s="1735"/>
      <c r="AA909" s="1735"/>
      <c r="AB909" s="1735"/>
      <c r="AC909" s="1735"/>
      <c r="AD909" s="1735"/>
      <c r="AE909" s="1735"/>
      <c r="AF909" s="1735"/>
      <c r="AG909" s="1735"/>
      <c r="AH909" s="1735"/>
      <c r="AI909" s="1735"/>
      <c r="AJ909" s="1735"/>
      <c r="AK909" s="1735"/>
      <c r="AL909" s="1735"/>
      <c r="AM909" s="1735"/>
      <c r="AN909" s="1735"/>
      <c r="AO909" s="1735"/>
      <c r="AP909" s="1735"/>
      <c r="AQ909" s="1735"/>
      <c r="AR909" s="1735"/>
      <c r="AS909" s="1735"/>
      <c r="AT909" s="173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735"/>
      <c r="B910" s="1735"/>
      <c r="C910" s="1735"/>
      <c r="D910" s="1735"/>
      <c r="E910" s="1735"/>
      <c r="F910" s="1735"/>
      <c r="G910" s="1735"/>
      <c r="H910" s="1735"/>
      <c r="I910" s="1735"/>
      <c r="J910" s="1735"/>
      <c r="K910" s="1735"/>
      <c r="L910" s="1735"/>
      <c r="M910" s="1735"/>
      <c r="N910" s="1735"/>
      <c r="O910" s="1735"/>
      <c r="P910" s="1735"/>
      <c r="Q910" s="1735"/>
      <c r="R910" s="1735"/>
      <c r="S910" s="1735"/>
      <c r="T910" s="1735"/>
      <c r="U910" s="1735"/>
      <c r="V910" s="1735"/>
      <c r="W910" s="1735"/>
      <c r="X910" s="1735"/>
      <c r="Y910" s="1735"/>
      <c r="Z910" s="1735"/>
      <c r="AA910" s="1735"/>
      <c r="AB910" s="1735"/>
      <c r="AC910" s="1735"/>
      <c r="AD910" s="1735"/>
      <c r="AE910" s="1735"/>
      <c r="AF910" s="1735"/>
      <c r="AG910" s="1735"/>
      <c r="AH910" s="1735"/>
      <c r="AI910" s="1735"/>
      <c r="AJ910" s="1735"/>
      <c r="AK910" s="1735"/>
      <c r="AL910" s="1735"/>
      <c r="AM910" s="1735"/>
      <c r="AN910" s="1735"/>
      <c r="AO910" s="1735"/>
      <c r="AP910" s="1735"/>
      <c r="AQ910" s="1735"/>
      <c r="AR910" s="1735"/>
      <c r="AS910" s="1735"/>
      <c r="AT910" s="173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25" t="s">
        <v>801</v>
      </c>
      <c r="G914" s="1826"/>
      <c r="H914" s="1826"/>
      <c r="I914" s="1826"/>
      <c r="J914" s="1826"/>
      <c r="K914" s="1826"/>
      <c r="L914" s="1826"/>
      <c r="M914" s="1826"/>
      <c r="N914" s="1826"/>
      <c r="O914" s="1826"/>
      <c r="P914" s="1826"/>
      <c r="Q914" s="1826"/>
      <c r="R914" s="1826"/>
      <c r="S914" s="1826"/>
      <c r="T914" s="1827"/>
      <c r="U914" s="1775" t="s">
        <v>31</v>
      </c>
      <c r="V914" s="1736"/>
      <c r="W914" s="1736"/>
      <c r="X914" s="1736"/>
      <c r="Y914" s="1736"/>
      <c r="Z914" s="173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44" t="s">
        <v>827</v>
      </c>
      <c r="G915" s="1645"/>
      <c r="H915" s="1645"/>
      <c r="I915" s="1645"/>
      <c r="J915" s="1645"/>
      <c r="K915" s="1645"/>
      <c r="L915" s="1645"/>
      <c r="M915" s="1645"/>
      <c r="N915" s="1645"/>
      <c r="O915" s="1645"/>
      <c r="P915" s="1645"/>
      <c r="Q915" s="1645"/>
      <c r="R915" s="1645"/>
      <c r="S915" s="1645"/>
      <c r="T915" s="1646"/>
      <c r="U915" s="1644"/>
      <c r="V915" s="1645"/>
      <c r="W915" s="1645"/>
      <c r="X915" s="1645"/>
      <c r="Y915" s="1645"/>
      <c r="Z915" s="164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47"/>
      <c r="G916" s="1648"/>
      <c r="H916" s="1648"/>
      <c r="I916" s="1648"/>
      <c r="J916" s="1648"/>
      <c r="K916" s="1648"/>
      <c r="L916" s="1648"/>
      <c r="M916" s="1648"/>
      <c r="N916" s="1648"/>
      <c r="O916" s="1648"/>
      <c r="P916" s="1648"/>
      <c r="Q916" s="1648"/>
      <c r="R916" s="1648"/>
      <c r="S916" s="1648"/>
      <c r="T916" s="1649"/>
      <c r="U916" s="1647"/>
      <c r="V916" s="1648"/>
      <c r="W916" s="1648"/>
      <c r="X916" s="1648"/>
      <c r="Y916" s="1648"/>
      <c r="Z916" s="1648"/>
      <c r="AA916" s="108"/>
      <c r="AB916" s="1458" t="s">
        <v>391</v>
      </c>
      <c r="AC916" s="1458"/>
      <c r="AD916" s="1458"/>
      <c r="AE916" s="145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628" t="s">
        <v>553</v>
      </c>
      <c r="V917" s="1420"/>
      <c r="W917" s="1420"/>
      <c r="X917" s="1420"/>
      <c r="Y917" s="1420"/>
      <c r="Z917" s="1421"/>
      <c r="AA917" s="1629">
        <f>AM554</f>
        <v>19063641.07794103</v>
      </c>
      <c r="AB917" s="1536"/>
      <c r="AC917" s="1536"/>
      <c r="AD917" s="1536"/>
      <c r="AE917" s="1536"/>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628" t="s">
        <v>599</v>
      </c>
      <c r="V918" s="1420"/>
      <c r="W918" s="1420"/>
      <c r="X918" s="1420"/>
      <c r="Y918" s="1420"/>
      <c r="Z918" s="1421"/>
      <c r="AA918" s="1629"/>
      <c r="AB918" s="1536"/>
      <c r="AC918" s="1536"/>
      <c r="AD918" s="1536"/>
      <c r="AE918" s="1536"/>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628" t="s">
        <v>599</v>
      </c>
      <c r="V919" s="1420"/>
      <c r="W919" s="1420"/>
      <c r="X919" s="1420"/>
      <c r="Y919" s="1420"/>
      <c r="Z919" s="1421"/>
      <c r="AA919" s="1629"/>
      <c r="AB919" s="1536"/>
      <c r="AC919" s="1536"/>
      <c r="AD919" s="1536"/>
      <c r="AE919" s="1536"/>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628" t="s">
        <v>599</v>
      </c>
      <c r="V920" s="1420"/>
      <c r="W920" s="1420"/>
      <c r="X920" s="1420"/>
      <c r="Y920" s="1420"/>
      <c r="Z920" s="1421"/>
      <c r="AA920" s="1629"/>
      <c r="AB920" s="1536"/>
      <c r="AC920" s="1536"/>
      <c r="AD920" s="1536"/>
      <c r="AE920" s="1536"/>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628" t="s">
        <v>599</v>
      </c>
      <c r="V921" s="1420"/>
      <c r="W921" s="1420"/>
      <c r="X921" s="1420"/>
      <c r="Y921" s="1420"/>
      <c r="Z921" s="1421"/>
      <c r="AA921" s="1629"/>
      <c r="AB921" s="1536"/>
      <c r="AC921" s="1536"/>
      <c r="AD921" s="1536"/>
      <c r="AE921" s="1536"/>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628" t="s">
        <v>599</v>
      </c>
      <c r="V922" s="1420"/>
      <c r="W922" s="1420"/>
      <c r="X922" s="1420"/>
      <c r="Y922" s="1420"/>
      <c r="Z922" s="1421"/>
      <c r="AA922" s="1629"/>
      <c r="AB922" s="1536"/>
      <c r="AC922" s="1536"/>
      <c r="AD922" s="1536"/>
      <c r="AE922" s="1536"/>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628" t="s">
        <v>599</v>
      </c>
      <c r="V923" s="1420"/>
      <c r="W923" s="1420"/>
      <c r="X923" s="1420"/>
      <c r="Y923" s="1420"/>
      <c r="Z923" s="1421"/>
      <c r="AA923" s="1629"/>
      <c r="AB923" s="1536"/>
      <c r="AC923" s="1536"/>
      <c r="AD923" s="1536"/>
      <c r="AE923" s="1536"/>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628" t="s">
        <v>599</v>
      </c>
      <c r="V924" s="1420"/>
      <c r="W924" s="1420"/>
      <c r="X924" s="1420"/>
      <c r="Y924" s="1420"/>
      <c r="Z924" s="1421"/>
      <c r="AA924" s="1629"/>
      <c r="AB924" s="1536"/>
      <c r="AC924" s="1536"/>
      <c r="AD924" s="1536"/>
      <c r="AE924" s="1536"/>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1" t="s">
        <v>2553</v>
      </c>
      <c r="G925" s="1632"/>
      <c r="H925" s="1632"/>
      <c r="I925" s="1632"/>
      <c r="J925" s="1632"/>
      <c r="K925" s="1632"/>
      <c r="L925" s="1632"/>
      <c r="M925" s="1632"/>
      <c r="N925" s="1632"/>
      <c r="O925" s="1632"/>
      <c r="P925" s="1632"/>
      <c r="Q925" s="1632"/>
      <c r="R925" s="1632"/>
      <c r="S925" s="1632"/>
      <c r="T925" s="1633"/>
      <c r="U925" s="1628" t="s">
        <v>599</v>
      </c>
      <c r="V925" s="1420"/>
      <c r="W925" s="1420"/>
      <c r="X925" s="1420"/>
      <c r="Y925" s="1420"/>
      <c r="Z925" s="1421"/>
      <c r="AA925" s="1629"/>
      <c r="AB925" s="1536"/>
      <c r="AC925" s="1536"/>
      <c r="AD925" s="1536"/>
      <c r="AE925" s="1536"/>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1" t="s">
        <v>687</v>
      </c>
      <c r="G926" s="1632"/>
      <c r="H926" s="1632"/>
      <c r="I926" s="1632"/>
      <c r="J926" s="1632"/>
      <c r="K926" s="1632"/>
      <c r="L926" s="1632"/>
      <c r="M926" s="1632"/>
      <c r="N926" s="1632"/>
      <c r="O926" s="1632"/>
      <c r="P926" s="1632"/>
      <c r="Q926" s="1632"/>
      <c r="R926" s="1632"/>
      <c r="S926" s="1632"/>
      <c r="T926" s="1633"/>
      <c r="U926" s="1628" t="s">
        <v>599</v>
      </c>
      <c r="V926" s="1420"/>
      <c r="W926" s="1420"/>
      <c r="X926" s="1420"/>
      <c r="Y926" s="1420"/>
      <c r="Z926" s="1421"/>
      <c r="AA926" s="1629"/>
      <c r="AB926" s="1536"/>
      <c r="AC926" s="1536"/>
      <c r="AD926" s="1536"/>
      <c r="AE926" s="1536"/>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1" t="s">
        <v>2554</v>
      </c>
      <c r="G927" s="1632"/>
      <c r="H927" s="1632"/>
      <c r="I927" s="1632"/>
      <c r="J927" s="1632"/>
      <c r="K927" s="1632"/>
      <c r="L927" s="1632"/>
      <c r="M927" s="1632"/>
      <c r="N927" s="1632"/>
      <c r="O927" s="1632"/>
      <c r="P927" s="1632"/>
      <c r="Q927" s="1632"/>
      <c r="R927" s="1632"/>
      <c r="S927" s="1632"/>
      <c r="T927" s="1633"/>
      <c r="U927" s="1628" t="s">
        <v>599</v>
      </c>
      <c r="V927" s="1420"/>
      <c r="W927" s="1420"/>
      <c r="X927" s="1420"/>
      <c r="Y927" s="1420"/>
      <c r="Z927" s="1421"/>
      <c r="AA927" s="1629"/>
      <c r="AB927" s="1536"/>
      <c r="AC927" s="1536"/>
      <c r="AD927" s="1536"/>
      <c r="AE927" s="1536"/>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1" t="s">
        <v>2555</v>
      </c>
      <c r="G928" s="1632"/>
      <c r="H928" s="1632"/>
      <c r="I928" s="1632"/>
      <c r="J928" s="1632"/>
      <c r="K928" s="1632"/>
      <c r="L928" s="1632"/>
      <c r="M928" s="1632"/>
      <c r="N928" s="1632"/>
      <c r="O928" s="1632"/>
      <c r="P928" s="1632"/>
      <c r="Q928" s="1632"/>
      <c r="R928" s="1632"/>
      <c r="S928" s="1632"/>
      <c r="T928" s="1633"/>
      <c r="U928" s="1628" t="s">
        <v>599</v>
      </c>
      <c r="V928" s="1420"/>
      <c r="W928" s="1420"/>
      <c r="X928" s="1420"/>
      <c r="Y928" s="1420"/>
      <c r="Z928" s="1421"/>
      <c r="AA928" s="1629"/>
      <c r="AB928" s="1536"/>
      <c r="AC928" s="1536"/>
      <c r="AD928" s="1536"/>
      <c r="AE928" s="1536"/>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1" t="s">
        <v>2556</v>
      </c>
      <c r="G929" s="1632"/>
      <c r="H929" s="1632"/>
      <c r="I929" s="1632"/>
      <c r="J929" s="1632"/>
      <c r="K929" s="1632"/>
      <c r="L929" s="1632"/>
      <c r="M929" s="1632"/>
      <c r="N929" s="1632"/>
      <c r="O929" s="1632"/>
      <c r="P929" s="1632"/>
      <c r="Q929" s="1632"/>
      <c r="R929" s="1632"/>
      <c r="S929" s="1632"/>
      <c r="T929" s="1633"/>
      <c r="U929" s="1628" t="s">
        <v>599</v>
      </c>
      <c r="V929" s="1420"/>
      <c r="W929" s="1420"/>
      <c r="X929" s="1420"/>
      <c r="Y929" s="1420"/>
      <c r="Z929" s="1421"/>
      <c r="AA929" s="1629"/>
      <c r="AB929" s="1536"/>
      <c r="AC929" s="1536"/>
      <c r="AD929" s="1536"/>
      <c r="AE929" s="1536"/>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1" t="s">
        <v>2557</v>
      </c>
      <c r="G930" s="1632"/>
      <c r="H930" s="1632"/>
      <c r="I930" s="1632"/>
      <c r="J930" s="1632"/>
      <c r="K930" s="1632"/>
      <c r="L930" s="1632"/>
      <c r="M930" s="1632"/>
      <c r="N930" s="1632"/>
      <c r="O930" s="1632"/>
      <c r="P930" s="1632"/>
      <c r="Q930" s="1632"/>
      <c r="R930" s="1632"/>
      <c r="S930" s="1632"/>
      <c r="T930" s="1633"/>
      <c r="U930" s="1628" t="s">
        <v>599</v>
      </c>
      <c r="V930" s="1420"/>
      <c r="W930" s="1420"/>
      <c r="X930" s="1420"/>
      <c r="Y930" s="1420"/>
      <c r="Z930" s="1421"/>
      <c r="AA930" s="1629"/>
      <c r="AB930" s="1536"/>
      <c r="AC930" s="1536"/>
      <c r="AD930" s="1536"/>
      <c r="AE930" s="1536"/>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1" t="s">
        <v>2558</v>
      </c>
      <c r="G931" s="1632"/>
      <c r="H931" s="1632"/>
      <c r="I931" s="1632"/>
      <c r="J931" s="1632"/>
      <c r="K931" s="1632"/>
      <c r="L931" s="1632"/>
      <c r="M931" s="1632"/>
      <c r="N931" s="1632"/>
      <c r="O931" s="1632"/>
      <c r="P931" s="1632"/>
      <c r="Q931" s="1632"/>
      <c r="R931" s="1632"/>
      <c r="S931" s="1632"/>
      <c r="T931" s="1633"/>
      <c r="U931" s="1628" t="s">
        <v>599</v>
      </c>
      <c r="V931" s="1420"/>
      <c r="W931" s="1420"/>
      <c r="X931" s="1420"/>
      <c r="Y931" s="1420"/>
      <c r="Z931" s="1421"/>
      <c r="AA931" s="1629"/>
      <c r="AB931" s="1536"/>
      <c r="AC931" s="1536"/>
      <c r="AD931" s="1536"/>
      <c r="AE931" s="1536"/>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628" t="s">
        <v>599</v>
      </c>
      <c r="V932" s="1420"/>
      <c r="W932" s="1420"/>
      <c r="X932" s="1420"/>
      <c r="Y932" s="1420"/>
      <c r="Z932" s="1421"/>
      <c r="AA932" s="1629"/>
      <c r="AB932" s="1536"/>
      <c r="AC932" s="1536"/>
      <c r="AD932" s="1536"/>
      <c r="AE932" s="1536"/>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1385</v>
      </c>
      <c r="G933" s="5"/>
      <c r="H933" s="5"/>
      <c r="I933" s="5"/>
      <c r="J933" s="5"/>
      <c r="K933" s="5"/>
      <c r="L933" s="5"/>
      <c r="M933" s="5"/>
      <c r="N933" s="5"/>
      <c r="O933" s="5"/>
      <c r="P933" s="5"/>
      <c r="Q933" s="5"/>
      <c r="R933" s="5"/>
      <c r="S933" s="5"/>
      <c r="T933" s="46"/>
      <c r="U933" s="1628" t="s">
        <v>599</v>
      </c>
      <c r="V933" s="1420"/>
      <c r="W933" s="1420"/>
      <c r="X933" s="1420"/>
      <c r="Y933" s="1420"/>
      <c r="Z933" s="1421"/>
      <c r="AA933" s="1629"/>
      <c r="AB933" s="1536"/>
      <c r="AC933" s="1536"/>
      <c r="AD933" s="1536"/>
      <c r="AE933" s="1536"/>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628" t="s">
        <v>599</v>
      </c>
      <c r="V934" s="1420"/>
      <c r="W934" s="1420"/>
      <c r="X934" s="1420"/>
      <c r="Y934" s="1420"/>
      <c r="Z934" s="1421"/>
      <c r="AA934" s="1629"/>
      <c r="AB934" s="1536"/>
      <c r="AC934" s="1536"/>
      <c r="AD934" s="1536"/>
      <c r="AE934" s="1536"/>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4" t="s">
        <v>2562</v>
      </c>
      <c r="G935" s="1635"/>
      <c r="H935" s="1635"/>
      <c r="I935" s="1635"/>
      <c r="J935" s="1635"/>
      <c r="K935" s="1635"/>
      <c r="L935" s="1635"/>
      <c r="M935" s="1635"/>
      <c r="N935" s="1635"/>
      <c r="O935" s="1635"/>
      <c r="P935" s="1635"/>
      <c r="Q935" s="1635"/>
      <c r="R935" s="1635"/>
      <c r="S935" s="1635"/>
      <c r="T935" s="1636"/>
      <c r="U935" s="1628" t="s">
        <v>599</v>
      </c>
      <c r="V935" s="1420"/>
      <c r="W935" s="1420"/>
      <c r="X935" s="1420"/>
      <c r="Y935" s="1420"/>
      <c r="Z935" s="1421"/>
      <c r="AA935" s="1629"/>
      <c r="AB935" s="1536"/>
      <c r="AC935" s="1536"/>
      <c r="AD935" s="1536"/>
      <c r="AE935" s="1536"/>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4" t="s">
        <v>2563</v>
      </c>
      <c r="G936" s="1635"/>
      <c r="H936" s="1635"/>
      <c r="I936" s="1635"/>
      <c r="J936" s="1635"/>
      <c r="K936" s="1635"/>
      <c r="L936" s="1635"/>
      <c r="M936" s="1635"/>
      <c r="N936" s="1635"/>
      <c r="O936" s="1635"/>
      <c r="P936" s="1635"/>
      <c r="Q936" s="1635"/>
      <c r="R936" s="1635"/>
      <c r="S936" s="1635"/>
      <c r="T936" s="1636"/>
      <c r="U936" s="1628" t="s">
        <v>599</v>
      </c>
      <c r="V936" s="1420"/>
      <c r="W936" s="1420"/>
      <c r="X936" s="1420"/>
      <c r="Y936" s="1420"/>
      <c r="Z936" s="1421"/>
      <c r="AA936" s="1629"/>
      <c r="AB936" s="1536"/>
      <c r="AC936" s="1536"/>
      <c r="AD936" s="1536"/>
      <c r="AE936" s="1536"/>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1" t="s">
        <v>2559</v>
      </c>
      <c r="G937" s="1632"/>
      <c r="H937" s="1632"/>
      <c r="I937" s="1632"/>
      <c r="J937" s="1632"/>
      <c r="K937" s="1632"/>
      <c r="L937" s="1632"/>
      <c r="M937" s="1632"/>
      <c r="N937" s="1632"/>
      <c r="O937" s="1632"/>
      <c r="P937" s="1632"/>
      <c r="Q937" s="1632"/>
      <c r="R937" s="1632"/>
      <c r="S937" s="1632"/>
      <c r="T937" s="1633"/>
      <c r="U937" s="1628" t="s">
        <v>599</v>
      </c>
      <c r="V937" s="1420"/>
      <c r="W937" s="1420"/>
      <c r="X937" s="1420"/>
      <c r="Y937" s="1420"/>
      <c r="Z937" s="1421"/>
      <c r="AA937" s="1629"/>
      <c r="AB937" s="1536"/>
      <c r="AC937" s="1536"/>
      <c r="AD937" s="1536"/>
      <c r="AE937" s="1536"/>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1" t="s">
        <v>2560</v>
      </c>
      <c r="G938" s="1632"/>
      <c r="H938" s="1632"/>
      <c r="I938" s="1632"/>
      <c r="J938" s="1632"/>
      <c r="K938" s="1632"/>
      <c r="L938" s="1632"/>
      <c r="M938" s="1632"/>
      <c r="N938" s="1632"/>
      <c r="O938" s="1632"/>
      <c r="P938" s="1632"/>
      <c r="Q938" s="1632"/>
      <c r="R938" s="1632"/>
      <c r="S938" s="1632"/>
      <c r="T938" s="1633"/>
      <c r="U938" s="1628" t="s">
        <v>599</v>
      </c>
      <c r="V938" s="1420"/>
      <c r="W938" s="1420"/>
      <c r="X938" s="1420"/>
      <c r="Y938" s="1420"/>
      <c r="Z938" s="1421"/>
      <c r="AA938" s="1629"/>
      <c r="AB938" s="1536"/>
      <c r="AC938" s="1536"/>
      <c r="AD938" s="1536"/>
      <c r="AE938" s="1536"/>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1" t="s">
        <v>2561</v>
      </c>
      <c r="G939" s="1632"/>
      <c r="H939" s="1632"/>
      <c r="I939" s="1632"/>
      <c r="J939" s="1632"/>
      <c r="K939" s="1632"/>
      <c r="L939" s="1632"/>
      <c r="M939" s="1632"/>
      <c r="N939" s="1632"/>
      <c r="O939" s="1632"/>
      <c r="P939" s="1632"/>
      <c r="Q939" s="1632"/>
      <c r="R939" s="1632"/>
      <c r="S939" s="1632"/>
      <c r="T939" s="1633"/>
      <c r="U939" s="1628" t="s">
        <v>599</v>
      </c>
      <c r="V939" s="1420"/>
      <c r="W939" s="1420"/>
      <c r="X939" s="1420"/>
      <c r="Y939" s="1420"/>
      <c r="Z939" s="1421"/>
      <c r="AA939" s="1629"/>
      <c r="AB939" s="1536"/>
      <c r="AC939" s="1536"/>
      <c r="AD939" s="1536"/>
      <c r="AE939" s="1536"/>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1369</v>
      </c>
      <c r="G940" s="5"/>
      <c r="H940" s="5"/>
      <c r="I940" s="5"/>
      <c r="J940" s="5"/>
      <c r="K940" s="5"/>
      <c r="L940" s="5"/>
      <c r="M940" s="5"/>
      <c r="N940" s="5"/>
      <c r="O940" s="5"/>
      <c r="P940" s="5"/>
      <c r="Q940" s="5"/>
      <c r="R940" s="5"/>
      <c r="S940" s="5"/>
      <c r="T940" s="46"/>
      <c r="U940" s="1628" t="s">
        <v>553</v>
      </c>
      <c r="V940" s="1420"/>
      <c r="W940" s="1420"/>
      <c r="X940" s="1420"/>
      <c r="Y940" s="1420"/>
      <c r="Z940" s="1421"/>
      <c r="AA940" s="1629">
        <f>AO628</f>
        <v>9761541</v>
      </c>
      <c r="AB940" s="1536"/>
      <c r="AC940" s="1536"/>
      <c r="AD940" s="1536"/>
      <c r="AE940" s="1536"/>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4" t="s">
        <v>2564</v>
      </c>
      <c r="G941" s="1635"/>
      <c r="H941" s="1635"/>
      <c r="I941" s="1635"/>
      <c r="J941" s="1635"/>
      <c r="K941" s="1635"/>
      <c r="L941" s="1635"/>
      <c r="M941" s="1635"/>
      <c r="N941" s="1635"/>
      <c r="O941" s="1635"/>
      <c r="P941" s="1635"/>
      <c r="Q941" s="1635"/>
      <c r="R941" s="1635"/>
      <c r="S941" s="1635"/>
      <c r="T941" s="1636"/>
      <c r="U941" s="1628" t="s">
        <v>553</v>
      </c>
      <c r="V941" s="1420"/>
      <c r="W941" s="1420"/>
      <c r="X941" s="1420"/>
      <c r="Y941" s="1420"/>
      <c r="Z941" s="1421"/>
      <c r="AA941" s="1629">
        <f>AO631</f>
        <v>690000</v>
      </c>
      <c r="AB941" s="1536"/>
      <c r="AC941" s="1536"/>
      <c r="AD941" s="1536"/>
      <c r="AE941" s="1536"/>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1370</v>
      </c>
      <c r="G942" s="5"/>
      <c r="H942" s="5"/>
      <c r="I942" s="5"/>
      <c r="J942" s="5"/>
      <c r="K942" s="5"/>
      <c r="L942" s="5"/>
      <c r="M942" s="5"/>
      <c r="N942" s="5"/>
      <c r="O942" s="5"/>
      <c r="P942" s="5"/>
      <c r="Q942" s="5"/>
      <c r="R942" s="5"/>
      <c r="S942" s="5"/>
      <c r="T942" s="46"/>
      <c r="U942" s="1628" t="s">
        <v>599</v>
      </c>
      <c r="V942" s="1420"/>
      <c r="W942" s="1420"/>
      <c r="X942" s="1420"/>
      <c r="Y942" s="1420"/>
      <c r="Z942" s="1421"/>
      <c r="AA942" s="1629"/>
      <c r="AB942" s="1536"/>
      <c r="AC942" s="1536"/>
      <c r="AD942" s="1536"/>
      <c r="AE942" s="1536"/>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4" t="s">
        <v>2565</v>
      </c>
      <c r="G943" s="1635"/>
      <c r="H943" s="1635"/>
      <c r="I943" s="1635"/>
      <c r="J943" s="1635"/>
      <c r="K943" s="1635"/>
      <c r="L943" s="1635"/>
      <c r="M943" s="1635"/>
      <c r="N943" s="1635"/>
      <c r="O943" s="1635"/>
      <c r="P943" s="1635"/>
      <c r="Q943" s="1635"/>
      <c r="R943" s="1635"/>
      <c r="S943" s="1635"/>
      <c r="T943" s="1636"/>
      <c r="U943" s="1628" t="s">
        <v>599</v>
      </c>
      <c r="V943" s="1420"/>
      <c r="W943" s="1420"/>
      <c r="X943" s="1420"/>
      <c r="Y943" s="1420"/>
      <c r="Z943" s="1421"/>
      <c r="AA943" s="1629"/>
      <c r="AB943" s="1536"/>
      <c r="AC943" s="1536"/>
      <c r="AD943" s="1536"/>
      <c r="AE943" s="1536"/>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628" t="s">
        <v>677</v>
      </c>
      <c r="Q944" s="1420"/>
      <c r="R944" s="1420"/>
      <c r="S944" s="1420"/>
      <c r="T944" s="1421"/>
      <c r="U944" s="1628" t="s">
        <v>599</v>
      </c>
      <c r="V944" s="1420"/>
      <c r="W944" s="1420"/>
      <c r="X944" s="1420"/>
      <c r="Y944" s="1420"/>
      <c r="Z944" s="1421"/>
      <c r="AA944" s="1629"/>
      <c r="AB944" s="1536"/>
      <c r="AC944" s="1536"/>
      <c r="AD944" s="1536"/>
      <c r="AE944" s="1536"/>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1" t="s">
        <v>2552</v>
      </c>
      <c r="G945" s="1632"/>
      <c r="H945" s="1633"/>
      <c r="I945" s="1616" t="s">
        <v>335</v>
      </c>
      <c r="J945" s="1617"/>
      <c r="K945" s="1617"/>
      <c r="L945" s="1617"/>
      <c r="M945" s="1617"/>
      <c r="N945" s="1617"/>
      <c r="O945" s="1617"/>
      <c r="P945" s="1617"/>
      <c r="Q945" s="1617"/>
      <c r="R945" s="1617"/>
      <c r="S945" s="1617"/>
      <c r="T945" s="1618"/>
      <c r="U945" s="1628" t="s">
        <v>599</v>
      </c>
      <c r="V945" s="1420"/>
      <c r="W945" s="1420"/>
      <c r="X945" s="1420"/>
      <c r="Y945" s="1420"/>
      <c r="Z945" s="1421"/>
      <c r="AA945" s="1629"/>
      <c r="AB945" s="1536"/>
      <c r="AC945" s="1536"/>
      <c r="AD945" s="1536"/>
      <c r="AE945" s="1536"/>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6" t="s">
        <v>335</v>
      </c>
      <c r="J946" s="1617"/>
      <c r="K946" s="1617"/>
      <c r="L946" s="1617"/>
      <c r="M946" s="1617"/>
      <c r="N946" s="1617"/>
      <c r="O946" s="1617"/>
      <c r="P946" s="1617"/>
      <c r="Q946" s="1617"/>
      <c r="R946" s="1617"/>
      <c r="S946" s="1617"/>
      <c r="T946" s="1618"/>
      <c r="U946" s="1628" t="s">
        <v>599</v>
      </c>
      <c r="V946" s="1420"/>
      <c r="W946" s="1420"/>
      <c r="X946" s="1420"/>
      <c r="Y946" s="1420"/>
      <c r="Z946" s="1421"/>
      <c r="AA946" s="1629"/>
      <c r="AB946" s="1536"/>
      <c r="AC946" s="1536"/>
      <c r="AD946" s="1536"/>
      <c r="AE946" s="1536"/>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53" t="s">
        <v>2749</v>
      </c>
      <c r="J947" s="1654"/>
      <c r="K947" s="1654"/>
      <c r="L947" s="1654"/>
      <c r="M947" s="1654"/>
      <c r="N947" s="1654"/>
      <c r="O947" s="1654"/>
      <c r="P947" s="1654"/>
      <c r="Q947" s="1654"/>
      <c r="R947" s="1654"/>
      <c r="S947" s="1654"/>
      <c r="T947" s="1655"/>
      <c r="U947" s="1628" t="s">
        <v>553</v>
      </c>
      <c r="V947" s="1420"/>
      <c r="W947" s="1420"/>
      <c r="X947" s="1420"/>
      <c r="Y947" s="1420"/>
      <c r="Z947" s="1421"/>
      <c r="AA947" s="1629">
        <f>AO629</f>
        <v>5000000</v>
      </c>
      <c r="AB947" s="1536"/>
      <c r="AC947" s="1536"/>
      <c r="AD947" s="1536"/>
      <c r="AE947" s="1536"/>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53" t="s">
        <v>2750</v>
      </c>
      <c r="J948" s="1654"/>
      <c r="K948" s="1654"/>
      <c r="L948" s="1654"/>
      <c r="M948" s="1654"/>
      <c r="N948" s="1654"/>
      <c r="O948" s="1654"/>
      <c r="P948" s="1654"/>
      <c r="Q948" s="1654"/>
      <c r="R948" s="1654"/>
      <c r="S948" s="1654"/>
      <c r="T948" s="1655"/>
      <c r="U948" s="1628" t="s">
        <v>553</v>
      </c>
      <c r="V948" s="1420"/>
      <c r="W948" s="1420"/>
      <c r="X948" s="1420"/>
      <c r="Y948" s="1420"/>
      <c r="Z948" s="1421"/>
      <c r="AA948" s="1629">
        <f>AO630</f>
        <v>551582</v>
      </c>
      <c r="AB948" s="1536"/>
      <c r="AC948" s="1536"/>
      <c r="AD948" s="1536"/>
      <c r="AE948" s="1536"/>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53" t="s">
        <v>335</v>
      </c>
      <c r="J949" s="1654"/>
      <c r="K949" s="1654"/>
      <c r="L949" s="1654"/>
      <c r="M949" s="1654"/>
      <c r="N949" s="1654"/>
      <c r="O949" s="1654"/>
      <c r="P949" s="1654"/>
      <c r="Q949" s="1654"/>
      <c r="R949" s="1654"/>
      <c r="S949" s="1654"/>
      <c r="T949" s="1655"/>
      <c r="U949" s="1628" t="s">
        <v>599</v>
      </c>
      <c r="V949" s="1420"/>
      <c r="W949" s="1420"/>
      <c r="X949" s="1420"/>
      <c r="Y949" s="1420"/>
      <c r="Z949" s="1421"/>
      <c r="AA949" s="1629"/>
      <c r="AB949" s="1536"/>
      <c r="AC949" s="1536"/>
      <c r="AD949" s="1536"/>
      <c r="AE949" s="1536"/>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56">
        <v>44561</v>
      </c>
      <c r="N954" s="1608"/>
      <c r="O954" s="1608"/>
      <c r="P954" s="1608"/>
      <c r="Q954" s="1608"/>
      <c r="R954" s="1608"/>
      <c r="S954" s="1609"/>
      <c r="U954" s="66" t="s">
        <v>11</v>
      </c>
      <c r="V954" s="5"/>
      <c r="W954" s="5"/>
      <c r="X954" s="5"/>
      <c r="Y954" s="5"/>
      <c r="Z954" s="5"/>
      <c r="AA954" s="5"/>
      <c r="AB954" s="5"/>
      <c r="AC954" s="5"/>
      <c r="AD954" s="46"/>
      <c r="AE954" s="1656"/>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30" t="s">
        <v>2751</v>
      </c>
      <c r="N955" s="1484"/>
      <c r="O955" s="1484"/>
      <c r="P955" s="1484"/>
      <c r="Q955" s="1484"/>
      <c r="R955" s="1484"/>
      <c r="S955" s="1731"/>
      <c r="U955" s="66" t="s">
        <v>12</v>
      </c>
      <c r="V955" s="5"/>
      <c r="W955" s="5"/>
      <c r="X955" s="5"/>
      <c r="Y955" s="5"/>
      <c r="Z955" s="5"/>
      <c r="AA955" s="5"/>
      <c r="AB955" s="5"/>
      <c r="AC955" s="5"/>
      <c r="AD955" s="46"/>
      <c r="AE955" s="1730"/>
      <c r="AF955" s="1484"/>
      <c r="AG955" s="1484"/>
      <c r="AH955" s="1484"/>
      <c r="AI955" s="1484"/>
      <c r="AJ955" s="1484"/>
      <c r="AK955" s="173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650" t="s">
        <v>2752</v>
      </c>
      <c r="K956" s="1651"/>
      <c r="L956" s="1651"/>
      <c r="M956" s="1651"/>
      <c r="N956" s="1651"/>
      <c r="O956" s="1651"/>
      <c r="P956" s="1651"/>
      <c r="Q956" s="1651"/>
      <c r="R956" s="1651"/>
      <c r="S956" s="1652"/>
      <c r="U956" s="66" t="s">
        <v>892</v>
      </c>
      <c r="V956" s="5"/>
      <c r="W956" s="5"/>
      <c r="AB956" s="1650" t="s">
        <v>308</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80">
        <v>0.87</v>
      </c>
      <c r="N957" s="1681"/>
      <c r="O957" s="1681"/>
      <c r="P957" s="1681"/>
      <c r="Q957" s="1681"/>
      <c r="R957" s="1681"/>
      <c r="S957" s="1682"/>
      <c r="U957" s="66" t="s">
        <v>13</v>
      </c>
      <c r="V957" s="5"/>
      <c r="W957" s="5"/>
      <c r="X957" s="5"/>
      <c r="Y957" s="5"/>
      <c r="Z957" s="5"/>
      <c r="AA957" s="5"/>
      <c r="AB957" s="5"/>
      <c r="AC957" s="5"/>
      <c r="AD957" s="46"/>
      <c r="AE957" s="1811"/>
      <c r="AF957" s="1681"/>
      <c r="AG957" s="1681"/>
      <c r="AH957" s="1681"/>
      <c r="AI957" s="1681"/>
      <c r="AJ957" s="1681"/>
      <c r="AK957" s="168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24">
        <v>40</v>
      </c>
      <c r="N958" s="1597"/>
      <c r="O958" s="1597"/>
      <c r="P958" s="1597"/>
      <c r="Q958" s="1597"/>
      <c r="R958" s="1597"/>
      <c r="S958" s="1598"/>
      <c r="U958" s="66" t="s">
        <v>14</v>
      </c>
      <c r="V958" s="5"/>
      <c r="W958" s="5"/>
      <c r="X958" s="5"/>
      <c r="Y958" s="5"/>
      <c r="Z958" s="5"/>
      <c r="AA958" s="5"/>
      <c r="AB958" s="5"/>
      <c r="AC958" s="5"/>
      <c r="AD958" s="46"/>
      <c r="AE958" s="1724"/>
      <c r="AF958" s="1597"/>
      <c r="AG958" s="1597"/>
      <c r="AH958" s="1597"/>
      <c r="AI958" s="1597"/>
      <c r="AJ958" s="1597"/>
      <c r="AK958" s="159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29">
        <f>Z809</f>
        <v>732960</v>
      </c>
      <c r="N959" s="1536"/>
      <c r="O959" s="1536"/>
      <c r="P959" s="1536"/>
      <c r="Q959" s="1536"/>
      <c r="R959" s="1536"/>
      <c r="S959" s="1630"/>
      <c r="U959" s="66" t="s">
        <v>15</v>
      </c>
      <c r="V959" s="5"/>
      <c r="W959" s="5"/>
      <c r="X959" s="5"/>
      <c r="Y959" s="5"/>
      <c r="Z959" s="5"/>
      <c r="AA959" s="5"/>
      <c r="AB959" s="5"/>
      <c r="AC959" s="5"/>
      <c r="AD959" s="46"/>
      <c r="AE959" s="1629"/>
      <c r="AF959" s="1536"/>
      <c r="AG959" s="1536"/>
      <c r="AH959" s="1536"/>
      <c r="AI959" s="1536"/>
      <c r="AJ959" s="1536"/>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29">
        <f>M961*M959</f>
        <v>21988800</v>
      </c>
      <c r="N960" s="1536"/>
      <c r="O960" s="1536"/>
      <c r="P960" s="1536"/>
      <c r="Q960" s="1536"/>
      <c r="R960" s="1536"/>
      <c r="S960" s="1630"/>
      <c r="U960" s="66" t="s">
        <v>16</v>
      </c>
      <c r="V960" s="5"/>
      <c r="W960" s="5"/>
      <c r="X960" s="5"/>
      <c r="Y960" s="5"/>
      <c r="Z960" s="5"/>
      <c r="AA960" s="5"/>
      <c r="AB960" s="5"/>
      <c r="AC960" s="5"/>
      <c r="AD960" s="46"/>
      <c r="AE960" s="1629"/>
      <c r="AF960" s="1536"/>
      <c r="AG960" s="1536"/>
      <c r="AH960" s="1536"/>
      <c r="AI960" s="1536"/>
      <c r="AJ960" s="1536"/>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1773</v>
      </c>
      <c r="D961" s="5"/>
      <c r="E961" s="5"/>
      <c r="F961" s="5"/>
      <c r="G961" s="5"/>
      <c r="H961" s="5"/>
      <c r="I961" s="5"/>
      <c r="J961" s="5"/>
      <c r="K961" s="5"/>
      <c r="L961" s="46"/>
      <c r="M961" s="1661">
        <v>30</v>
      </c>
      <c r="N961" s="1662"/>
      <c r="O961" s="1662"/>
      <c r="P961" s="1662"/>
      <c r="Q961" s="1662"/>
      <c r="R961" s="1662"/>
      <c r="S961" s="1663"/>
      <c r="U961" s="121" t="s">
        <v>1773</v>
      </c>
      <c r="V961" s="5"/>
      <c r="W961" s="5"/>
      <c r="X961" s="5"/>
      <c r="Y961" s="5"/>
      <c r="Z961" s="5"/>
      <c r="AA961" s="5"/>
      <c r="AB961" s="5"/>
      <c r="AC961" s="5"/>
      <c r="AD961" s="46"/>
      <c r="AE961" s="1661"/>
      <c r="AF961" s="1662"/>
      <c r="AG961" s="1662"/>
      <c r="AH961" s="1662"/>
      <c r="AI961" s="1662"/>
      <c r="AJ961" s="1662"/>
      <c r="AK961" s="166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657" t="s">
        <v>599</v>
      </c>
      <c r="N966" s="1658"/>
      <c r="O966" s="1658"/>
      <c r="P966" s="1658"/>
      <c r="Q966" s="1658"/>
      <c r="R966" s="1658"/>
      <c r="S966" s="1659"/>
      <c r="T966" s="66" t="s">
        <v>799</v>
      </c>
      <c r="U966" s="5"/>
      <c r="V966" s="5"/>
      <c r="W966" s="5"/>
      <c r="X966" s="5"/>
      <c r="Y966" s="5"/>
      <c r="Z966" s="46"/>
      <c r="AA966" s="1657" t="s">
        <v>599</v>
      </c>
      <c r="AB966" s="1658"/>
      <c r="AC966" s="1658"/>
      <c r="AD966" s="1658"/>
      <c r="AE966" s="1658"/>
      <c r="AF966" s="1658"/>
      <c r="AG966" s="165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657" t="s">
        <v>599</v>
      </c>
      <c r="N967" s="1658"/>
      <c r="O967" s="1658"/>
      <c r="P967" s="1658"/>
      <c r="Q967" s="1658"/>
      <c r="R967" s="1658"/>
      <c r="S967" s="1659"/>
      <c r="T967" s="66" t="s">
        <v>798</v>
      </c>
      <c r="U967" s="5"/>
      <c r="V967" s="5"/>
      <c r="W967" s="5"/>
      <c r="X967" s="5"/>
      <c r="Y967" s="5"/>
      <c r="Z967" s="46"/>
      <c r="AA967" s="1657" t="s">
        <v>599</v>
      </c>
      <c r="AB967" s="1658"/>
      <c r="AC967" s="1658"/>
      <c r="AD967" s="1658"/>
      <c r="AE967" s="1658"/>
      <c r="AF967" s="1658"/>
      <c r="AG967" s="165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73" t="s">
        <v>599</v>
      </c>
      <c r="N968" s="1674"/>
      <c r="O968" s="1674"/>
      <c r="P968" s="1674"/>
      <c r="Q968" s="1674"/>
      <c r="R968" s="1674"/>
      <c r="S968" s="1675"/>
      <c r="T968" s="45" t="s">
        <v>337</v>
      </c>
      <c r="U968" s="5"/>
      <c r="V968" s="5"/>
      <c r="W968" s="5"/>
      <c r="X968" s="5"/>
      <c r="Y968" s="5"/>
      <c r="Z968" s="46"/>
      <c r="AA968" s="1657" t="s">
        <v>599</v>
      </c>
      <c r="AB968" s="1658"/>
      <c r="AC968" s="1658"/>
      <c r="AD968" s="1658"/>
      <c r="AE968" s="1658"/>
      <c r="AF968" s="1658"/>
      <c r="AG968" s="165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657" t="s">
        <v>599</v>
      </c>
      <c r="N969" s="1658"/>
      <c r="O969" s="1658"/>
      <c r="P969" s="1658"/>
      <c r="Q969" s="1658"/>
      <c r="R969" s="1658"/>
      <c r="S969" s="1659"/>
      <c r="T969" s="45" t="s">
        <v>338</v>
      </c>
      <c r="U969" s="5"/>
      <c r="V969" s="5"/>
      <c r="W969" s="5"/>
      <c r="X969" s="5"/>
      <c r="Y969" s="5"/>
      <c r="Z969" s="46"/>
      <c r="AA969" s="1657" t="s">
        <v>599</v>
      </c>
      <c r="AB969" s="1658"/>
      <c r="AC969" s="1658"/>
      <c r="AD969" s="1658"/>
      <c r="AE969" s="1658"/>
      <c r="AF969" s="1658"/>
      <c r="AG969" s="165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657" t="s">
        <v>599</v>
      </c>
      <c r="N970" s="1658"/>
      <c r="O970" s="1658"/>
      <c r="P970" s="1658"/>
      <c r="Q970" s="1658"/>
      <c r="R970" s="1658"/>
      <c r="S970" s="1659"/>
      <c r="T970" s="45" t="s">
        <v>376</v>
      </c>
      <c r="U970" s="5"/>
      <c r="V970" s="5"/>
      <c r="W970" s="5"/>
      <c r="X970" s="5"/>
      <c r="Y970" s="5"/>
      <c r="Z970" s="46"/>
      <c r="AA970" s="1657" t="s">
        <v>599</v>
      </c>
      <c r="AB970" s="1658"/>
      <c r="AC970" s="1658"/>
      <c r="AD970" s="1658"/>
      <c r="AE970" s="1658"/>
      <c r="AF970" s="1658"/>
      <c r="AG970" s="165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50" t="s">
        <v>308</v>
      </c>
      <c r="N971" s="1651"/>
      <c r="O971" s="1651"/>
      <c r="P971" s="1651"/>
      <c r="Q971" s="1651"/>
      <c r="R971" s="1651"/>
      <c r="S971" s="1652"/>
      <c r="T971" s="1677"/>
      <c r="U971" s="1678"/>
      <c r="V971" s="1678"/>
      <c r="W971" s="1678"/>
      <c r="X971" s="1678"/>
      <c r="Y971" s="1678"/>
      <c r="Z971" s="1679"/>
      <c r="AA971" s="1657"/>
      <c r="AB971" s="1658"/>
      <c r="AC971" s="1658"/>
      <c r="AD971" s="1658"/>
      <c r="AE971" s="1658"/>
      <c r="AF971" s="1658"/>
      <c r="AG971" s="165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657" t="s">
        <v>599</v>
      </c>
      <c r="N972" s="1658"/>
      <c r="O972" s="1658"/>
      <c r="P972" s="1658"/>
      <c r="Q972" s="1658"/>
      <c r="R972" s="1658"/>
      <c r="S972" s="1659"/>
      <c r="T972" s="1677"/>
      <c r="U972" s="1678"/>
      <c r="V972" s="1678"/>
      <c r="W972" s="1678"/>
      <c r="X972" s="1678"/>
      <c r="Y972" s="1678"/>
      <c r="Z972" s="1679"/>
      <c r="AA972" s="1657"/>
      <c r="AB972" s="1658"/>
      <c r="AC972" s="1658"/>
      <c r="AD972" s="1658"/>
      <c r="AE972" s="1658"/>
      <c r="AF972" s="1658"/>
      <c r="AG972" s="165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442" t="s">
        <v>677</v>
      </c>
      <c r="P973" s="1444"/>
      <c r="Q973" s="92"/>
      <c r="R973" s="92"/>
      <c r="S973" s="93"/>
      <c r="T973" s="41" t="s">
        <v>170</v>
      </c>
      <c r="U973" s="42"/>
      <c r="V973" s="42"/>
      <c r="W973" s="1725" t="s">
        <v>599</v>
      </c>
      <c r="X973" s="1726"/>
      <c r="Y973" s="1726"/>
      <c r="Z973" s="1726"/>
      <c r="AA973" s="1726"/>
      <c r="AB973" s="1726"/>
      <c r="AC973" s="1726"/>
      <c r="AD973" s="1726"/>
      <c r="AE973" s="1726"/>
      <c r="AF973" s="1726"/>
      <c r="AG973" s="172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4" t="s">
        <v>33</v>
      </c>
      <c r="G974" s="1516"/>
      <c r="H974" s="1516"/>
      <c r="I974" s="1516"/>
      <c r="J974" s="1516"/>
      <c r="K974" s="1516"/>
      <c r="L974" s="1516"/>
      <c r="M974" s="1657" t="s">
        <v>599</v>
      </c>
      <c r="N974" s="1658"/>
      <c r="O974" s="1658"/>
      <c r="P974" s="1658"/>
      <c r="Q974" s="1658"/>
      <c r="R974" s="1658"/>
      <c r="S974" s="1659"/>
      <c r="T974" s="47"/>
      <c r="U974" s="48"/>
      <c r="V974" s="48"/>
      <c r="W974" s="48"/>
      <c r="X974" s="48"/>
      <c r="Y974" s="48"/>
      <c r="Z974" s="124" t="s">
        <v>134</v>
      </c>
      <c r="AA974" s="1776" t="s">
        <v>599</v>
      </c>
      <c r="AB974" s="1777"/>
      <c r="AC974" s="1777"/>
      <c r="AD974" s="1777"/>
      <c r="AE974" s="1777"/>
      <c r="AF974" s="1777"/>
      <c r="AG974" s="1778"/>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735" t="s">
        <v>556</v>
      </c>
      <c r="B978" s="1735"/>
      <c r="C978" s="1735"/>
      <c r="D978" s="1735"/>
      <c r="E978" s="1735"/>
      <c r="F978" s="1735"/>
      <c r="G978" s="1735"/>
      <c r="H978" s="1735"/>
      <c r="I978" s="1735"/>
      <c r="J978" s="1735"/>
      <c r="K978" s="1735"/>
      <c r="L978" s="1735"/>
      <c r="M978" s="1735"/>
      <c r="N978" s="1735"/>
      <c r="O978" s="1735"/>
      <c r="P978" s="1735"/>
      <c r="Q978" s="1735"/>
      <c r="R978" s="1735"/>
      <c r="S978" s="1735"/>
      <c r="T978" s="1735"/>
      <c r="U978" s="1735"/>
      <c r="V978" s="1735"/>
      <c r="W978" s="1735"/>
      <c r="X978" s="1735"/>
      <c r="Y978" s="1735"/>
      <c r="Z978" s="1735"/>
      <c r="AA978" s="1735"/>
      <c r="AB978" s="1735"/>
      <c r="AC978" s="1735"/>
      <c r="AD978" s="1735"/>
      <c r="AE978" s="1735"/>
      <c r="AF978" s="1735"/>
      <c r="AG978" s="1735"/>
      <c r="AH978" s="1735"/>
      <c r="AI978" s="1735"/>
      <c r="AJ978" s="1735"/>
      <c r="AK978" s="1735"/>
      <c r="AL978" s="1735"/>
      <c r="AM978" s="1735"/>
      <c r="AN978" s="1735"/>
      <c r="AO978" s="1735"/>
      <c r="AP978" s="1735"/>
      <c r="AQ978" s="1735"/>
      <c r="AR978" s="1735"/>
      <c r="AS978" s="1735"/>
      <c r="AT978" s="173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735"/>
      <c r="B979" s="1735"/>
      <c r="C979" s="1735"/>
      <c r="D979" s="1735"/>
      <c r="E979" s="1735"/>
      <c r="F979" s="1735"/>
      <c r="G979" s="1735"/>
      <c r="H979" s="1735"/>
      <c r="I979" s="1735"/>
      <c r="J979" s="1735"/>
      <c r="K979" s="1735"/>
      <c r="L979" s="1735"/>
      <c r="M979" s="1735"/>
      <c r="N979" s="1735"/>
      <c r="O979" s="1735"/>
      <c r="P979" s="1735"/>
      <c r="Q979" s="1735"/>
      <c r="R979" s="1735"/>
      <c r="S979" s="1735"/>
      <c r="T979" s="1735"/>
      <c r="U979" s="1735"/>
      <c r="V979" s="1735"/>
      <c r="W979" s="1735"/>
      <c r="X979" s="1735"/>
      <c r="Y979" s="1735"/>
      <c r="Z979" s="1735"/>
      <c r="AA979" s="1735"/>
      <c r="AB979" s="1735"/>
      <c r="AC979" s="1735"/>
      <c r="AD979" s="1735"/>
      <c r="AE979" s="1735"/>
      <c r="AF979" s="1735"/>
      <c r="AG979" s="1735"/>
      <c r="AH979" s="1735"/>
      <c r="AI979" s="1735"/>
      <c r="AJ979" s="1735"/>
      <c r="AK979" s="1735"/>
      <c r="AL979" s="1735"/>
      <c r="AM979" s="1735"/>
      <c r="AN979" s="1735"/>
      <c r="AO979" s="1735"/>
      <c r="AP979" s="1735"/>
      <c r="AQ979" s="1735"/>
      <c r="AR979" s="1735"/>
      <c r="AS979" s="1735"/>
      <c r="AT979" s="173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735"/>
      <c r="B980" s="1735"/>
      <c r="C980" s="1735"/>
      <c r="D980" s="1735"/>
      <c r="E980" s="1735"/>
      <c r="F980" s="1735"/>
      <c r="G980" s="1735"/>
      <c r="H980" s="1735"/>
      <c r="I980" s="1735"/>
      <c r="J980" s="1735"/>
      <c r="K980" s="1735"/>
      <c r="L980" s="1735"/>
      <c r="M980" s="1735"/>
      <c r="N980" s="1735"/>
      <c r="O980" s="1735"/>
      <c r="P980" s="1735"/>
      <c r="Q980" s="1735"/>
      <c r="R980" s="1735"/>
      <c r="S980" s="1735"/>
      <c r="T980" s="1735"/>
      <c r="U980" s="1735"/>
      <c r="V980" s="1735"/>
      <c r="W980" s="1735"/>
      <c r="X980" s="1735"/>
      <c r="Y980" s="1735"/>
      <c r="Z980" s="1735"/>
      <c r="AA980" s="1735"/>
      <c r="AB980" s="1735"/>
      <c r="AC980" s="1735"/>
      <c r="AD980" s="1735"/>
      <c r="AE980" s="1735"/>
      <c r="AF980" s="1735"/>
      <c r="AG980" s="1735"/>
      <c r="AH980" s="1735"/>
      <c r="AI980" s="1735"/>
      <c r="AJ980" s="1735"/>
      <c r="AK980" s="1735"/>
      <c r="AL980" s="1735"/>
      <c r="AM980" s="1735"/>
      <c r="AN980" s="1735"/>
      <c r="AO980" s="1735"/>
      <c r="AP980" s="1735"/>
      <c r="AQ980" s="1735"/>
      <c r="AR980" s="1735"/>
      <c r="AS980" s="1735"/>
      <c r="AT980" s="173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83" t="s">
        <v>646</v>
      </c>
      <c r="E984" s="1684"/>
      <c r="F984" s="1684"/>
      <c r="G984" s="1684"/>
      <c r="H984" s="1684"/>
      <c r="I984" s="1684"/>
      <c r="J984" s="1684"/>
      <c r="K984" s="1684"/>
      <c r="L984" s="1684"/>
      <c r="M984" s="1684"/>
      <c r="N984" s="1684"/>
      <c r="O984" s="1684"/>
      <c r="P984" s="1684"/>
      <c r="Q984" s="1685"/>
      <c r="R984" s="1683" t="s">
        <v>647</v>
      </c>
      <c r="S984" s="1684"/>
      <c r="T984" s="1684"/>
      <c r="U984" s="1684"/>
      <c r="V984" s="1684"/>
      <c r="W984" s="1684"/>
      <c r="X984" s="1684"/>
      <c r="Y984" s="1684"/>
      <c r="Z984" s="1684"/>
      <c r="AA984" s="1685"/>
      <c r="AB984" s="1683" t="s">
        <v>648</v>
      </c>
      <c r="AC984" s="1684"/>
      <c r="AD984" s="1684"/>
      <c r="AE984" s="1684"/>
      <c r="AF984" s="1684"/>
      <c r="AG984" s="1684"/>
      <c r="AH984" s="1684"/>
      <c r="AI984" s="1685"/>
      <c r="AJ984" s="1683" t="s">
        <v>649</v>
      </c>
      <c r="AK984" s="1684"/>
      <c r="AL984" s="1684"/>
      <c r="AM984" s="1684"/>
      <c r="AN984" s="1684"/>
      <c r="AO984" s="1684"/>
      <c r="AP984" s="1684"/>
      <c r="AQ984" s="168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5" t="s">
        <v>641</v>
      </c>
      <c r="E985" s="1526"/>
      <c r="F985" s="1526"/>
      <c r="G985" s="1526"/>
      <c r="H985" s="1526"/>
      <c r="I985" s="1526"/>
      <c r="J985" s="1526"/>
      <c r="K985" s="1526"/>
      <c r="L985" s="1526"/>
      <c r="M985" s="1526"/>
      <c r="N985" s="1526"/>
      <c r="O985" s="1526"/>
      <c r="P985" s="1526"/>
      <c r="Q985" s="1527"/>
      <c r="R985" s="1660">
        <f>IF(ISNA(IF($BN$796="4%",(INDEX($BP$806:$BT$863,MATCH($CB$796,$BO$806:$BO$863,0),MATCH(D985,$BP$805:$BT$805,0))),(INDEX($BW$806:$CA$863,MATCH($CB$796,$BV$806:$BV$863,0),MATCH(D985,$BW$805:$CA$805,0))))),0,IF($BN$796="4%",(INDEX($BP$806:$BT$863,MATCH($CB$796,$BO$806:$BO$863,0),MATCH(D985,$BP$805:$BT$805,0))),(INDEX($BW$806:$CA$863,MATCH($CB$796,$BV$806:$BV$863,0),MATCH(D985,$BW$805:$CA$805,0)))))</f>
        <v>473390</v>
      </c>
      <c r="S985" s="1660"/>
      <c r="T985" s="1660"/>
      <c r="U985" s="1660"/>
      <c r="V985" s="1660"/>
      <c r="W985" s="1660"/>
      <c r="X985" s="1660"/>
      <c r="Y985" s="1660"/>
      <c r="Z985" s="1660"/>
      <c r="AA985" s="1660"/>
      <c r="AB985" s="1686">
        <f>BN660</f>
        <v>25</v>
      </c>
      <c r="AC985" s="1687"/>
      <c r="AD985" s="1687"/>
      <c r="AE985" s="1687"/>
      <c r="AF985" s="1687"/>
      <c r="AG985" s="1687"/>
      <c r="AH985" s="1687"/>
      <c r="AI985" s="1688"/>
      <c r="AJ985" s="1664">
        <f>IF(ISERROR((R985*AB985)),0,(R985*AB985))</f>
        <v>11834750</v>
      </c>
      <c r="AK985" s="1665"/>
      <c r="AL985" s="1665"/>
      <c r="AM985" s="1665"/>
      <c r="AN985" s="1665"/>
      <c r="AO985" s="1665"/>
      <c r="AP985" s="1665"/>
      <c r="AQ985" s="166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5" t="s">
        <v>326</v>
      </c>
      <c r="E986" s="1526"/>
      <c r="F986" s="1526"/>
      <c r="G986" s="1526"/>
      <c r="H986" s="1526"/>
      <c r="I986" s="1526"/>
      <c r="J986" s="1526"/>
      <c r="K986" s="1526"/>
      <c r="L986" s="1526"/>
      <c r="M986" s="1526"/>
      <c r="N986" s="1526"/>
      <c r="O986" s="1526"/>
      <c r="P986" s="1526"/>
      <c r="Q986" s="1527"/>
      <c r="R986" s="1660">
        <f>IF(ISNA(IF($BN$796="4%",(INDEX($BP$806:$BT$863,MATCH($CB$796,$BO$806:$BO$863,0),MATCH(D986,$BP$805:$BT$805,0))),(INDEX($BW$806:$CA$863,MATCH($CB$796,$BV$806:$BV$863,0),MATCH(D986,$BW$805:$CA$805,0))))),0,IF($BN$796="4%",(INDEX($BP$806:$BT$863,MATCH($CB$796,$BO$806:$BO$863,0),MATCH(D986,$BP$805:$BT$805,0))),(INDEX($BW$806:$CA$863,MATCH($CB$796,$BV$806:$BV$863,0),MATCH(D986,$BW$805:$CA$805,0)))))</f>
        <v>545814</v>
      </c>
      <c r="S986" s="1660"/>
      <c r="T986" s="1660"/>
      <c r="U986" s="1660"/>
      <c r="V986" s="1660"/>
      <c r="W986" s="1660"/>
      <c r="X986" s="1660"/>
      <c r="Y986" s="1660"/>
      <c r="Z986" s="1660"/>
      <c r="AA986" s="1660"/>
      <c r="AB986" s="1686">
        <f>BS660</f>
        <v>21</v>
      </c>
      <c r="AC986" s="1687"/>
      <c r="AD986" s="1687"/>
      <c r="AE986" s="1687"/>
      <c r="AF986" s="1687"/>
      <c r="AG986" s="1687"/>
      <c r="AH986" s="1687"/>
      <c r="AI986" s="1688"/>
      <c r="AJ986" s="1664">
        <f>IF(ISERROR((R986*AB986)),0,(R986*AB986))</f>
        <v>11462094</v>
      </c>
      <c r="AK986" s="1665"/>
      <c r="AL986" s="1665"/>
      <c r="AM986" s="1665"/>
      <c r="AN986" s="1665"/>
      <c r="AO986" s="1665"/>
      <c r="AP986" s="1665"/>
      <c r="AQ986" s="166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5" t="s">
        <v>163</v>
      </c>
      <c r="E987" s="1526"/>
      <c r="F987" s="1526"/>
      <c r="G987" s="1526"/>
      <c r="H987" s="1526"/>
      <c r="I987" s="1526"/>
      <c r="J987" s="1526"/>
      <c r="K987" s="1526"/>
      <c r="L987" s="1526"/>
      <c r="M987" s="1526"/>
      <c r="N987" s="1526"/>
      <c r="O987" s="1526"/>
      <c r="P987" s="1526"/>
      <c r="Q987" s="1527"/>
      <c r="R987" s="1660">
        <f>IF(ISNA(IF($BN$796="4%",(INDEX($BP$806:$BT$863,MATCH($CB$796,$BO$806:$BO$863,0),MATCH(D987,$BP$805:$BT$805,0))),(INDEX($BW$806:$CA$863,MATCH($CB$796,$BV$806:$BV$863,0),MATCH(D987,$BW$805:$CA$805,0))))),0,IF($BN$796="4%",(INDEX($BP$806:$BT$863,MATCH($CB$796,$BO$806:$BO$863,0),MATCH(D987,$BP$805:$BT$805,0))),(INDEX($BW$806:$CA$863,MATCH($CB$796,$BV$806:$BV$863,0),MATCH(D987,$BW$805:$CA$805,0)))))</f>
        <v>658400</v>
      </c>
      <c r="S987" s="1660"/>
      <c r="T987" s="1660"/>
      <c r="U987" s="1660"/>
      <c r="V987" s="1660"/>
      <c r="W987" s="1660"/>
      <c r="X987" s="1660"/>
      <c r="Y987" s="1660"/>
      <c r="Z987" s="1660"/>
      <c r="AA987" s="1660"/>
      <c r="AB987" s="1686">
        <f>BX660</f>
        <v>0</v>
      </c>
      <c r="AC987" s="1687"/>
      <c r="AD987" s="1687"/>
      <c r="AE987" s="1687"/>
      <c r="AF987" s="1687"/>
      <c r="AG987" s="1687"/>
      <c r="AH987" s="1687"/>
      <c r="AI987" s="1688"/>
      <c r="AJ987" s="1664">
        <f>IF(ISERROR((R987*AB987)),0,(R987*AB987))</f>
        <v>0</v>
      </c>
      <c r="AK987" s="1665"/>
      <c r="AL987" s="1665"/>
      <c r="AM987" s="1665"/>
      <c r="AN987" s="1665"/>
      <c r="AO987" s="1665"/>
      <c r="AP987" s="1665"/>
      <c r="AQ987" s="166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5" t="s">
        <v>164</v>
      </c>
      <c r="E988" s="1526"/>
      <c r="F988" s="1526"/>
      <c r="G988" s="1526"/>
      <c r="H988" s="1526"/>
      <c r="I988" s="1526"/>
      <c r="J988" s="1526"/>
      <c r="K988" s="1526"/>
      <c r="L988" s="1526"/>
      <c r="M988" s="1526"/>
      <c r="N988" s="1526"/>
      <c r="O988" s="1526"/>
      <c r="P988" s="1526"/>
      <c r="Q988" s="1527"/>
      <c r="R988" s="1660">
        <f>IF(ISNA(IF($BN$796="4%",(INDEX($BP$806:$BT$863,MATCH($CB$796,$BO$806:$BO$863,0),MATCH(D988,$BP$805:$BT$805,0))),(INDEX($BW$806:$CA$863,MATCH($CB$796,$BV$806:$BV$863,0),MATCH(D988,$BW$805:$CA$805,0))))),0,IF($BN$796="4%",(INDEX($BP$806:$BT$863,MATCH($CB$796,$BO$806:$BO$863,0),MATCH(D988,$BP$805:$BT$805,0))),(INDEX($BW$806:$CA$863,MATCH($CB$796,$BV$806:$BV$863,0),MATCH(D988,$BW$805:$CA$805,0)))))</f>
        <v>842752</v>
      </c>
      <c r="S988" s="1660"/>
      <c r="T988" s="1660"/>
      <c r="U988" s="1660"/>
      <c r="V988" s="1660"/>
      <c r="W988" s="1660"/>
      <c r="X988" s="1660"/>
      <c r="Y988" s="1660"/>
      <c r="Z988" s="1660"/>
      <c r="AA988" s="1660"/>
      <c r="AB988" s="1686">
        <f>CC660</f>
        <v>0</v>
      </c>
      <c r="AC988" s="1687"/>
      <c r="AD988" s="1687"/>
      <c r="AE988" s="1687"/>
      <c r="AF988" s="1687"/>
      <c r="AG988" s="1687"/>
      <c r="AH988" s="1687"/>
      <c r="AI988" s="1688"/>
      <c r="AJ988" s="1664">
        <f>IF(ISERROR((R988*AB988)),0,(R988*AB988))</f>
        <v>0</v>
      </c>
      <c r="AK988" s="1665"/>
      <c r="AL988" s="1665"/>
      <c r="AM988" s="1665"/>
      <c r="AN988" s="1665"/>
      <c r="AO988" s="1665"/>
      <c r="AP988" s="1665"/>
      <c r="AQ988" s="166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5" t="s">
        <v>468</v>
      </c>
      <c r="E989" s="1526"/>
      <c r="F989" s="1526"/>
      <c r="G989" s="1526"/>
      <c r="H989" s="1526"/>
      <c r="I989" s="1526"/>
      <c r="J989" s="1526"/>
      <c r="K989" s="1526"/>
      <c r="L989" s="1526"/>
      <c r="M989" s="1526"/>
      <c r="N989" s="1526"/>
      <c r="O989" s="1526"/>
      <c r="P989" s="1526"/>
      <c r="Q989" s="1527"/>
      <c r="R989" s="1660">
        <f>IF(ISNA(IF($BN$796="4%",(INDEX($BP$806:$BT$863,MATCH($CB$796,$BO$806:$BO$863,0),MATCH(D989,$BP$805:$BT$805,0))),(INDEX($BW$806:$CA$863,MATCH($CB$796,$BV$806:$BV$863,0),MATCH(D989,$BW$805:$CA$805,0))))),0,IF($BN$796="4%",(INDEX($BP$806:$BT$863,MATCH($CB$796,$BO$806:$BO$863,0),MATCH(D989,$BP$805:$BT$805,0))),(INDEX($BW$806:$CA$863,MATCH($CB$796,$BV$806:$BV$863,0),MATCH(D989,$BW$805:$CA$805,0)))))</f>
        <v>938878</v>
      </c>
      <c r="S989" s="1660"/>
      <c r="T989" s="1660"/>
      <c r="U989" s="1660"/>
      <c r="V989" s="1660"/>
      <c r="W989" s="1660"/>
      <c r="X989" s="1660"/>
      <c r="Y989" s="1660"/>
      <c r="Z989" s="1660"/>
      <c r="AA989" s="1660"/>
      <c r="AB989" s="1686">
        <f>CM660+CH660</f>
        <v>0</v>
      </c>
      <c r="AC989" s="1687"/>
      <c r="AD989" s="1687"/>
      <c r="AE989" s="1687"/>
      <c r="AF989" s="1687"/>
      <c r="AG989" s="1687"/>
      <c r="AH989" s="1687"/>
      <c r="AI989" s="1688"/>
      <c r="AJ989" s="1664">
        <f>IF(ISERROR((R989*AB989)),0,(R989*AB989))</f>
        <v>0</v>
      </c>
      <c r="AK989" s="1665"/>
      <c r="AL989" s="1665"/>
      <c r="AM989" s="1665"/>
      <c r="AN989" s="1665"/>
      <c r="AO989" s="1665"/>
      <c r="AP989" s="1665"/>
      <c r="AQ989" s="166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45" t="s">
        <v>800</v>
      </c>
      <c r="C990" s="1746"/>
      <c r="D990" s="1746"/>
      <c r="E990" s="1746"/>
      <c r="F990" s="1746"/>
      <c r="G990" s="1746"/>
      <c r="H990" s="1746"/>
      <c r="I990" s="1746"/>
      <c r="J990" s="1746"/>
      <c r="K990" s="1746"/>
      <c r="L990" s="1746"/>
      <c r="M990" s="1746"/>
      <c r="N990" s="1746"/>
      <c r="O990" s="1746"/>
      <c r="P990" s="1746"/>
      <c r="Q990" s="1746"/>
      <c r="R990" s="1746"/>
      <c r="S990" s="1746"/>
      <c r="T990" s="1746"/>
      <c r="U990" s="1746"/>
      <c r="V990" s="1746"/>
      <c r="W990" s="1746"/>
      <c r="X990" s="1746"/>
      <c r="Y990" s="1746"/>
      <c r="Z990" s="1746"/>
      <c r="AA990" s="1747"/>
      <c r="AB990" s="1686">
        <f>SUM(AB985:AI989)</f>
        <v>46</v>
      </c>
      <c r="AC990" s="1687"/>
      <c r="AD990" s="1687"/>
      <c r="AE990" s="1687"/>
      <c r="AF990" s="1687"/>
      <c r="AG990" s="1687"/>
      <c r="AH990" s="1687"/>
      <c r="AI990" s="1688"/>
      <c r="AJ990" s="1664"/>
      <c r="AK990" s="1665"/>
      <c r="AL990" s="1665"/>
      <c r="AM990" s="1665"/>
      <c r="AN990" s="1665"/>
      <c r="AO990" s="1665"/>
      <c r="AP990" s="1665"/>
      <c r="AQ990" s="166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08" t="s">
        <v>520</v>
      </c>
      <c r="C991" s="1809"/>
      <c r="D991" s="1809"/>
      <c r="E991" s="1809"/>
      <c r="F991" s="1809"/>
      <c r="G991" s="1809"/>
      <c r="H991" s="1809"/>
      <c r="I991" s="1809"/>
      <c r="J991" s="1809"/>
      <c r="K991" s="1809"/>
      <c r="L991" s="1809"/>
      <c r="M991" s="1809"/>
      <c r="N991" s="1809"/>
      <c r="O991" s="1809"/>
      <c r="P991" s="1809"/>
      <c r="Q991" s="1809"/>
      <c r="R991" s="1809"/>
      <c r="S991" s="1809"/>
      <c r="T991" s="1809"/>
      <c r="U991" s="1809"/>
      <c r="V991" s="1809"/>
      <c r="W991" s="1809"/>
      <c r="X991" s="1809"/>
      <c r="Y991" s="1809"/>
      <c r="Z991" s="1809"/>
      <c r="AA991" s="1809"/>
      <c r="AB991" s="1809"/>
      <c r="AC991" s="1809"/>
      <c r="AD991" s="1809"/>
      <c r="AE991" s="1809"/>
      <c r="AF991" s="1809"/>
      <c r="AG991" s="1809"/>
      <c r="AH991" s="1809"/>
      <c r="AI991" s="1810"/>
      <c r="AJ991" s="1664">
        <f>SUM(AJ985:AQ989)</f>
        <v>23296844</v>
      </c>
      <c r="AK991" s="1665"/>
      <c r="AL991" s="1665"/>
      <c r="AM991" s="1665"/>
      <c r="AN991" s="1665"/>
      <c r="AO991" s="1665"/>
      <c r="AP991" s="1665"/>
      <c r="AQ991" s="166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6"/>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8"/>
      <c r="AF992" s="1815" t="s">
        <v>674</v>
      </c>
      <c r="AG992" s="1816"/>
      <c r="AH992" s="1816"/>
      <c r="AI992" s="1817"/>
      <c r="AJ992" s="1796"/>
      <c r="AK992" s="1797"/>
      <c r="AL992" s="1797"/>
      <c r="AM992" s="1797"/>
      <c r="AN992" s="1797"/>
      <c r="AO992" s="1797"/>
      <c r="AP992" s="1797"/>
      <c r="AQ992" s="179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748" t="s">
        <v>1326</v>
      </c>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50"/>
      <c r="AF993" s="79"/>
      <c r="AG993" s="1818" t="s">
        <v>553</v>
      </c>
      <c r="AH993" s="1819"/>
      <c r="AI993" s="87"/>
      <c r="AJ993" s="1779">
        <f>ROUND(IF(AND(AG993="yes",D999&gt;0),AJ991*0.2,0),0)</f>
        <v>4659369</v>
      </c>
      <c r="AK993" s="1780"/>
      <c r="AL993" s="1780"/>
      <c r="AM993" s="1780"/>
      <c r="AN993" s="1780"/>
      <c r="AO993" s="1780"/>
      <c r="AP993" s="1780"/>
      <c r="AQ993" s="178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67" t="s">
        <v>2566</v>
      </c>
      <c r="E994" s="1668"/>
      <c r="F994" s="1668"/>
      <c r="G994" s="1668"/>
      <c r="H994" s="1668"/>
      <c r="I994" s="1668"/>
      <c r="J994" s="1668"/>
      <c r="K994" s="1668"/>
      <c r="L994" s="1668"/>
      <c r="M994" s="1668"/>
      <c r="N994" s="1668"/>
      <c r="O994" s="1668"/>
      <c r="P994" s="1668"/>
      <c r="Q994" s="1668"/>
      <c r="R994" s="1668"/>
      <c r="S994" s="1668"/>
      <c r="T994" s="1668"/>
      <c r="U994" s="1668"/>
      <c r="V994" s="1668"/>
      <c r="W994" s="1668"/>
      <c r="X994" s="1668"/>
      <c r="Y994" s="1668"/>
      <c r="Z994" s="1668"/>
      <c r="AA994" s="1668"/>
      <c r="AB994" s="1668"/>
      <c r="AC994" s="1668"/>
      <c r="AD994" s="1668"/>
      <c r="AE994" s="1669"/>
      <c r="AF994" s="73"/>
      <c r="AG994" s="14"/>
      <c r="AH994" s="14"/>
      <c r="AI994" s="83"/>
      <c r="AJ994" s="1782"/>
      <c r="AK994" s="1783"/>
      <c r="AL994" s="1783"/>
      <c r="AM994" s="1783"/>
      <c r="AN994" s="1783"/>
      <c r="AO994" s="1783"/>
      <c r="AP994" s="1783"/>
      <c r="AQ994" s="178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67"/>
      <c r="E995" s="1668"/>
      <c r="F995" s="1668"/>
      <c r="G995" s="1668"/>
      <c r="H995" s="1668"/>
      <c r="I995" s="1668"/>
      <c r="J995" s="1668"/>
      <c r="K995" s="1668"/>
      <c r="L995" s="1668"/>
      <c r="M995" s="1668"/>
      <c r="N995" s="1668"/>
      <c r="O995" s="1668"/>
      <c r="P995" s="1668"/>
      <c r="Q995" s="1668"/>
      <c r="R995" s="1668"/>
      <c r="S995" s="1668"/>
      <c r="T995" s="1668"/>
      <c r="U995" s="1668"/>
      <c r="V995" s="1668"/>
      <c r="W995" s="1668"/>
      <c r="X995" s="1668"/>
      <c r="Y995" s="1668"/>
      <c r="Z995" s="1668"/>
      <c r="AA995" s="1668"/>
      <c r="AB995" s="1668"/>
      <c r="AC995" s="1668"/>
      <c r="AD995" s="1668"/>
      <c r="AE995" s="1669"/>
      <c r="AF995" s="73"/>
      <c r="AG995" s="14"/>
      <c r="AH995" s="14"/>
      <c r="AI995" s="83"/>
      <c r="AJ995" s="1782"/>
      <c r="AK995" s="1783"/>
      <c r="AL995" s="1783"/>
      <c r="AM995" s="1783"/>
      <c r="AN995" s="1783"/>
      <c r="AO995" s="1783"/>
      <c r="AP995" s="1783"/>
      <c r="AQ995" s="178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67"/>
      <c r="E996" s="1668"/>
      <c r="F996" s="1668"/>
      <c r="G996" s="1668"/>
      <c r="H996" s="1668"/>
      <c r="I996" s="1668"/>
      <c r="J996" s="1668"/>
      <c r="K996" s="1668"/>
      <c r="L996" s="1668"/>
      <c r="M996" s="1668"/>
      <c r="N996" s="1668"/>
      <c r="O996" s="1668"/>
      <c r="P996" s="1668"/>
      <c r="Q996" s="1668"/>
      <c r="R996" s="1668"/>
      <c r="S996" s="1668"/>
      <c r="T996" s="1668"/>
      <c r="U996" s="1668"/>
      <c r="V996" s="1668"/>
      <c r="W996" s="1668"/>
      <c r="X996" s="1668"/>
      <c r="Y996" s="1668"/>
      <c r="Z996" s="1668"/>
      <c r="AA996" s="1668"/>
      <c r="AB996" s="1668"/>
      <c r="AC996" s="1668"/>
      <c r="AD996" s="1668"/>
      <c r="AE996" s="1669"/>
      <c r="AF996" s="73"/>
      <c r="AG996" s="14"/>
      <c r="AH996" s="14"/>
      <c r="AI996" s="83"/>
      <c r="AJ996" s="1782"/>
      <c r="AK996" s="1783"/>
      <c r="AL996" s="1783"/>
      <c r="AM996" s="1783"/>
      <c r="AN996" s="1783"/>
      <c r="AO996" s="1783"/>
      <c r="AP996" s="1783"/>
      <c r="AQ996" s="178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67"/>
      <c r="E997" s="1668"/>
      <c r="F997" s="1668"/>
      <c r="G997" s="1668"/>
      <c r="H997" s="1668"/>
      <c r="I997" s="1668"/>
      <c r="J997" s="1668"/>
      <c r="K997" s="1668"/>
      <c r="L997" s="1668"/>
      <c r="M997" s="1668"/>
      <c r="N997" s="1668"/>
      <c r="O997" s="1668"/>
      <c r="P997" s="1668"/>
      <c r="Q997" s="1668"/>
      <c r="R997" s="1668"/>
      <c r="S997" s="1668"/>
      <c r="T997" s="1668"/>
      <c r="U997" s="1668"/>
      <c r="V997" s="1668"/>
      <c r="W997" s="1668"/>
      <c r="X997" s="1668"/>
      <c r="Y997" s="1668"/>
      <c r="Z997" s="1668"/>
      <c r="AA997" s="1668"/>
      <c r="AB997" s="1668"/>
      <c r="AC997" s="1668"/>
      <c r="AD997" s="1668"/>
      <c r="AE997" s="1669"/>
      <c r="AF997" s="73"/>
      <c r="AG997" s="14"/>
      <c r="AH997" s="14"/>
      <c r="AI997" s="83"/>
      <c r="AJ997" s="1782"/>
      <c r="AK997" s="1783"/>
      <c r="AL997" s="1783"/>
      <c r="AM997" s="1783"/>
      <c r="AN997" s="1783"/>
      <c r="AO997" s="1783"/>
      <c r="AP997" s="1783"/>
      <c r="AQ997" s="178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70" t="s">
        <v>2567</v>
      </c>
      <c r="E998" s="1671"/>
      <c r="F998" s="1671"/>
      <c r="G998" s="1671"/>
      <c r="H998" s="1671"/>
      <c r="I998" s="1671"/>
      <c r="J998" s="1671"/>
      <c r="K998" s="1671"/>
      <c r="L998" s="1671"/>
      <c r="M998" s="1671"/>
      <c r="N998" s="1671"/>
      <c r="O998" s="1671"/>
      <c r="P998" s="1671"/>
      <c r="Q998" s="1671"/>
      <c r="R998" s="1671"/>
      <c r="S998" s="1671"/>
      <c r="T998" s="1671"/>
      <c r="U998" s="1671"/>
      <c r="V998" s="1671"/>
      <c r="W998" s="1671"/>
      <c r="X998" s="1671"/>
      <c r="Y998" s="1671"/>
      <c r="Z998" s="1671"/>
      <c r="AA998" s="1671"/>
      <c r="AB998" s="1671"/>
      <c r="AC998" s="1671"/>
      <c r="AD998" s="1671"/>
      <c r="AE998" s="1672"/>
      <c r="AF998" s="73"/>
      <c r="AG998" s="14"/>
      <c r="AH998" s="14"/>
      <c r="AI998" s="83"/>
      <c r="AJ998" s="1782"/>
      <c r="AK998" s="1783"/>
      <c r="AL998" s="1783"/>
      <c r="AM998" s="1783"/>
      <c r="AN998" s="1783"/>
      <c r="AO998" s="1783"/>
      <c r="AP998" s="1783"/>
      <c r="AQ998" s="178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51" t="s">
        <v>2753</v>
      </c>
      <c r="E999" s="1752"/>
      <c r="F999" s="1752"/>
      <c r="G999" s="1752"/>
      <c r="H999" s="1752"/>
      <c r="I999" s="1752"/>
      <c r="J999" s="1752"/>
      <c r="K999" s="1752"/>
      <c r="L999" s="1752"/>
      <c r="M999" s="1752"/>
      <c r="N999" s="1752"/>
      <c r="O999" s="1752"/>
      <c r="P999" s="1752"/>
      <c r="Q999" s="1752"/>
      <c r="R999" s="1752"/>
      <c r="S999" s="1752"/>
      <c r="T999" s="1752"/>
      <c r="U999" s="1752"/>
      <c r="V999" s="1752"/>
      <c r="W999" s="1752"/>
      <c r="X999" s="1752"/>
      <c r="Y999" s="1752"/>
      <c r="Z999" s="1752"/>
      <c r="AA999" s="1752"/>
      <c r="AB999" s="1752"/>
      <c r="AC999" s="1752"/>
      <c r="AD999" s="1752"/>
      <c r="AE999" s="1753"/>
      <c r="AF999" s="77"/>
      <c r="AG999" s="7"/>
      <c r="AH999" s="7"/>
      <c r="AI999" s="78"/>
      <c r="AJ999" s="1785"/>
      <c r="AK999" s="1786"/>
      <c r="AL999" s="1786"/>
      <c r="AM999" s="1786"/>
      <c r="AN999" s="1786"/>
      <c r="AO999" s="1786"/>
      <c r="AP999" s="1786"/>
      <c r="AQ999" s="178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56" t="s">
        <v>1394</v>
      </c>
      <c r="E1000" s="1757"/>
      <c r="F1000" s="1757"/>
      <c r="G1000" s="1757"/>
      <c r="H1000" s="1757"/>
      <c r="I1000" s="1757"/>
      <c r="J1000" s="1757"/>
      <c r="K1000" s="1757"/>
      <c r="L1000" s="1757"/>
      <c r="M1000" s="1757"/>
      <c r="N1000" s="1757"/>
      <c r="O1000" s="1757"/>
      <c r="P1000" s="1757"/>
      <c r="Q1000" s="1757"/>
      <c r="R1000" s="1757"/>
      <c r="S1000" s="1757"/>
      <c r="T1000" s="1757"/>
      <c r="U1000" s="1757"/>
      <c r="V1000" s="1757"/>
      <c r="W1000" s="1757"/>
      <c r="X1000" s="1757"/>
      <c r="Y1000" s="1757"/>
      <c r="Z1000" s="1757"/>
      <c r="AA1000" s="1757"/>
      <c r="AB1000" s="1757"/>
      <c r="AC1000" s="1757"/>
      <c r="AD1000" s="1757"/>
      <c r="AE1000" s="1758"/>
      <c r="AF1000" s="79"/>
      <c r="AG1000" s="1768" t="s">
        <v>677</v>
      </c>
      <c r="AH1000" s="1769"/>
      <c r="AI1000" s="87"/>
      <c r="AJ1000" s="1779">
        <f>ROUND(IF(AG1000="yes",AJ991*0.05,0),0)</f>
        <v>0</v>
      </c>
      <c r="AK1000" s="1780"/>
      <c r="AL1000" s="1780"/>
      <c r="AM1000" s="1780"/>
      <c r="AN1000" s="1780"/>
      <c r="AO1000" s="1780"/>
      <c r="AP1000" s="1780"/>
      <c r="AQ1000" s="178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67" t="s">
        <v>1392</v>
      </c>
      <c r="E1001" s="1668"/>
      <c r="F1001" s="1668"/>
      <c r="G1001" s="1668"/>
      <c r="H1001" s="1668"/>
      <c r="I1001" s="1668"/>
      <c r="J1001" s="1668"/>
      <c r="K1001" s="1668"/>
      <c r="L1001" s="1668"/>
      <c r="M1001" s="1668"/>
      <c r="N1001" s="1668"/>
      <c r="O1001" s="1668"/>
      <c r="P1001" s="1668"/>
      <c r="Q1001" s="1668"/>
      <c r="R1001" s="1668"/>
      <c r="S1001" s="1668"/>
      <c r="T1001" s="1668"/>
      <c r="U1001" s="1668"/>
      <c r="V1001" s="1668"/>
      <c r="W1001" s="1668"/>
      <c r="X1001" s="1668"/>
      <c r="Y1001" s="1668"/>
      <c r="Z1001" s="1668"/>
      <c r="AA1001" s="1668"/>
      <c r="AB1001" s="1668"/>
      <c r="AC1001" s="1668"/>
      <c r="AD1001" s="1668"/>
      <c r="AE1001" s="1669"/>
      <c r="AF1001" s="73"/>
      <c r="AG1001" s="14"/>
      <c r="AH1001" s="14"/>
      <c r="AI1001" s="83"/>
      <c r="AJ1001" s="1782"/>
      <c r="AK1001" s="1783"/>
      <c r="AL1001" s="1783"/>
      <c r="AM1001" s="1783"/>
      <c r="AN1001" s="1783"/>
      <c r="AO1001" s="1783"/>
      <c r="AP1001" s="1783"/>
      <c r="AQ1001" s="178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67"/>
      <c r="E1002" s="1668"/>
      <c r="F1002" s="1668"/>
      <c r="G1002" s="1668"/>
      <c r="H1002" s="1668"/>
      <c r="I1002" s="1668"/>
      <c r="J1002" s="1668"/>
      <c r="K1002" s="1668"/>
      <c r="L1002" s="1668"/>
      <c r="M1002" s="1668"/>
      <c r="N1002" s="1668"/>
      <c r="O1002" s="1668"/>
      <c r="P1002" s="1668"/>
      <c r="Q1002" s="1668"/>
      <c r="R1002" s="1668"/>
      <c r="S1002" s="1668"/>
      <c r="T1002" s="1668"/>
      <c r="U1002" s="1668"/>
      <c r="V1002" s="1668"/>
      <c r="W1002" s="1668"/>
      <c r="X1002" s="1668"/>
      <c r="Y1002" s="1668"/>
      <c r="Z1002" s="1668"/>
      <c r="AA1002" s="1668"/>
      <c r="AB1002" s="1668"/>
      <c r="AC1002" s="1668"/>
      <c r="AD1002" s="1668"/>
      <c r="AE1002" s="1669"/>
      <c r="AF1002" s="73"/>
      <c r="AG1002" s="14"/>
      <c r="AH1002" s="14"/>
      <c r="AI1002" s="83"/>
      <c r="AJ1002" s="1782"/>
      <c r="AK1002" s="1783"/>
      <c r="AL1002" s="1783"/>
      <c r="AM1002" s="1783"/>
      <c r="AN1002" s="1783"/>
      <c r="AO1002" s="1783"/>
      <c r="AP1002" s="1783"/>
      <c r="AQ1002" s="1784"/>
      <c r="AR1002" s="68"/>
      <c r="AS1002" s="68"/>
      <c r="AT1002" s="68"/>
      <c r="AU1002" s="68"/>
      <c r="AV1002" s="68"/>
      <c r="AW1002" s="68"/>
      <c r="AX1002" s="68"/>
      <c r="AY1002" s="949">
        <f>G753+O797</f>
        <v>46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67"/>
      <c r="E1003" s="1668"/>
      <c r="F1003" s="1668"/>
      <c r="G1003" s="1668"/>
      <c r="H1003" s="1668"/>
      <c r="I1003" s="1668"/>
      <c r="J1003" s="1668"/>
      <c r="K1003" s="1668"/>
      <c r="L1003" s="1668"/>
      <c r="M1003" s="1668"/>
      <c r="N1003" s="1668"/>
      <c r="O1003" s="1668"/>
      <c r="P1003" s="1668"/>
      <c r="Q1003" s="1668"/>
      <c r="R1003" s="1668"/>
      <c r="S1003" s="1668"/>
      <c r="T1003" s="1668"/>
      <c r="U1003" s="1668"/>
      <c r="V1003" s="1668"/>
      <c r="W1003" s="1668"/>
      <c r="X1003" s="1668"/>
      <c r="Y1003" s="1668"/>
      <c r="Z1003" s="1668"/>
      <c r="AA1003" s="1668"/>
      <c r="AB1003" s="1668"/>
      <c r="AC1003" s="1668"/>
      <c r="AD1003" s="1668"/>
      <c r="AE1003" s="1669"/>
      <c r="AF1003" s="73"/>
      <c r="AG1003" s="14"/>
      <c r="AH1003" s="14"/>
      <c r="AI1003" s="83"/>
      <c r="AJ1003" s="1782"/>
      <c r="AK1003" s="1783"/>
      <c r="AL1003" s="1783"/>
      <c r="AM1003" s="1783"/>
      <c r="AN1003" s="1783"/>
      <c r="AO1003" s="1783"/>
      <c r="AP1003" s="1783"/>
      <c r="AQ1003" s="178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67"/>
      <c r="E1004" s="1668"/>
      <c r="F1004" s="1668"/>
      <c r="G1004" s="1668"/>
      <c r="H1004" s="1668"/>
      <c r="I1004" s="1668"/>
      <c r="J1004" s="1668"/>
      <c r="K1004" s="1668"/>
      <c r="L1004" s="1668"/>
      <c r="M1004" s="1668"/>
      <c r="N1004" s="1668"/>
      <c r="O1004" s="1668"/>
      <c r="P1004" s="1668"/>
      <c r="Q1004" s="1668"/>
      <c r="R1004" s="1668"/>
      <c r="S1004" s="1668"/>
      <c r="T1004" s="1668"/>
      <c r="U1004" s="1668"/>
      <c r="V1004" s="1668"/>
      <c r="W1004" s="1668"/>
      <c r="X1004" s="1668"/>
      <c r="Y1004" s="1668"/>
      <c r="Z1004" s="1668"/>
      <c r="AA1004" s="1668"/>
      <c r="AB1004" s="1668"/>
      <c r="AC1004" s="1668"/>
      <c r="AD1004" s="1668"/>
      <c r="AE1004" s="1669"/>
      <c r="AF1004" s="73"/>
      <c r="AG1004" s="14"/>
      <c r="AH1004" s="14"/>
      <c r="AI1004" s="83"/>
      <c r="AJ1004" s="1782"/>
      <c r="AK1004" s="1783"/>
      <c r="AL1004" s="1783"/>
      <c r="AM1004" s="1783"/>
      <c r="AN1004" s="1783"/>
      <c r="AO1004" s="1783"/>
      <c r="AP1004" s="1783"/>
      <c r="AQ1004" s="1784"/>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70"/>
      <c r="E1005" s="1671"/>
      <c r="F1005" s="1671"/>
      <c r="G1005" s="1671"/>
      <c r="H1005" s="1671"/>
      <c r="I1005" s="1671"/>
      <c r="J1005" s="1671"/>
      <c r="K1005" s="1671"/>
      <c r="L1005" s="1671"/>
      <c r="M1005" s="1671"/>
      <c r="N1005" s="1671"/>
      <c r="O1005" s="1671"/>
      <c r="P1005" s="1671"/>
      <c r="Q1005" s="1671"/>
      <c r="R1005" s="1671"/>
      <c r="S1005" s="1671"/>
      <c r="T1005" s="1671"/>
      <c r="U1005" s="1671"/>
      <c r="V1005" s="1671"/>
      <c r="W1005" s="1671"/>
      <c r="X1005" s="1671"/>
      <c r="Y1005" s="1671"/>
      <c r="Z1005" s="1671"/>
      <c r="AA1005" s="1671"/>
      <c r="AB1005" s="1671"/>
      <c r="AC1005" s="1671"/>
      <c r="AD1005" s="1671"/>
      <c r="AE1005" s="1672"/>
      <c r="AF1005" s="77"/>
      <c r="AG1005" s="7"/>
      <c r="AH1005" s="7"/>
      <c r="AI1005" s="78"/>
      <c r="AJ1005" s="1785"/>
      <c r="AK1005" s="1786"/>
      <c r="AL1005" s="1786"/>
      <c r="AM1005" s="1786"/>
      <c r="AN1005" s="1786"/>
      <c r="AO1005" s="1786"/>
      <c r="AP1005" s="1786"/>
      <c r="AQ1005" s="1787"/>
      <c r="AR1005" s="68"/>
      <c r="AS1005" s="68"/>
      <c r="AT1005" s="68"/>
      <c r="AU1005" s="68"/>
      <c r="AV1005" s="68"/>
      <c r="AW1005" s="68"/>
      <c r="AX1005" s="68"/>
      <c r="AY1005" s="948">
        <f>ROUNDDOWN(X1051/I1051,2)</f>
        <v>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756" t="s">
        <v>1871</v>
      </c>
      <c r="E1006" s="1757"/>
      <c r="F1006" s="1757"/>
      <c r="G1006" s="1757"/>
      <c r="H1006" s="1757"/>
      <c r="I1006" s="1757"/>
      <c r="J1006" s="1757"/>
      <c r="K1006" s="1757"/>
      <c r="L1006" s="1757"/>
      <c r="M1006" s="1757"/>
      <c r="N1006" s="1757"/>
      <c r="O1006" s="1757"/>
      <c r="P1006" s="1757"/>
      <c r="Q1006" s="1757"/>
      <c r="R1006" s="1757"/>
      <c r="S1006" s="1757"/>
      <c r="T1006" s="1757"/>
      <c r="U1006" s="1757"/>
      <c r="V1006" s="1757"/>
      <c r="W1006" s="1757"/>
      <c r="X1006" s="1757"/>
      <c r="Y1006" s="1757"/>
      <c r="Z1006" s="1757"/>
      <c r="AA1006" s="1757"/>
      <c r="AB1006" s="1757"/>
      <c r="AC1006" s="1757"/>
      <c r="AD1006" s="1757"/>
      <c r="AE1006" s="1758"/>
      <c r="AF1006" s="86"/>
      <c r="AG1006" s="1768" t="s">
        <v>677</v>
      </c>
      <c r="AH1006" s="1769"/>
      <c r="AI1006" s="87"/>
      <c r="AJ1006" s="1779">
        <f>ROUND(IF(AG1006="yes",AJ991*0.1,0),0)</f>
        <v>0</v>
      </c>
      <c r="AK1006" s="1780"/>
      <c r="AL1006" s="1780"/>
      <c r="AM1006" s="1780"/>
      <c r="AN1006" s="1780"/>
      <c r="AO1006" s="1780"/>
      <c r="AP1006" s="1780"/>
      <c r="AQ1006" s="1781"/>
      <c r="AR1006" s="68"/>
      <c r="AS1006" s="68"/>
      <c r="AT1006" s="68"/>
      <c r="AU1006" s="68"/>
      <c r="AV1006" s="68"/>
      <c r="AW1006" s="68"/>
      <c r="AX1006" s="68"/>
      <c r="BB1006" s="34"/>
      <c r="BD1006" s="34"/>
      <c r="BE1006" s="34"/>
      <c r="BF1006" s="34"/>
    </row>
    <row r="1007" spans="1:157" ht="13" customHeight="1">
      <c r="A1007" s="14"/>
      <c r="B1007" s="73"/>
      <c r="C1007" s="74"/>
      <c r="D1007" s="1759" t="s">
        <v>1393</v>
      </c>
      <c r="E1007" s="1760"/>
      <c r="F1007" s="1760"/>
      <c r="G1007" s="1760"/>
      <c r="H1007" s="1760"/>
      <c r="I1007" s="1760"/>
      <c r="J1007" s="1760"/>
      <c r="K1007" s="1760"/>
      <c r="L1007" s="1760"/>
      <c r="M1007" s="1760"/>
      <c r="N1007" s="1760"/>
      <c r="O1007" s="1760"/>
      <c r="P1007" s="1760"/>
      <c r="Q1007" s="1760"/>
      <c r="R1007" s="1760"/>
      <c r="S1007" s="1760"/>
      <c r="T1007" s="1760"/>
      <c r="U1007" s="1760"/>
      <c r="V1007" s="1760"/>
      <c r="W1007" s="1760"/>
      <c r="X1007" s="1760"/>
      <c r="Y1007" s="1760"/>
      <c r="Z1007" s="1760"/>
      <c r="AA1007" s="1760"/>
      <c r="AB1007" s="1760"/>
      <c r="AC1007" s="1760"/>
      <c r="AD1007" s="1760"/>
      <c r="AE1007" s="1761"/>
      <c r="AF1007" s="73"/>
      <c r="AI1007" s="83"/>
      <c r="AJ1007" s="1782"/>
      <c r="AK1007" s="1783"/>
      <c r="AL1007" s="1783"/>
      <c r="AM1007" s="1783"/>
      <c r="AN1007" s="1783"/>
      <c r="AO1007" s="1783"/>
      <c r="AP1007" s="1783"/>
      <c r="AQ1007" s="1784"/>
      <c r="AR1007" s="68"/>
      <c r="AS1007" s="68"/>
      <c r="AT1007" s="68"/>
      <c r="AU1007" s="68"/>
      <c r="AV1007" s="68"/>
      <c r="AW1007" s="68"/>
      <c r="AX1007" s="68"/>
    </row>
    <row r="1008" spans="1:157" ht="13" customHeight="1">
      <c r="A1008" s="14"/>
      <c r="B1008" s="73"/>
      <c r="C1008" s="74"/>
      <c r="D1008" s="1759"/>
      <c r="E1008" s="1760"/>
      <c r="F1008" s="1760"/>
      <c r="G1008" s="1760"/>
      <c r="H1008" s="1760"/>
      <c r="I1008" s="1760"/>
      <c r="J1008" s="1760"/>
      <c r="K1008" s="1760"/>
      <c r="L1008" s="1760"/>
      <c r="M1008" s="1760"/>
      <c r="N1008" s="1760"/>
      <c r="O1008" s="1760"/>
      <c r="P1008" s="1760"/>
      <c r="Q1008" s="1760"/>
      <c r="R1008" s="1760"/>
      <c r="S1008" s="1760"/>
      <c r="T1008" s="1760"/>
      <c r="U1008" s="1760"/>
      <c r="V1008" s="1760"/>
      <c r="W1008" s="1760"/>
      <c r="X1008" s="1760"/>
      <c r="Y1008" s="1760"/>
      <c r="Z1008" s="1760"/>
      <c r="AA1008" s="1760"/>
      <c r="AB1008" s="1760"/>
      <c r="AC1008" s="1760"/>
      <c r="AD1008" s="1760"/>
      <c r="AE1008" s="1761"/>
      <c r="AF1008" s="73"/>
      <c r="AG1008" s="14"/>
      <c r="AH1008" s="14"/>
      <c r="AI1008" s="83"/>
      <c r="AJ1008" s="1782"/>
      <c r="AK1008" s="1783"/>
      <c r="AL1008" s="1783"/>
      <c r="AM1008" s="1783"/>
      <c r="AN1008" s="1783"/>
      <c r="AO1008" s="1783"/>
      <c r="AP1008" s="1783"/>
      <c r="AQ1008" s="1784"/>
      <c r="AR1008" s="68"/>
      <c r="AS1008" s="68"/>
      <c r="AT1008" s="68"/>
      <c r="AU1008" s="68"/>
      <c r="AV1008" s="68"/>
      <c r="AW1008" s="68"/>
      <c r="AX1008" s="68"/>
    </row>
    <row r="1009" spans="1:51" ht="13" customHeight="1">
      <c r="A1009" s="14"/>
      <c r="B1009" s="85"/>
      <c r="C1009" s="76"/>
      <c r="D1009" s="1772"/>
      <c r="E1009" s="1773"/>
      <c r="F1009" s="1773"/>
      <c r="G1009" s="1773"/>
      <c r="H1009" s="1773"/>
      <c r="I1009" s="1773"/>
      <c r="J1009" s="1773"/>
      <c r="K1009" s="1773"/>
      <c r="L1009" s="1773"/>
      <c r="M1009" s="1773"/>
      <c r="N1009" s="1773"/>
      <c r="O1009" s="1773"/>
      <c r="P1009" s="1773"/>
      <c r="Q1009" s="1773"/>
      <c r="R1009" s="1773"/>
      <c r="S1009" s="1773"/>
      <c r="T1009" s="1773"/>
      <c r="U1009" s="1773"/>
      <c r="V1009" s="1773"/>
      <c r="W1009" s="1773"/>
      <c r="X1009" s="1773"/>
      <c r="Y1009" s="1773"/>
      <c r="Z1009" s="1773"/>
      <c r="AA1009" s="1773"/>
      <c r="AB1009" s="1773"/>
      <c r="AC1009" s="1773"/>
      <c r="AD1009" s="1773"/>
      <c r="AE1009" s="1774"/>
      <c r="AF1009" s="77"/>
      <c r="AG1009" s="7"/>
      <c r="AH1009" s="7"/>
      <c r="AI1009" s="78"/>
      <c r="AJ1009" s="1785"/>
      <c r="AK1009" s="1786"/>
      <c r="AL1009" s="1786"/>
      <c r="AM1009" s="1786"/>
      <c r="AN1009" s="1786"/>
      <c r="AO1009" s="1786"/>
      <c r="AP1009" s="1786"/>
      <c r="AQ1009" s="1787"/>
      <c r="AR1009" s="68"/>
      <c r="AS1009" s="68"/>
      <c r="AT1009" s="68"/>
      <c r="AU1009" s="68"/>
      <c r="AV1009" s="68"/>
      <c r="AW1009" s="68"/>
      <c r="AX1009" s="68"/>
    </row>
    <row r="1010" spans="1:51" ht="13" customHeight="1">
      <c r="A1010" s="14"/>
      <c r="B1010" s="79"/>
      <c r="C1010" s="80" t="s">
        <v>213</v>
      </c>
      <c r="D1010" s="1756" t="s">
        <v>1395</v>
      </c>
      <c r="E1010" s="1757"/>
      <c r="F1010" s="1757"/>
      <c r="G1010" s="1757"/>
      <c r="H1010" s="1757"/>
      <c r="I1010" s="1757"/>
      <c r="J1010" s="1757"/>
      <c r="K1010" s="1757"/>
      <c r="L1010" s="1757"/>
      <c r="M1010" s="1757"/>
      <c r="N1010" s="1757"/>
      <c r="O1010" s="1757"/>
      <c r="P1010" s="1757"/>
      <c r="Q1010" s="1757"/>
      <c r="R1010" s="1757"/>
      <c r="S1010" s="1757"/>
      <c r="T1010" s="1757"/>
      <c r="U1010" s="1757"/>
      <c r="V1010" s="1757"/>
      <c r="W1010" s="1757"/>
      <c r="X1010" s="1757"/>
      <c r="Y1010" s="1757"/>
      <c r="Z1010" s="1757"/>
      <c r="AA1010" s="1757"/>
      <c r="AB1010" s="1757"/>
      <c r="AC1010" s="1757"/>
      <c r="AD1010" s="1757"/>
      <c r="AE1010" s="1758"/>
      <c r="AF1010" s="79"/>
      <c r="AG1010" s="1768" t="s">
        <v>677</v>
      </c>
      <c r="AH1010" s="1769"/>
      <c r="AI1010" s="87"/>
      <c r="AJ1010" s="1779">
        <f>ROUND(IF(AG1010="yes",AJ991*0.02,0),0)</f>
        <v>0</v>
      </c>
      <c r="AK1010" s="1780"/>
      <c r="AL1010" s="1780"/>
      <c r="AM1010" s="1780"/>
      <c r="AN1010" s="1780"/>
      <c r="AO1010" s="1780"/>
      <c r="AP1010" s="1780"/>
      <c r="AQ1010" s="1781"/>
      <c r="AR1010" s="68"/>
      <c r="AS1010" s="68"/>
      <c r="AT1010" s="68"/>
      <c r="AU1010" s="68"/>
      <c r="AV1010" s="68"/>
      <c r="AW1010" s="68"/>
      <c r="AX1010" s="68"/>
      <c r="AY1010" s="215">
        <f>IF(SUM(AY1012:AY1020)&lt;=0.1,SUM(AY1012:AY1020),0.1)</f>
        <v>0</v>
      </c>
    </row>
    <row r="1011" spans="1:51" ht="14.25" customHeight="1">
      <c r="A1011" s="14"/>
      <c r="B1011" s="73"/>
      <c r="C1011" s="74"/>
      <c r="D1011" s="1772" t="s">
        <v>1396</v>
      </c>
      <c r="E1011" s="1773"/>
      <c r="F1011" s="1773"/>
      <c r="G1011" s="1773"/>
      <c r="H1011" s="1773"/>
      <c r="I1011" s="1773"/>
      <c r="J1011" s="1773"/>
      <c r="K1011" s="1773"/>
      <c r="L1011" s="1773"/>
      <c r="M1011" s="1773"/>
      <c r="N1011" s="1773"/>
      <c r="O1011" s="1773"/>
      <c r="P1011" s="1773"/>
      <c r="Q1011" s="1773"/>
      <c r="R1011" s="1773"/>
      <c r="S1011" s="1773"/>
      <c r="T1011" s="1773"/>
      <c r="U1011" s="1773"/>
      <c r="V1011" s="1773"/>
      <c r="W1011" s="1773"/>
      <c r="X1011" s="1773"/>
      <c r="Y1011" s="1773"/>
      <c r="Z1011" s="1773"/>
      <c r="AA1011" s="1773"/>
      <c r="AB1011" s="1773"/>
      <c r="AC1011" s="1773"/>
      <c r="AD1011" s="1773"/>
      <c r="AE1011" s="1774"/>
      <c r="AF1011" s="77"/>
      <c r="AG1011" s="7"/>
      <c r="AH1011" s="7"/>
      <c r="AI1011" s="78"/>
      <c r="AJ1011" s="1785"/>
      <c r="AK1011" s="1786"/>
      <c r="AL1011" s="1786"/>
      <c r="AM1011" s="1786"/>
      <c r="AN1011" s="1786"/>
      <c r="AO1011" s="1786"/>
      <c r="AP1011" s="1786"/>
      <c r="AQ1011" s="1787"/>
      <c r="AR1011" s="68"/>
      <c r="AS1011" s="68"/>
      <c r="AT1011" s="68"/>
      <c r="AU1011" s="68"/>
      <c r="AV1011" s="68"/>
      <c r="AW1011" s="68"/>
      <c r="AX1011" s="68"/>
    </row>
    <row r="1012" spans="1:51" ht="13" customHeight="1">
      <c r="A1012" s="14"/>
      <c r="B1012" s="79"/>
      <c r="C1012" s="80" t="s">
        <v>216</v>
      </c>
      <c r="D1012" s="1756" t="s">
        <v>1397</v>
      </c>
      <c r="E1012" s="1757"/>
      <c r="F1012" s="1757"/>
      <c r="G1012" s="1757"/>
      <c r="H1012" s="1757"/>
      <c r="I1012" s="1757"/>
      <c r="J1012" s="1757"/>
      <c r="K1012" s="1757"/>
      <c r="L1012" s="1757"/>
      <c r="M1012" s="1757"/>
      <c r="N1012" s="1757"/>
      <c r="O1012" s="1757"/>
      <c r="P1012" s="1757"/>
      <c r="Q1012" s="1757"/>
      <c r="R1012" s="1757"/>
      <c r="S1012" s="1757"/>
      <c r="T1012" s="1757"/>
      <c r="U1012" s="1757"/>
      <c r="V1012" s="1757"/>
      <c r="W1012" s="1757"/>
      <c r="X1012" s="1757"/>
      <c r="Y1012" s="1757"/>
      <c r="Z1012" s="1757"/>
      <c r="AA1012" s="1757"/>
      <c r="AB1012" s="1757"/>
      <c r="AC1012" s="1757"/>
      <c r="AD1012" s="1757"/>
      <c r="AE1012" s="1758"/>
      <c r="AF1012" s="79"/>
      <c r="AG1012" s="1820" t="s">
        <v>553</v>
      </c>
      <c r="AH1012" s="1769"/>
      <c r="AI1012" s="79"/>
      <c r="AJ1012" s="1779">
        <f>ROUND(IF(AG1012="yes",AJ991*0.02,0),0)</f>
        <v>465937</v>
      </c>
      <c r="AK1012" s="1780"/>
      <c r="AL1012" s="1780"/>
      <c r="AM1012" s="1780"/>
      <c r="AN1012" s="1780"/>
      <c r="AO1012" s="1780"/>
      <c r="AP1012" s="1780"/>
      <c r="AQ1012" s="1781"/>
      <c r="AR1012" s="68"/>
      <c r="AS1012" s="68"/>
      <c r="AT1012" s="68"/>
      <c r="AU1012" s="68"/>
      <c r="AV1012" s="68"/>
      <c r="AW1012" s="68"/>
      <c r="AX1012" s="68"/>
      <c r="AY1012" s="213">
        <f>IF(A1064="Yes",0.05,0)</f>
        <v>0</v>
      </c>
    </row>
    <row r="1013" spans="1:51" ht="13" customHeight="1">
      <c r="A1013" s="14"/>
      <c r="B1013" s="73"/>
      <c r="C1013" s="74"/>
      <c r="D1013" s="1759" t="s">
        <v>1398</v>
      </c>
      <c r="E1013" s="1760"/>
      <c r="F1013" s="1760"/>
      <c r="G1013" s="1760"/>
      <c r="H1013" s="1760"/>
      <c r="I1013" s="1760"/>
      <c r="J1013" s="1760"/>
      <c r="K1013" s="1760"/>
      <c r="L1013" s="1760"/>
      <c r="M1013" s="1760"/>
      <c r="N1013" s="1760"/>
      <c r="O1013" s="1760"/>
      <c r="P1013" s="1760"/>
      <c r="Q1013" s="1760"/>
      <c r="R1013" s="1760"/>
      <c r="S1013" s="1760"/>
      <c r="T1013" s="1760"/>
      <c r="U1013" s="1760"/>
      <c r="V1013" s="1760"/>
      <c r="W1013" s="1760"/>
      <c r="X1013" s="1760"/>
      <c r="Y1013" s="1760"/>
      <c r="Z1013" s="1760"/>
      <c r="AA1013" s="1760"/>
      <c r="AB1013" s="1760"/>
      <c r="AC1013" s="1760"/>
      <c r="AD1013" s="1760"/>
      <c r="AE1013" s="1761"/>
      <c r="AF1013" s="1861" t="str">
        <f>IF(AND(AG1012="yes",AB212&lt;&gt;1),"The project may not be eligible for this boost","")</f>
        <v/>
      </c>
      <c r="AG1013" s="1862"/>
      <c r="AH1013" s="1862"/>
      <c r="AI1013" s="1863"/>
      <c r="AJ1013" s="1782"/>
      <c r="AK1013" s="1783"/>
      <c r="AL1013" s="1783"/>
      <c r="AM1013" s="1783"/>
      <c r="AN1013" s="1783"/>
      <c r="AO1013" s="1783"/>
      <c r="AP1013" s="1783"/>
      <c r="AQ1013" s="1784"/>
      <c r="AR1013" s="68"/>
      <c r="AS1013" s="68"/>
      <c r="AT1013" s="68"/>
      <c r="AU1013" s="68"/>
      <c r="AV1013" s="68"/>
      <c r="AW1013" s="68"/>
      <c r="AX1013" s="68"/>
      <c r="AY1013" s="213">
        <f>IF(A1070="Yes",0.02,0)</f>
        <v>0</v>
      </c>
    </row>
    <row r="1014" spans="1:51" ht="13" customHeight="1">
      <c r="A1014" s="14"/>
      <c r="B1014" s="75"/>
      <c r="C1014" s="76"/>
      <c r="D1014" s="1772"/>
      <c r="E1014" s="1773"/>
      <c r="F1014" s="1773"/>
      <c r="G1014" s="1773"/>
      <c r="H1014" s="1773"/>
      <c r="I1014" s="1773"/>
      <c r="J1014" s="1773"/>
      <c r="K1014" s="1773"/>
      <c r="L1014" s="1773"/>
      <c r="M1014" s="1773"/>
      <c r="N1014" s="1773"/>
      <c r="O1014" s="1773"/>
      <c r="P1014" s="1773"/>
      <c r="Q1014" s="1773"/>
      <c r="R1014" s="1773"/>
      <c r="S1014" s="1773"/>
      <c r="T1014" s="1773"/>
      <c r="U1014" s="1773"/>
      <c r="V1014" s="1773"/>
      <c r="W1014" s="1773"/>
      <c r="X1014" s="1773"/>
      <c r="Y1014" s="1773"/>
      <c r="Z1014" s="1773"/>
      <c r="AA1014" s="1773"/>
      <c r="AB1014" s="1773"/>
      <c r="AC1014" s="1773"/>
      <c r="AD1014" s="1773"/>
      <c r="AE1014" s="1774"/>
      <c r="AF1014" s="1864"/>
      <c r="AG1014" s="1865"/>
      <c r="AH1014" s="1865"/>
      <c r="AI1014" s="1866"/>
      <c r="AJ1014" s="1785"/>
      <c r="AK1014" s="1786"/>
      <c r="AL1014" s="1786"/>
      <c r="AM1014" s="1786"/>
      <c r="AN1014" s="1786"/>
      <c r="AO1014" s="1786"/>
      <c r="AP1014" s="1786"/>
      <c r="AQ1014" s="1787"/>
      <c r="AR1014" s="68"/>
      <c r="AS1014" s="68"/>
      <c r="AT1014" s="68"/>
      <c r="AU1014" s="68"/>
      <c r="AV1014" s="68"/>
      <c r="AW1014" s="68"/>
      <c r="AX1014" s="68"/>
      <c r="AY1014" s="213">
        <f>IF(A1076="Yes",0.04,0)</f>
        <v>0</v>
      </c>
    </row>
    <row r="1015" spans="1:51" ht="13" customHeight="1">
      <c r="A1015" s="14"/>
      <c r="B1015" s="79"/>
      <c r="C1015" s="80" t="s">
        <v>219</v>
      </c>
      <c r="D1015" s="1748" t="s">
        <v>1399</v>
      </c>
      <c r="E1015" s="1749"/>
      <c r="F1015" s="1749"/>
      <c r="G1015" s="1749"/>
      <c r="H1015" s="1749"/>
      <c r="I1015" s="1749"/>
      <c r="J1015" s="1749"/>
      <c r="K1015" s="1749"/>
      <c r="L1015" s="1749"/>
      <c r="M1015" s="1749"/>
      <c r="N1015" s="1749"/>
      <c r="O1015" s="1749"/>
      <c r="P1015" s="1749"/>
      <c r="Q1015" s="1749"/>
      <c r="R1015" s="1749"/>
      <c r="S1015" s="1749"/>
      <c r="T1015" s="1749"/>
      <c r="U1015" s="1749"/>
      <c r="V1015" s="1749"/>
      <c r="W1015" s="1749"/>
      <c r="X1015" s="1749"/>
      <c r="Y1015" s="1749"/>
      <c r="Z1015" s="1749"/>
      <c r="AA1015" s="1749"/>
      <c r="AB1015" s="1749"/>
      <c r="AC1015" s="1749"/>
      <c r="AD1015" s="1749"/>
      <c r="AE1015" s="1750"/>
      <c r="AF1015" s="79"/>
      <c r="AG1015" s="1768" t="s">
        <v>677</v>
      </c>
      <c r="AH1015" s="1769"/>
      <c r="AI1015" s="87"/>
      <c r="AJ1015" s="1779">
        <f>IF(AG1015="yes",AJ991*AY1010,0)</f>
        <v>0</v>
      </c>
      <c r="AK1015" s="1780"/>
      <c r="AL1015" s="1780"/>
      <c r="AM1015" s="1780"/>
      <c r="AN1015" s="1780"/>
      <c r="AO1015" s="1780"/>
      <c r="AP1015" s="1780"/>
      <c r="AQ1015" s="1781"/>
      <c r="AR1015" s="68"/>
      <c r="AS1015" s="68"/>
      <c r="AT1015" s="68"/>
      <c r="AU1015" s="68"/>
      <c r="AV1015" s="68"/>
      <c r="AW1015" s="68"/>
      <c r="AX1015" s="68"/>
      <c r="AY1015" s="213">
        <f>IF(A1083="Yes",0.04,0)</f>
        <v>0</v>
      </c>
    </row>
    <row r="1016" spans="1:51" ht="13" customHeight="1">
      <c r="A1016" s="14"/>
      <c r="B1016" s="73"/>
      <c r="C1016" s="74"/>
      <c r="D1016" s="1759" t="s">
        <v>1400</v>
      </c>
      <c r="E1016" s="1760"/>
      <c r="F1016" s="1760"/>
      <c r="G1016" s="1760"/>
      <c r="H1016" s="1760"/>
      <c r="I1016" s="1760"/>
      <c r="J1016" s="1760"/>
      <c r="K1016" s="1760"/>
      <c r="L1016" s="1760"/>
      <c r="M1016" s="1760"/>
      <c r="N1016" s="1760"/>
      <c r="O1016" s="1760"/>
      <c r="P1016" s="1760"/>
      <c r="Q1016" s="1760"/>
      <c r="R1016" s="1760"/>
      <c r="S1016" s="1760"/>
      <c r="T1016" s="1760"/>
      <c r="U1016" s="1760"/>
      <c r="V1016" s="1760"/>
      <c r="W1016" s="1760"/>
      <c r="X1016" s="1760"/>
      <c r="Y1016" s="1760"/>
      <c r="Z1016" s="1760"/>
      <c r="AA1016" s="1760"/>
      <c r="AB1016" s="1760"/>
      <c r="AC1016" s="1760"/>
      <c r="AD1016" s="1760"/>
      <c r="AE1016" s="1761"/>
      <c r="AF1016" s="1855" t="str">
        <f>IF(AND(AG1015="Yes",AY1010=0),AY1022,"")</f>
        <v/>
      </c>
      <c r="AG1016" s="1856"/>
      <c r="AH1016" s="1856"/>
      <c r="AI1016" s="1857"/>
      <c r="AJ1016" s="1782"/>
      <c r="AK1016" s="1783"/>
      <c r="AL1016" s="1783"/>
      <c r="AM1016" s="1783"/>
      <c r="AN1016" s="1783"/>
      <c r="AO1016" s="1783"/>
      <c r="AP1016" s="1783"/>
      <c r="AQ1016" s="1784"/>
      <c r="AR1016" s="68"/>
      <c r="AS1016" s="68"/>
      <c r="AT1016" s="68"/>
      <c r="AU1016" s="68"/>
      <c r="AV1016" s="68"/>
      <c r="AW1016" s="68"/>
      <c r="AX1016" s="68"/>
      <c r="AY1016" s="213">
        <f>IF(A1086="Yes",0.01,0)</f>
        <v>0</v>
      </c>
    </row>
    <row r="1017" spans="1:51" ht="13" customHeight="1">
      <c r="A1017" s="14"/>
      <c r="B1017" s="73"/>
      <c r="C1017" s="74"/>
      <c r="D1017" s="1759"/>
      <c r="E1017" s="1760"/>
      <c r="F1017" s="1760"/>
      <c r="G1017" s="1760"/>
      <c r="H1017" s="1760"/>
      <c r="I1017" s="1760"/>
      <c r="J1017" s="1760"/>
      <c r="K1017" s="1760"/>
      <c r="L1017" s="1760"/>
      <c r="M1017" s="1760"/>
      <c r="N1017" s="1760"/>
      <c r="O1017" s="1760"/>
      <c r="P1017" s="1760"/>
      <c r="Q1017" s="1760"/>
      <c r="R1017" s="1760"/>
      <c r="S1017" s="1760"/>
      <c r="T1017" s="1760"/>
      <c r="U1017" s="1760"/>
      <c r="V1017" s="1760"/>
      <c r="W1017" s="1760"/>
      <c r="X1017" s="1760"/>
      <c r="Y1017" s="1760"/>
      <c r="Z1017" s="1760"/>
      <c r="AA1017" s="1760"/>
      <c r="AB1017" s="1760"/>
      <c r="AC1017" s="1760"/>
      <c r="AD1017" s="1760"/>
      <c r="AE1017" s="1761"/>
      <c r="AF1017" s="1855"/>
      <c r="AG1017" s="1856"/>
      <c r="AH1017" s="1856"/>
      <c r="AI1017" s="1857"/>
      <c r="AJ1017" s="1782"/>
      <c r="AK1017" s="1783"/>
      <c r="AL1017" s="1783"/>
      <c r="AM1017" s="1783"/>
      <c r="AN1017" s="1783"/>
      <c r="AO1017" s="1783"/>
      <c r="AP1017" s="1783"/>
      <c r="AQ1017" s="1784"/>
      <c r="AR1017" s="68"/>
      <c r="AS1017" s="68"/>
      <c r="AT1017" s="68"/>
      <c r="AU1017" s="68"/>
      <c r="AV1017" s="68"/>
      <c r="AW1017" s="68"/>
      <c r="AX1017" s="68"/>
      <c r="AY1017" s="213">
        <f>IF(A1091="Yes",0.01,0)</f>
        <v>0</v>
      </c>
    </row>
    <row r="1018" spans="1:51" ht="13" customHeight="1">
      <c r="A1018" s="14"/>
      <c r="B1018" s="81"/>
      <c r="C1018" s="82"/>
      <c r="D1018" s="1772"/>
      <c r="E1018" s="1773"/>
      <c r="F1018" s="1773"/>
      <c r="G1018" s="1773"/>
      <c r="H1018" s="1773"/>
      <c r="I1018" s="1773"/>
      <c r="J1018" s="1773"/>
      <c r="K1018" s="1773"/>
      <c r="L1018" s="1773"/>
      <c r="M1018" s="1773"/>
      <c r="N1018" s="1773"/>
      <c r="O1018" s="1773"/>
      <c r="P1018" s="1773"/>
      <c r="Q1018" s="1773"/>
      <c r="R1018" s="1773"/>
      <c r="S1018" s="1773"/>
      <c r="T1018" s="1773"/>
      <c r="U1018" s="1773"/>
      <c r="V1018" s="1773"/>
      <c r="W1018" s="1773"/>
      <c r="X1018" s="1773"/>
      <c r="Y1018" s="1773"/>
      <c r="Z1018" s="1773"/>
      <c r="AA1018" s="1773"/>
      <c r="AB1018" s="1773"/>
      <c r="AC1018" s="1773"/>
      <c r="AD1018" s="1773"/>
      <c r="AE1018" s="1774"/>
      <c r="AF1018" s="1858"/>
      <c r="AG1018" s="1859"/>
      <c r="AH1018" s="1859"/>
      <c r="AI1018" s="1860"/>
      <c r="AJ1018" s="1785"/>
      <c r="AK1018" s="1786"/>
      <c r="AL1018" s="1786"/>
      <c r="AM1018" s="1786"/>
      <c r="AN1018" s="1786"/>
      <c r="AO1018" s="1786"/>
      <c r="AP1018" s="1786"/>
      <c r="AQ1018" s="1787"/>
      <c r="AR1018" s="68"/>
      <c r="AS1018" s="68"/>
      <c r="AT1018" s="68"/>
      <c r="AU1018" s="68"/>
      <c r="AV1018" s="68"/>
      <c r="AW1018" s="68"/>
      <c r="AX1018" s="68"/>
      <c r="AY1018" s="213">
        <f>IF(A1094="Yes",0.01,0)</f>
        <v>0</v>
      </c>
    </row>
    <row r="1019" spans="1:51" ht="13" customHeight="1">
      <c r="A1019" s="14"/>
      <c r="B1019" s="79"/>
      <c r="C1019" s="80" t="s">
        <v>224</v>
      </c>
      <c r="D1019" s="1799" t="s">
        <v>1401</v>
      </c>
      <c r="E1019" s="1800"/>
      <c r="F1019" s="1800"/>
      <c r="G1019" s="1800"/>
      <c r="H1019" s="1800"/>
      <c r="I1019" s="1800"/>
      <c r="J1019" s="1800"/>
      <c r="K1019" s="1800"/>
      <c r="L1019" s="1800"/>
      <c r="M1019" s="1800"/>
      <c r="N1019" s="1800"/>
      <c r="O1019" s="1800"/>
      <c r="P1019" s="1800"/>
      <c r="Q1019" s="1800"/>
      <c r="R1019" s="1800"/>
      <c r="S1019" s="1800"/>
      <c r="T1019" s="1800"/>
      <c r="U1019" s="1800"/>
      <c r="V1019" s="1800"/>
      <c r="W1019" s="1800"/>
      <c r="X1019" s="1800"/>
      <c r="Y1019" s="1800"/>
      <c r="Z1019" s="1800"/>
      <c r="AA1019" s="1800"/>
      <c r="AB1019" s="1800"/>
      <c r="AC1019" s="1800"/>
      <c r="AD1019" s="1800"/>
      <c r="AE1019" s="1801"/>
      <c r="AF1019" s="79"/>
      <c r="AG1019" s="1768" t="s">
        <v>677</v>
      </c>
      <c r="AH1019" s="1769"/>
      <c r="AI1019" s="87"/>
      <c r="AJ1019" s="1779">
        <f>ROUND(IF(AND(AG1019="Yes",J1023&lt;&gt;"N/A",AF1022&lt;&gt;""),MIN(AF1022,(0.15*AJ991)),0),0)</f>
        <v>0</v>
      </c>
      <c r="AK1019" s="1780"/>
      <c r="AL1019" s="1780"/>
      <c r="AM1019" s="1780"/>
      <c r="AN1019" s="1780"/>
      <c r="AO1019" s="1780"/>
      <c r="AP1019" s="1780"/>
      <c r="AQ1019" s="1781"/>
      <c r="AR1019" s="68"/>
      <c r="AS1019" s="68"/>
      <c r="AT1019" s="68"/>
      <c r="AU1019" s="68"/>
      <c r="AV1019" s="68"/>
      <c r="AW1019" s="68"/>
      <c r="AX1019" s="68"/>
      <c r="AY1019" s="213">
        <f>IF(A1098="Yes",0.02,0)</f>
        <v>0</v>
      </c>
    </row>
    <row r="1020" spans="1:51" ht="13" customHeight="1">
      <c r="A1020" s="14"/>
      <c r="B1020" s="81"/>
      <c r="C1020" s="84"/>
      <c r="D1020" s="1802"/>
      <c r="E1020" s="1803"/>
      <c r="F1020" s="1803"/>
      <c r="G1020" s="1803"/>
      <c r="H1020" s="1803"/>
      <c r="I1020" s="1803"/>
      <c r="J1020" s="1803"/>
      <c r="K1020" s="1803"/>
      <c r="L1020" s="1803"/>
      <c r="M1020" s="1803"/>
      <c r="N1020" s="1803"/>
      <c r="O1020" s="1803"/>
      <c r="P1020" s="1803"/>
      <c r="Q1020" s="1803"/>
      <c r="R1020" s="1803"/>
      <c r="S1020" s="1803"/>
      <c r="T1020" s="1803"/>
      <c r="U1020" s="1803"/>
      <c r="V1020" s="1803"/>
      <c r="W1020" s="1803"/>
      <c r="X1020" s="1803"/>
      <c r="Y1020" s="1803"/>
      <c r="Z1020" s="1803"/>
      <c r="AA1020" s="1803"/>
      <c r="AB1020" s="1803"/>
      <c r="AC1020" s="1803"/>
      <c r="AD1020" s="1803"/>
      <c r="AE1020" s="1804"/>
      <c r="AF1020" s="1821" t="str">
        <f>IF(AG1019="yes","Please Select Type and Enter Amount:","")</f>
        <v/>
      </c>
      <c r="AG1020" s="1822"/>
      <c r="AH1020" s="1822"/>
      <c r="AI1020" s="1823"/>
      <c r="AJ1020" s="1782"/>
      <c r="AK1020" s="1783"/>
      <c r="AL1020" s="1783"/>
      <c r="AM1020" s="1783"/>
      <c r="AN1020" s="1783"/>
      <c r="AO1020" s="1783"/>
      <c r="AP1020" s="1783"/>
      <c r="AQ1020" s="1784"/>
      <c r="AR1020" s="68"/>
      <c r="AS1020" s="68"/>
      <c r="AT1020" s="68"/>
      <c r="AU1020" s="68"/>
      <c r="AV1020" s="68"/>
      <c r="AW1020" s="68"/>
      <c r="AX1020" s="68"/>
      <c r="AY1020" s="214">
        <f>IF(A1103="Yes",0.02,0)</f>
        <v>0</v>
      </c>
    </row>
    <row r="1021" spans="1:51" ht="13" customHeight="1">
      <c r="A1021" s="14"/>
      <c r="B1021" s="81"/>
      <c r="C1021" s="84"/>
      <c r="D1021" s="1759" t="s">
        <v>1402</v>
      </c>
      <c r="E1021" s="1760"/>
      <c r="F1021" s="1760"/>
      <c r="G1021" s="1760"/>
      <c r="H1021" s="1760"/>
      <c r="I1021" s="1760"/>
      <c r="J1021" s="1760"/>
      <c r="K1021" s="1760"/>
      <c r="L1021" s="1760"/>
      <c r="M1021" s="1760"/>
      <c r="N1021" s="1760"/>
      <c r="O1021" s="1760"/>
      <c r="P1021" s="1760"/>
      <c r="Q1021" s="1760"/>
      <c r="R1021" s="1760"/>
      <c r="S1021" s="1760"/>
      <c r="T1021" s="1760"/>
      <c r="U1021" s="1760"/>
      <c r="V1021" s="1760"/>
      <c r="W1021" s="1760"/>
      <c r="X1021" s="1760"/>
      <c r="Y1021" s="1760"/>
      <c r="Z1021" s="1760"/>
      <c r="AA1021" s="1760"/>
      <c r="AB1021" s="1760"/>
      <c r="AC1021" s="1760"/>
      <c r="AD1021" s="1760"/>
      <c r="AE1021" s="1761"/>
      <c r="AF1021" s="1821"/>
      <c r="AG1021" s="1822"/>
      <c r="AH1021" s="1822"/>
      <c r="AI1021" s="1823"/>
      <c r="AJ1021" s="1782"/>
      <c r="AK1021" s="1783"/>
      <c r="AL1021" s="1783"/>
      <c r="AM1021" s="1783"/>
      <c r="AN1021" s="1783"/>
      <c r="AO1021" s="1783"/>
      <c r="AP1021" s="1783"/>
      <c r="AQ1021" s="1784"/>
      <c r="AR1021" s="68"/>
      <c r="AS1021" s="68"/>
      <c r="AT1021" s="68"/>
      <c r="AU1021" s="68"/>
      <c r="AV1021" s="68"/>
      <c r="AW1021" s="68"/>
      <c r="AX1021" s="68"/>
      <c r="AY1021" s="68"/>
    </row>
    <row r="1022" spans="1:51" ht="13" customHeight="1">
      <c r="A1022" s="14"/>
      <c r="B1022" s="81"/>
      <c r="C1022" s="84"/>
      <c r="D1022" s="1759"/>
      <c r="E1022" s="1760"/>
      <c r="F1022" s="1760"/>
      <c r="G1022" s="1760"/>
      <c r="H1022" s="1760"/>
      <c r="I1022" s="1760"/>
      <c r="J1022" s="1760"/>
      <c r="K1022" s="1760"/>
      <c r="L1022" s="1760"/>
      <c r="M1022" s="1760"/>
      <c r="N1022" s="1760"/>
      <c r="O1022" s="1760"/>
      <c r="P1022" s="1760"/>
      <c r="Q1022" s="1760"/>
      <c r="R1022" s="1760"/>
      <c r="S1022" s="1760"/>
      <c r="T1022" s="1760"/>
      <c r="U1022" s="1760"/>
      <c r="V1022" s="1760"/>
      <c r="W1022" s="1760"/>
      <c r="X1022" s="1760"/>
      <c r="Y1022" s="1760"/>
      <c r="Z1022" s="1760"/>
      <c r="AA1022" s="1760"/>
      <c r="AB1022" s="1760"/>
      <c r="AC1022" s="1760"/>
      <c r="AD1022" s="1760"/>
      <c r="AE1022" s="1761"/>
      <c r="AF1022" s="1824"/>
      <c r="AG1022" s="1824"/>
      <c r="AH1022" s="1824"/>
      <c r="AI1022" s="1824"/>
      <c r="AJ1022" s="1782"/>
      <c r="AK1022" s="1783"/>
      <c r="AL1022" s="1783"/>
      <c r="AM1022" s="1783"/>
      <c r="AN1022" s="1783"/>
      <c r="AO1022" s="1783"/>
      <c r="AP1022" s="1783"/>
      <c r="AQ1022" s="1784"/>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812" t="s">
        <v>599</v>
      </c>
      <c r="K1023" s="1813"/>
      <c r="L1023" s="1813"/>
      <c r="M1023" s="1813"/>
      <c r="N1023" s="1813"/>
      <c r="O1023" s="1813"/>
      <c r="P1023" s="1813"/>
      <c r="Q1023" s="1813"/>
      <c r="R1023" s="1813"/>
      <c r="S1023" s="1813"/>
      <c r="T1023" s="1813"/>
      <c r="U1023" s="1813"/>
      <c r="V1023" s="1813"/>
      <c r="W1023" s="1813"/>
      <c r="X1023" s="1813"/>
      <c r="Y1023" s="1813"/>
      <c r="Z1023" s="1813"/>
      <c r="AA1023" s="1813"/>
      <c r="AB1023" s="1813"/>
      <c r="AC1023" s="1813"/>
      <c r="AD1023" s="1813"/>
      <c r="AE1023" s="1814"/>
      <c r="AF1023" s="1824"/>
      <c r="AG1023" s="1824"/>
      <c r="AH1023" s="1824"/>
      <c r="AI1023" s="1824"/>
      <c r="AJ1023" s="1785"/>
      <c r="AK1023" s="1786"/>
      <c r="AL1023" s="1786"/>
      <c r="AM1023" s="1786"/>
      <c r="AN1023" s="1786"/>
      <c r="AO1023" s="1786"/>
      <c r="AP1023" s="1786"/>
      <c r="AQ1023" s="1787"/>
      <c r="AR1023" s="68"/>
      <c r="AS1023" s="68"/>
      <c r="AT1023" s="68"/>
      <c r="AU1023" s="68"/>
      <c r="AV1023" s="68"/>
      <c r="AW1023" s="68"/>
      <c r="AX1023" s="68"/>
      <c r="AY1023" s="68"/>
    </row>
    <row r="1024" spans="1:51" ht="13" customHeight="1">
      <c r="A1024" s="14"/>
      <c r="B1024" s="79"/>
      <c r="C1024" s="80" t="s">
        <v>230</v>
      </c>
      <c r="D1024" s="1756" t="s">
        <v>1403</v>
      </c>
      <c r="E1024" s="1757"/>
      <c r="F1024" s="1757"/>
      <c r="G1024" s="1757"/>
      <c r="H1024" s="1757"/>
      <c r="I1024" s="1757"/>
      <c r="J1024" s="1757"/>
      <c r="K1024" s="1757"/>
      <c r="L1024" s="1757"/>
      <c r="M1024" s="1757"/>
      <c r="N1024" s="1757"/>
      <c r="O1024" s="1757"/>
      <c r="P1024" s="1757"/>
      <c r="Q1024" s="1757"/>
      <c r="R1024" s="1757"/>
      <c r="S1024" s="1757"/>
      <c r="T1024" s="1757"/>
      <c r="U1024" s="1757"/>
      <c r="V1024" s="1757"/>
      <c r="W1024" s="1757"/>
      <c r="X1024" s="1757"/>
      <c r="Y1024" s="1757"/>
      <c r="Z1024" s="1757"/>
      <c r="AA1024" s="1757"/>
      <c r="AB1024" s="1757"/>
      <c r="AC1024" s="1757"/>
      <c r="AD1024" s="1757"/>
      <c r="AE1024" s="1758"/>
      <c r="AF1024" s="79"/>
      <c r="AG1024" s="1768" t="s">
        <v>553</v>
      </c>
      <c r="AH1024" s="1769"/>
      <c r="AI1024" s="87"/>
      <c r="AJ1024" s="1779">
        <f>ROUND(IF(AG1024="Yes",AF1026,0),0)</f>
        <v>1140992</v>
      </c>
      <c r="AK1024" s="1780"/>
      <c r="AL1024" s="1780"/>
      <c r="AM1024" s="1780"/>
      <c r="AN1024" s="1780"/>
      <c r="AO1024" s="1780"/>
      <c r="AP1024" s="1780"/>
      <c r="AQ1024" s="1781"/>
      <c r="AR1024" s="68"/>
      <c r="AS1024" s="68"/>
      <c r="AT1024" s="68"/>
      <c r="AU1024" s="68"/>
      <c r="AV1024" s="68"/>
      <c r="AW1024" s="68"/>
      <c r="AX1024" s="68"/>
      <c r="AY1024" s="68"/>
    </row>
    <row r="1025" spans="1:51" ht="13" customHeight="1">
      <c r="A1025" s="14"/>
      <c r="B1025" s="73"/>
      <c r="C1025" s="74"/>
      <c r="D1025" s="1759" t="s">
        <v>1878</v>
      </c>
      <c r="E1025" s="1760"/>
      <c r="F1025" s="1760"/>
      <c r="G1025" s="1760"/>
      <c r="H1025" s="1760"/>
      <c r="I1025" s="1760"/>
      <c r="J1025" s="1760"/>
      <c r="K1025" s="1760"/>
      <c r="L1025" s="1760"/>
      <c r="M1025" s="1760"/>
      <c r="N1025" s="1760"/>
      <c r="O1025" s="1760"/>
      <c r="P1025" s="1760"/>
      <c r="Q1025" s="1760"/>
      <c r="R1025" s="1760"/>
      <c r="S1025" s="1760"/>
      <c r="T1025" s="1760"/>
      <c r="U1025" s="1760"/>
      <c r="V1025" s="1760"/>
      <c r="W1025" s="1760"/>
      <c r="X1025" s="1760"/>
      <c r="Y1025" s="1760"/>
      <c r="Z1025" s="1760"/>
      <c r="AA1025" s="1760"/>
      <c r="AB1025" s="1760"/>
      <c r="AC1025" s="1760"/>
      <c r="AD1025" s="1760"/>
      <c r="AE1025" s="1761"/>
      <c r="AF1025" s="1805" t="str">
        <f>IF(AG1024="yes","Enter Amount:","")</f>
        <v>Enter Amount:</v>
      </c>
      <c r="AG1025" s="1806"/>
      <c r="AH1025" s="1806"/>
      <c r="AI1025" s="1807"/>
      <c r="AJ1025" s="1782"/>
      <c r="AK1025" s="1783"/>
      <c r="AL1025" s="1783"/>
      <c r="AM1025" s="1783"/>
      <c r="AN1025" s="1783"/>
      <c r="AO1025" s="1783"/>
      <c r="AP1025" s="1783"/>
      <c r="AQ1025" s="1784"/>
      <c r="AR1025" s="68"/>
      <c r="AS1025" s="68"/>
      <c r="AT1025" s="68"/>
      <c r="AU1025" s="68"/>
      <c r="AV1025" s="68"/>
      <c r="AW1025" s="68"/>
      <c r="AX1025" s="68"/>
      <c r="AY1025" s="68"/>
    </row>
    <row r="1026" spans="1:51" ht="13" customHeight="1">
      <c r="A1026" s="14"/>
      <c r="B1026" s="73"/>
      <c r="C1026" s="74"/>
      <c r="D1026" s="1759"/>
      <c r="E1026" s="1760"/>
      <c r="F1026" s="1760"/>
      <c r="G1026" s="1760"/>
      <c r="H1026" s="1760"/>
      <c r="I1026" s="1760"/>
      <c r="J1026" s="1760"/>
      <c r="K1026" s="1760"/>
      <c r="L1026" s="1760"/>
      <c r="M1026" s="1760"/>
      <c r="N1026" s="1760"/>
      <c r="O1026" s="1760"/>
      <c r="P1026" s="1760"/>
      <c r="Q1026" s="1760"/>
      <c r="R1026" s="1760"/>
      <c r="S1026" s="1760"/>
      <c r="T1026" s="1760"/>
      <c r="U1026" s="1760"/>
      <c r="V1026" s="1760"/>
      <c r="W1026" s="1760"/>
      <c r="X1026" s="1760"/>
      <c r="Y1026" s="1760"/>
      <c r="Z1026" s="1760"/>
      <c r="AA1026" s="1760"/>
      <c r="AB1026" s="1760"/>
      <c r="AC1026" s="1760"/>
      <c r="AD1026" s="1760"/>
      <c r="AE1026" s="1761"/>
      <c r="AF1026" s="1264">
        <v>1140992</v>
      </c>
      <c r="AG1026" s="1264"/>
      <c r="AH1026" s="1264"/>
      <c r="AI1026" s="1264"/>
      <c r="AJ1026" s="1782"/>
      <c r="AK1026" s="1783"/>
      <c r="AL1026" s="1783"/>
      <c r="AM1026" s="1783"/>
      <c r="AN1026" s="1783"/>
      <c r="AO1026" s="1783"/>
      <c r="AP1026" s="1783"/>
      <c r="AQ1026" s="1784"/>
      <c r="AR1026" s="68"/>
      <c r="AS1026" s="68"/>
      <c r="AT1026" s="68"/>
      <c r="AU1026" s="68"/>
      <c r="AV1026" s="68"/>
      <c r="AW1026" s="68"/>
      <c r="AX1026" s="68"/>
      <c r="AY1026" s="68"/>
    </row>
    <row r="1027" spans="1:51" ht="13" customHeight="1">
      <c r="A1027" s="14"/>
      <c r="B1027" s="85"/>
      <c r="C1027" s="84"/>
      <c r="D1027" s="1772"/>
      <c r="E1027" s="1773"/>
      <c r="F1027" s="1773"/>
      <c r="G1027" s="1773"/>
      <c r="H1027" s="1773"/>
      <c r="I1027" s="1773"/>
      <c r="J1027" s="1773"/>
      <c r="K1027" s="1773"/>
      <c r="L1027" s="1773"/>
      <c r="M1027" s="1773"/>
      <c r="N1027" s="1773"/>
      <c r="O1027" s="1773"/>
      <c r="P1027" s="1773"/>
      <c r="Q1027" s="1773"/>
      <c r="R1027" s="1773"/>
      <c r="S1027" s="1773"/>
      <c r="T1027" s="1773"/>
      <c r="U1027" s="1773"/>
      <c r="V1027" s="1773"/>
      <c r="W1027" s="1773"/>
      <c r="X1027" s="1773"/>
      <c r="Y1027" s="1773"/>
      <c r="Z1027" s="1773"/>
      <c r="AA1027" s="1773"/>
      <c r="AB1027" s="1773"/>
      <c r="AC1027" s="1773"/>
      <c r="AD1027" s="1773"/>
      <c r="AE1027" s="1774"/>
      <c r="AF1027" s="1264"/>
      <c r="AG1027" s="1264"/>
      <c r="AH1027" s="1264"/>
      <c r="AI1027" s="1264"/>
      <c r="AJ1027" s="1785"/>
      <c r="AK1027" s="1786"/>
      <c r="AL1027" s="1786"/>
      <c r="AM1027" s="1786"/>
      <c r="AN1027" s="1786"/>
      <c r="AO1027" s="1786"/>
      <c r="AP1027" s="1786"/>
      <c r="AQ1027" s="1787"/>
      <c r="AR1027" s="68"/>
      <c r="AS1027" s="68"/>
      <c r="AT1027" s="68"/>
      <c r="AU1027" s="68"/>
      <c r="AV1027" s="68"/>
      <c r="AW1027" s="68"/>
      <c r="AX1027" s="68"/>
      <c r="AY1027" s="68"/>
    </row>
    <row r="1028" spans="1:51" ht="13" customHeight="1">
      <c r="A1028" s="14"/>
      <c r="B1028" s="79"/>
      <c r="C1028" s="80" t="s">
        <v>235</v>
      </c>
      <c r="D1028" s="1748" t="s">
        <v>1404</v>
      </c>
      <c r="E1028" s="1749"/>
      <c r="F1028" s="1749"/>
      <c r="G1028" s="1749"/>
      <c r="H1028" s="1749"/>
      <c r="I1028" s="1749"/>
      <c r="J1028" s="1749"/>
      <c r="K1028" s="1749"/>
      <c r="L1028" s="1749"/>
      <c r="M1028" s="1749"/>
      <c r="N1028" s="1749"/>
      <c r="O1028" s="1749"/>
      <c r="P1028" s="1749"/>
      <c r="Q1028" s="1749"/>
      <c r="R1028" s="1749"/>
      <c r="S1028" s="1749"/>
      <c r="T1028" s="1749"/>
      <c r="U1028" s="1749"/>
      <c r="V1028" s="1749"/>
      <c r="W1028" s="1749"/>
      <c r="X1028" s="1749"/>
      <c r="Y1028" s="1749"/>
      <c r="Z1028" s="1749"/>
      <c r="AA1028" s="1749"/>
      <c r="AB1028" s="1749"/>
      <c r="AC1028" s="1749"/>
      <c r="AD1028" s="1749"/>
      <c r="AE1028" s="1750"/>
      <c r="AF1028" s="79"/>
      <c r="AG1028" s="1768" t="s">
        <v>553</v>
      </c>
      <c r="AH1028" s="1769"/>
      <c r="AI1028" s="87"/>
      <c r="AJ1028" s="1779">
        <f>ROUND(IF(AG1028="yes",(AJ991*0.1),0),0)</f>
        <v>2329684</v>
      </c>
      <c r="AK1028" s="1780"/>
      <c r="AL1028" s="1780"/>
      <c r="AM1028" s="1780"/>
      <c r="AN1028" s="1780"/>
      <c r="AO1028" s="1780"/>
      <c r="AP1028" s="1780"/>
      <c r="AQ1028" s="1781"/>
      <c r="AR1028" s="68"/>
      <c r="AS1028" s="68"/>
      <c r="AT1028" s="68"/>
      <c r="AU1028" s="68"/>
      <c r="AV1028" s="68"/>
      <c r="AW1028" s="68"/>
      <c r="AX1028" s="68"/>
      <c r="AY1028" s="68"/>
    </row>
    <row r="1029" spans="1:51" ht="13" customHeight="1">
      <c r="A1029" s="14"/>
      <c r="B1029" s="73"/>
      <c r="C1029" s="74"/>
      <c r="D1029" s="1759" t="s">
        <v>1405</v>
      </c>
      <c r="E1029" s="1760"/>
      <c r="F1029" s="1760"/>
      <c r="G1029" s="1760"/>
      <c r="H1029" s="1760"/>
      <c r="I1029" s="1760"/>
      <c r="J1029" s="1760"/>
      <c r="K1029" s="1760"/>
      <c r="L1029" s="1760"/>
      <c r="M1029" s="1760"/>
      <c r="N1029" s="1760"/>
      <c r="O1029" s="1760"/>
      <c r="P1029" s="1760"/>
      <c r="Q1029" s="1760"/>
      <c r="R1029" s="1760"/>
      <c r="S1029" s="1760"/>
      <c r="T1029" s="1760"/>
      <c r="U1029" s="1760"/>
      <c r="V1029" s="1760"/>
      <c r="W1029" s="1760"/>
      <c r="X1029" s="1760"/>
      <c r="Y1029" s="1760"/>
      <c r="Z1029" s="1760"/>
      <c r="AA1029" s="1760"/>
      <c r="AB1029" s="1760"/>
      <c r="AC1029" s="1760"/>
      <c r="AD1029" s="1760"/>
      <c r="AE1029" s="1761"/>
      <c r="AF1029" s="73"/>
      <c r="AG1029" s="14"/>
      <c r="AH1029" s="14"/>
      <c r="AI1029" s="83"/>
      <c r="AJ1029" s="1782"/>
      <c r="AK1029" s="1783"/>
      <c r="AL1029" s="1783"/>
      <c r="AM1029" s="1783"/>
      <c r="AN1029" s="1783"/>
      <c r="AO1029" s="1783"/>
      <c r="AP1029" s="1783"/>
      <c r="AQ1029" s="1784"/>
      <c r="AR1029" s="68"/>
      <c r="AS1029" s="68"/>
      <c r="AT1029" s="68"/>
      <c r="AU1029" s="68"/>
      <c r="AV1029" s="68"/>
      <c r="AW1029" s="68"/>
      <c r="AX1029" s="68"/>
      <c r="AY1029" s="68"/>
    </row>
    <row r="1030" spans="1:51" ht="13" customHeight="1">
      <c r="A1030" s="14"/>
      <c r="B1030" s="77"/>
      <c r="C1030" s="74"/>
      <c r="D1030" s="1772"/>
      <c r="E1030" s="1773"/>
      <c r="F1030" s="1773"/>
      <c r="G1030" s="1773"/>
      <c r="H1030" s="1773"/>
      <c r="I1030" s="1773"/>
      <c r="J1030" s="1773"/>
      <c r="K1030" s="1773"/>
      <c r="L1030" s="1773"/>
      <c r="M1030" s="1773"/>
      <c r="N1030" s="1773"/>
      <c r="O1030" s="1773"/>
      <c r="P1030" s="1773"/>
      <c r="Q1030" s="1773"/>
      <c r="R1030" s="1773"/>
      <c r="S1030" s="1773"/>
      <c r="T1030" s="1773"/>
      <c r="U1030" s="1773"/>
      <c r="V1030" s="1773"/>
      <c r="W1030" s="1773"/>
      <c r="X1030" s="1773"/>
      <c r="Y1030" s="1773"/>
      <c r="Z1030" s="1773"/>
      <c r="AA1030" s="1773"/>
      <c r="AB1030" s="1773"/>
      <c r="AC1030" s="1773"/>
      <c r="AD1030" s="1773"/>
      <c r="AE1030" s="1774"/>
      <c r="AF1030" s="73"/>
      <c r="AG1030" s="14"/>
      <c r="AH1030" s="14"/>
      <c r="AI1030" s="83"/>
      <c r="AJ1030" s="1785"/>
      <c r="AK1030" s="1786"/>
      <c r="AL1030" s="1786"/>
      <c r="AM1030" s="1786"/>
      <c r="AN1030" s="1786"/>
      <c r="AO1030" s="1786"/>
      <c r="AP1030" s="1786"/>
      <c r="AQ1030" s="1787"/>
      <c r="AR1030" s="68"/>
      <c r="AS1030" s="68"/>
      <c r="AT1030" s="68"/>
      <c r="AU1030" s="68"/>
      <c r="AV1030" s="68"/>
      <c r="AW1030" s="68"/>
      <c r="AX1030" s="68"/>
      <c r="AY1030" s="68"/>
    </row>
    <row r="1031" spans="1:51" ht="13" customHeight="1">
      <c r="A1031" s="14"/>
      <c r="B1031" s="73"/>
      <c r="C1031" s="367" t="s">
        <v>696</v>
      </c>
      <c r="D1031" s="1756" t="s">
        <v>1874</v>
      </c>
      <c r="E1031" s="1757"/>
      <c r="F1031" s="1757"/>
      <c r="G1031" s="1757"/>
      <c r="H1031" s="1757"/>
      <c r="I1031" s="1757"/>
      <c r="J1031" s="1757"/>
      <c r="K1031" s="1757"/>
      <c r="L1031" s="1757"/>
      <c r="M1031" s="1757"/>
      <c r="N1031" s="1757"/>
      <c r="O1031" s="1757"/>
      <c r="P1031" s="1757"/>
      <c r="Q1031" s="1757"/>
      <c r="R1031" s="1757"/>
      <c r="S1031" s="1757"/>
      <c r="T1031" s="1757"/>
      <c r="U1031" s="1757"/>
      <c r="V1031" s="1757"/>
      <c r="W1031" s="1757"/>
      <c r="X1031" s="1757"/>
      <c r="Y1031" s="1757"/>
      <c r="Z1031" s="1757"/>
      <c r="AA1031" s="1757"/>
      <c r="AB1031" s="1757"/>
      <c r="AC1031" s="1757"/>
      <c r="AD1031" s="1757"/>
      <c r="AE1031" s="1758"/>
      <c r="AF1031" s="79"/>
      <c r="AG1031" s="1768" t="s">
        <v>677</v>
      </c>
      <c r="AH1031" s="1769"/>
      <c r="AI1031" s="87"/>
      <c r="AJ1031" s="1779">
        <f>ROUND(IF(AG1031="yes",(AJ991*0.15),0),0)</f>
        <v>0</v>
      </c>
      <c r="AK1031" s="1780"/>
      <c r="AL1031" s="1780"/>
      <c r="AM1031" s="1780"/>
      <c r="AN1031" s="1780"/>
      <c r="AO1031" s="1780"/>
      <c r="AP1031" s="1780"/>
      <c r="AQ1031" s="1781"/>
      <c r="AR1031" s="68"/>
      <c r="AS1031" s="68"/>
      <c r="AT1031" s="68"/>
      <c r="AU1031" s="68"/>
      <c r="AV1031" s="68"/>
      <c r="AW1031" s="68"/>
      <c r="AX1031" s="68"/>
      <c r="AY1031" s="68"/>
    </row>
    <row r="1032" spans="1:51" ht="13" customHeight="1">
      <c r="A1032" s="14"/>
      <c r="B1032" s="73"/>
      <c r="C1032" s="74"/>
      <c r="D1032" s="1791" t="s">
        <v>1875</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792"/>
      <c r="AF1032" s="950"/>
      <c r="AG1032" s="951"/>
      <c r="AH1032" s="951"/>
      <c r="AI1032" s="952"/>
      <c r="AJ1032" s="1782"/>
      <c r="AK1032" s="1783"/>
      <c r="AL1032" s="1783"/>
      <c r="AM1032" s="1783"/>
      <c r="AN1032" s="1783"/>
      <c r="AO1032" s="1783"/>
      <c r="AP1032" s="1783"/>
      <c r="AQ1032" s="1784"/>
      <c r="AR1032" s="68"/>
      <c r="AS1032" s="68"/>
      <c r="AT1032" s="68"/>
      <c r="AU1032" s="68"/>
      <c r="AV1032" s="68"/>
      <c r="AW1032" s="68"/>
      <c r="AX1032" s="68"/>
      <c r="AY1032" s="68"/>
    </row>
    <row r="1033" spans="1:51" ht="13" customHeight="1">
      <c r="A1033" s="14"/>
      <c r="B1033" s="73"/>
      <c r="C1033" s="74"/>
      <c r="D1033" s="1791"/>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792"/>
      <c r="AF1033" s="950"/>
      <c r="AG1033" s="951"/>
      <c r="AH1033" s="951"/>
      <c r="AI1033" s="952"/>
      <c r="AJ1033" s="1782"/>
      <c r="AK1033" s="1783"/>
      <c r="AL1033" s="1783"/>
      <c r="AM1033" s="1783"/>
      <c r="AN1033" s="1783"/>
      <c r="AO1033" s="1783"/>
      <c r="AP1033" s="1783"/>
      <c r="AQ1033" s="1784"/>
      <c r="AR1033" s="68"/>
      <c r="AS1033" s="68"/>
      <c r="AT1033" s="68"/>
      <c r="AU1033" s="68"/>
      <c r="AV1033" s="68"/>
      <c r="AW1033" s="68"/>
      <c r="AX1033" s="68"/>
      <c r="AY1033" s="68"/>
    </row>
    <row r="1034" spans="1:51" ht="13" customHeight="1">
      <c r="A1034" s="14"/>
      <c r="B1034" s="73"/>
      <c r="C1034" s="74"/>
      <c r="D1034" s="1793"/>
      <c r="E1034" s="1794"/>
      <c r="F1034" s="1794"/>
      <c r="G1034" s="1794"/>
      <c r="H1034" s="1794"/>
      <c r="I1034" s="1794"/>
      <c r="J1034" s="1794"/>
      <c r="K1034" s="1794"/>
      <c r="L1034" s="1794"/>
      <c r="M1034" s="1794"/>
      <c r="N1034" s="1794"/>
      <c r="O1034" s="1794"/>
      <c r="P1034" s="1794"/>
      <c r="Q1034" s="1794"/>
      <c r="R1034" s="1794"/>
      <c r="S1034" s="1794"/>
      <c r="T1034" s="1794"/>
      <c r="U1034" s="1794"/>
      <c r="V1034" s="1794"/>
      <c r="W1034" s="1794"/>
      <c r="X1034" s="1794"/>
      <c r="Y1034" s="1794"/>
      <c r="Z1034" s="1794"/>
      <c r="AA1034" s="1794"/>
      <c r="AB1034" s="1794"/>
      <c r="AC1034" s="1794"/>
      <c r="AD1034" s="1794"/>
      <c r="AE1034" s="1795"/>
      <c r="AF1034" s="953"/>
      <c r="AG1034" s="954"/>
      <c r="AH1034" s="954"/>
      <c r="AI1034" s="955"/>
      <c r="AJ1034" s="1785"/>
      <c r="AK1034" s="1786"/>
      <c r="AL1034" s="1786"/>
      <c r="AM1034" s="1786"/>
      <c r="AN1034" s="1786"/>
      <c r="AO1034" s="1786"/>
      <c r="AP1034" s="1786"/>
      <c r="AQ1034" s="1787"/>
      <c r="AR1034" s="68"/>
      <c r="AS1034" s="68"/>
      <c r="AT1034" s="68"/>
      <c r="AU1034" s="68"/>
      <c r="AV1034" s="68"/>
      <c r="AW1034" s="68"/>
      <c r="AX1034" s="68"/>
      <c r="AY1034" s="68"/>
    </row>
    <row r="1035" spans="1:51" ht="13" customHeight="1">
      <c r="A1035" s="14"/>
      <c r="B1035" s="73"/>
      <c r="C1035" s="367" t="s">
        <v>696</v>
      </c>
      <c r="D1035" s="1748" t="s">
        <v>1876</v>
      </c>
      <c r="E1035" s="1749"/>
      <c r="F1035" s="1749"/>
      <c r="G1035" s="1749"/>
      <c r="H1035" s="1749"/>
      <c r="I1035" s="1749"/>
      <c r="J1035" s="1749"/>
      <c r="K1035" s="1749"/>
      <c r="L1035" s="1749"/>
      <c r="M1035" s="1749"/>
      <c r="N1035" s="1749"/>
      <c r="O1035" s="1749"/>
      <c r="P1035" s="1749"/>
      <c r="Q1035" s="1749"/>
      <c r="R1035" s="1749"/>
      <c r="S1035" s="1749"/>
      <c r="T1035" s="1749"/>
      <c r="U1035" s="1749"/>
      <c r="V1035" s="1749"/>
      <c r="W1035" s="1749"/>
      <c r="X1035" s="1749"/>
      <c r="Y1035" s="1749"/>
      <c r="Z1035" s="1749"/>
      <c r="AA1035" s="1749"/>
      <c r="AB1035" s="1749"/>
      <c r="AC1035" s="1749"/>
      <c r="AD1035" s="1749"/>
      <c r="AE1035" s="1750"/>
      <c r="AF1035" s="73"/>
      <c r="AG1035" s="1770" t="s">
        <v>677</v>
      </c>
      <c r="AH1035" s="1771"/>
      <c r="AI1035" s="83"/>
      <c r="AJ1035" s="1779">
        <f>ROUND(IF(AND(AG1035="yes",AJ1031=0),(AJ991*0.1),0),0)</f>
        <v>0</v>
      </c>
      <c r="AK1035" s="1780"/>
      <c r="AL1035" s="1780"/>
      <c r="AM1035" s="1780"/>
      <c r="AN1035" s="1780"/>
      <c r="AO1035" s="1780"/>
      <c r="AP1035" s="1780"/>
      <c r="AQ1035" s="1781"/>
      <c r="AR1035" s="68"/>
      <c r="AS1035" s="68"/>
      <c r="AT1035" s="68"/>
      <c r="AU1035" s="68"/>
      <c r="AV1035" s="68"/>
      <c r="AW1035" s="68"/>
      <c r="AX1035" s="68"/>
      <c r="AY1035" s="68"/>
    </row>
    <row r="1036" spans="1:51" ht="13" customHeight="1">
      <c r="A1036" s="14"/>
      <c r="B1036" s="73"/>
      <c r="C1036" s="74"/>
      <c r="D1036" s="1791" t="s">
        <v>1877</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792"/>
      <c r="AF1036" s="73"/>
      <c r="AG1036" s="14"/>
      <c r="AH1036" s="14"/>
      <c r="AI1036" s="83"/>
      <c r="AJ1036" s="1782"/>
      <c r="AK1036" s="1783"/>
      <c r="AL1036" s="1783"/>
      <c r="AM1036" s="1783"/>
      <c r="AN1036" s="1783"/>
      <c r="AO1036" s="1783"/>
      <c r="AP1036" s="1783"/>
      <c r="AQ1036" s="1784"/>
      <c r="AR1036" s="68"/>
      <c r="AS1036" s="68"/>
      <c r="AT1036" s="68"/>
      <c r="AU1036" s="68"/>
      <c r="AV1036" s="68"/>
      <c r="AW1036" s="68"/>
      <c r="AX1036" s="68"/>
      <c r="AY1036" s="68"/>
    </row>
    <row r="1037" spans="1:51" ht="13" customHeight="1">
      <c r="A1037" s="14"/>
      <c r="B1037" s="73"/>
      <c r="C1037" s="74"/>
      <c r="D1037" s="1791"/>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792"/>
      <c r="AF1037" s="73"/>
      <c r="AG1037" s="14"/>
      <c r="AH1037" s="14"/>
      <c r="AI1037" s="83"/>
      <c r="AJ1037" s="1782"/>
      <c r="AK1037" s="1783"/>
      <c r="AL1037" s="1783"/>
      <c r="AM1037" s="1783"/>
      <c r="AN1037" s="1783"/>
      <c r="AO1037" s="1783"/>
      <c r="AP1037" s="1783"/>
      <c r="AQ1037" s="1784"/>
      <c r="AR1037" s="68"/>
      <c r="AS1037" s="68"/>
      <c r="AT1037" s="68"/>
      <c r="AU1037" s="68"/>
      <c r="AV1037" s="68"/>
      <c r="AW1037" s="68"/>
      <c r="AX1037" s="68"/>
      <c r="AY1037" s="68"/>
    </row>
    <row r="1038" spans="1:51" ht="13" customHeight="1">
      <c r="A1038" s="14"/>
      <c r="B1038" s="73"/>
      <c r="C1038" s="74"/>
      <c r="D1038" s="1791"/>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792"/>
      <c r="AF1038" s="73"/>
      <c r="AG1038" s="14"/>
      <c r="AH1038" s="14"/>
      <c r="AI1038" s="83"/>
      <c r="AJ1038" s="1782"/>
      <c r="AK1038" s="1783"/>
      <c r="AL1038" s="1783"/>
      <c r="AM1038" s="1783"/>
      <c r="AN1038" s="1783"/>
      <c r="AO1038" s="1783"/>
      <c r="AP1038" s="1783"/>
      <c r="AQ1038" s="1784"/>
      <c r="AR1038" s="68"/>
      <c r="AS1038" s="68"/>
      <c r="AT1038" s="68"/>
      <c r="AU1038" s="68"/>
      <c r="AV1038" s="68"/>
      <c r="AW1038" s="68"/>
      <c r="AX1038" s="68"/>
      <c r="AY1038" s="68"/>
    </row>
    <row r="1039" spans="1:51" ht="13" customHeight="1">
      <c r="A1039" s="14"/>
      <c r="B1039" s="73"/>
      <c r="C1039" s="74"/>
      <c r="D1039" s="1793"/>
      <c r="E1039" s="1794"/>
      <c r="F1039" s="1794"/>
      <c r="G1039" s="1794"/>
      <c r="H1039" s="1794"/>
      <c r="I1039" s="1794"/>
      <c r="J1039" s="1794"/>
      <c r="K1039" s="1794"/>
      <c r="L1039" s="1794"/>
      <c r="M1039" s="1794"/>
      <c r="N1039" s="1794"/>
      <c r="O1039" s="1794"/>
      <c r="P1039" s="1794"/>
      <c r="Q1039" s="1794"/>
      <c r="R1039" s="1794"/>
      <c r="S1039" s="1794"/>
      <c r="T1039" s="1794"/>
      <c r="U1039" s="1794"/>
      <c r="V1039" s="1794"/>
      <c r="W1039" s="1794"/>
      <c r="X1039" s="1794"/>
      <c r="Y1039" s="1794"/>
      <c r="Z1039" s="1794"/>
      <c r="AA1039" s="1794"/>
      <c r="AB1039" s="1794"/>
      <c r="AC1039" s="1794"/>
      <c r="AD1039" s="1794"/>
      <c r="AE1039" s="1795"/>
      <c r="AF1039" s="73"/>
      <c r="AG1039" s="14"/>
      <c r="AH1039" s="14"/>
      <c r="AI1039" s="83"/>
      <c r="AJ1039" s="1782"/>
      <c r="AK1039" s="1783"/>
      <c r="AL1039" s="1783"/>
      <c r="AM1039" s="1783"/>
      <c r="AN1039" s="1783"/>
      <c r="AO1039" s="1783"/>
      <c r="AP1039" s="1783"/>
      <c r="AQ1039" s="1784"/>
      <c r="AR1039" s="68"/>
      <c r="AS1039" s="68"/>
      <c r="AT1039" s="68"/>
      <c r="AU1039" s="68"/>
      <c r="AV1039" s="68"/>
      <c r="AW1039" s="68"/>
      <c r="AX1039" s="68"/>
      <c r="AY1039" s="68"/>
    </row>
    <row r="1040" spans="1:51" ht="13" customHeight="1">
      <c r="A1040" s="14"/>
      <c r="B1040" s="79"/>
      <c r="C1040" s="131" t="s">
        <v>1034</v>
      </c>
      <c r="D1040" s="1756" t="s">
        <v>1406</v>
      </c>
      <c r="E1040" s="1757"/>
      <c r="F1040" s="1757"/>
      <c r="G1040" s="1757"/>
      <c r="H1040" s="1757"/>
      <c r="I1040" s="1757"/>
      <c r="J1040" s="1757"/>
      <c r="K1040" s="1757"/>
      <c r="L1040" s="1757"/>
      <c r="M1040" s="1757"/>
      <c r="N1040" s="1757"/>
      <c r="O1040" s="1757"/>
      <c r="P1040" s="1757"/>
      <c r="Q1040" s="1757"/>
      <c r="R1040" s="1757"/>
      <c r="S1040" s="1757"/>
      <c r="T1040" s="1757"/>
      <c r="U1040" s="1757"/>
      <c r="V1040" s="1757"/>
      <c r="W1040" s="1757"/>
      <c r="X1040" s="1757"/>
      <c r="Y1040" s="1757"/>
      <c r="Z1040" s="1757"/>
      <c r="AA1040" s="1757"/>
      <c r="AB1040" s="1757"/>
      <c r="AC1040" s="1757"/>
      <c r="AD1040" s="1757"/>
      <c r="AE1040" s="1758"/>
      <c r="AF1040" s="79"/>
      <c r="AG1040" s="1768" t="s">
        <v>677</v>
      </c>
      <c r="AH1040" s="1769"/>
      <c r="AI1040" s="87"/>
      <c r="AJ1040" s="1779">
        <f>ROUND(IF(AG1040="yes",(AJ991*0.1),0),0)</f>
        <v>0</v>
      </c>
      <c r="AK1040" s="1780"/>
      <c r="AL1040" s="1780"/>
      <c r="AM1040" s="1780"/>
      <c r="AN1040" s="1780"/>
      <c r="AO1040" s="1780"/>
      <c r="AP1040" s="1780"/>
      <c r="AQ1040" s="1781"/>
      <c r="AR1040" s="68"/>
      <c r="AS1040" s="68"/>
      <c r="AT1040" s="68"/>
      <c r="AU1040" s="68"/>
      <c r="AV1040" s="68"/>
      <c r="AW1040" s="68"/>
      <c r="AX1040" s="68"/>
      <c r="AY1040" s="68"/>
    </row>
    <row r="1041" spans="1:51" ht="13" customHeight="1">
      <c r="A1041" s="14"/>
      <c r="B1041" s="73"/>
      <c r="C1041" s="74"/>
      <c r="D1041" s="1759" t="s">
        <v>2502</v>
      </c>
      <c r="E1041" s="1760"/>
      <c r="F1041" s="1760"/>
      <c r="G1041" s="1760"/>
      <c r="H1041" s="1760"/>
      <c r="I1041" s="1760"/>
      <c r="J1041" s="1760"/>
      <c r="K1041" s="1760"/>
      <c r="L1041" s="1760"/>
      <c r="M1041" s="1760"/>
      <c r="N1041" s="1760"/>
      <c r="O1041" s="1760"/>
      <c r="P1041" s="1760"/>
      <c r="Q1041" s="1760"/>
      <c r="R1041" s="1760"/>
      <c r="S1041" s="1760"/>
      <c r="T1041" s="1760"/>
      <c r="U1041" s="1760"/>
      <c r="V1041" s="1760"/>
      <c r="W1041" s="1760"/>
      <c r="X1041" s="1760"/>
      <c r="Y1041" s="1760"/>
      <c r="Z1041" s="1760"/>
      <c r="AA1041" s="1760"/>
      <c r="AB1041" s="1760"/>
      <c r="AC1041" s="1760"/>
      <c r="AD1041" s="1760"/>
      <c r="AE1041" s="1761"/>
      <c r="AF1041" s="73"/>
      <c r="AG1041" s="14"/>
      <c r="AH1041" s="14"/>
      <c r="AI1041" s="83"/>
      <c r="AJ1041" s="1782"/>
      <c r="AK1041" s="1783"/>
      <c r="AL1041" s="1783"/>
      <c r="AM1041" s="1783"/>
      <c r="AN1041" s="1783"/>
      <c r="AO1041" s="1783"/>
      <c r="AP1041" s="1783"/>
      <c r="AQ1041" s="1784"/>
      <c r="AR1041" s="68"/>
      <c r="AS1041" s="68"/>
      <c r="AT1041" s="68"/>
      <c r="AU1041" s="68"/>
      <c r="AV1041" s="68"/>
      <c r="AW1041" s="68"/>
      <c r="AX1041" s="68"/>
      <c r="AY1041" s="68"/>
    </row>
    <row r="1042" spans="1:51" ht="13" customHeight="1">
      <c r="A1042" s="14"/>
      <c r="B1042" s="73"/>
      <c r="C1042" s="74"/>
      <c r="D1042" s="1759"/>
      <c r="E1042" s="1760"/>
      <c r="F1042" s="1760"/>
      <c r="G1042" s="1760"/>
      <c r="H1042" s="1760"/>
      <c r="I1042" s="1760"/>
      <c r="J1042" s="1760"/>
      <c r="K1042" s="1760"/>
      <c r="L1042" s="1760"/>
      <c r="M1042" s="1760"/>
      <c r="N1042" s="1760"/>
      <c r="O1042" s="1760"/>
      <c r="P1042" s="1760"/>
      <c r="Q1042" s="1760"/>
      <c r="R1042" s="1760"/>
      <c r="S1042" s="1760"/>
      <c r="T1042" s="1760"/>
      <c r="U1042" s="1760"/>
      <c r="V1042" s="1760"/>
      <c r="W1042" s="1760"/>
      <c r="X1042" s="1760"/>
      <c r="Y1042" s="1760"/>
      <c r="Z1042" s="1760"/>
      <c r="AA1042" s="1760"/>
      <c r="AB1042" s="1760"/>
      <c r="AC1042" s="1760"/>
      <c r="AD1042" s="1760"/>
      <c r="AE1042" s="1761"/>
      <c r="AF1042" s="73"/>
      <c r="AG1042" s="14"/>
      <c r="AH1042" s="14"/>
      <c r="AI1042" s="83"/>
      <c r="AJ1042" s="1782"/>
      <c r="AK1042" s="1783"/>
      <c r="AL1042" s="1783"/>
      <c r="AM1042" s="1783"/>
      <c r="AN1042" s="1783"/>
      <c r="AO1042" s="1783"/>
      <c r="AP1042" s="1783"/>
      <c r="AQ1042" s="1784"/>
      <c r="AR1042" s="68"/>
      <c r="AS1042" s="68"/>
      <c r="AT1042" s="68"/>
      <c r="AU1042" s="68"/>
      <c r="AV1042" s="68"/>
      <c r="AW1042" s="68"/>
      <c r="AX1042" s="68"/>
      <c r="AY1042" s="68"/>
    </row>
    <row r="1043" spans="1:51" ht="13" customHeight="1">
      <c r="A1043" s="14"/>
      <c r="B1043" s="73"/>
      <c r="C1043" s="74"/>
      <c r="D1043" s="1772"/>
      <c r="E1043" s="1773"/>
      <c r="F1043" s="1773"/>
      <c r="G1043" s="1773"/>
      <c r="H1043" s="1773"/>
      <c r="I1043" s="1773"/>
      <c r="J1043" s="1773"/>
      <c r="K1043" s="1773"/>
      <c r="L1043" s="1773"/>
      <c r="M1043" s="1773"/>
      <c r="N1043" s="1773"/>
      <c r="O1043" s="1773"/>
      <c r="P1043" s="1773"/>
      <c r="Q1043" s="1773"/>
      <c r="R1043" s="1773"/>
      <c r="S1043" s="1773"/>
      <c r="T1043" s="1773"/>
      <c r="U1043" s="1773"/>
      <c r="V1043" s="1773"/>
      <c r="W1043" s="1773"/>
      <c r="X1043" s="1773"/>
      <c r="Y1043" s="1773"/>
      <c r="Z1043" s="1773"/>
      <c r="AA1043" s="1773"/>
      <c r="AB1043" s="1773"/>
      <c r="AC1043" s="1773"/>
      <c r="AD1043" s="1773"/>
      <c r="AE1043" s="1774"/>
      <c r="AF1043" s="73"/>
      <c r="AG1043" s="14"/>
      <c r="AH1043" s="14"/>
      <c r="AI1043" s="83"/>
      <c r="AJ1043" s="1785"/>
      <c r="AK1043" s="1786"/>
      <c r="AL1043" s="1786"/>
      <c r="AM1043" s="1786"/>
      <c r="AN1043" s="1786"/>
      <c r="AO1043" s="1786"/>
      <c r="AP1043" s="1786"/>
      <c r="AQ1043" s="1787"/>
      <c r="AR1043" s="68"/>
      <c r="AS1043" s="68"/>
      <c r="AT1043" s="68"/>
      <c r="AU1043" s="68"/>
      <c r="AV1043" s="68"/>
      <c r="AW1043" s="68"/>
      <c r="AX1043" s="68"/>
      <c r="AY1043" s="68"/>
    </row>
    <row r="1044" spans="1:51" ht="13" customHeight="1">
      <c r="A1044" s="14"/>
      <c r="B1044" s="79"/>
      <c r="C1044" s="131" t="s">
        <v>1872</v>
      </c>
      <c r="D1044" s="1748" t="s">
        <v>2054</v>
      </c>
      <c r="E1044" s="1749"/>
      <c r="F1044" s="1749"/>
      <c r="G1044" s="1749"/>
      <c r="H1044" s="1749"/>
      <c r="I1044" s="1749"/>
      <c r="J1044" s="1749"/>
      <c r="K1044" s="1749"/>
      <c r="L1044" s="1749"/>
      <c r="M1044" s="1749"/>
      <c r="N1044" s="1749"/>
      <c r="O1044" s="1749"/>
      <c r="P1044" s="1749"/>
      <c r="Q1044" s="1749"/>
      <c r="R1044" s="1749"/>
      <c r="S1044" s="1749"/>
      <c r="T1044" s="1749"/>
      <c r="U1044" s="1749"/>
      <c r="V1044" s="1749"/>
      <c r="W1044" s="1749"/>
      <c r="X1044" s="1749"/>
      <c r="Y1044" s="1749"/>
      <c r="Z1044" s="1749"/>
      <c r="AA1044" s="1749"/>
      <c r="AB1044" s="1749"/>
      <c r="AC1044" s="1749"/>
      <c r="AD1044" s="1749"/>
      <c r="AE1044" s="1750"/>
      <c r="AF1044" s="79"/>
      <c r="AG1044" s="1766" t="str">
        <f>IF(X1047&gt;0,"Yes","No")</f>
        <v>No</v>
      </c>
      <c r="AH1044" s="1767"/>
      <c r="AI1044" s="87"/>
      <c r="AJ1044" s="1779">
        <f>IF((X1047=0),0,AY1004*AJ991)</f>
        <v>0</v>
      </c>
      <c r="AK1044" s="1780"/>
      <c r="AL1044" s="1780"/>
      <c r="AM1044" s="1780"/>
      <c r="AN1044" s="1780"/>
      <c r="AO1044" s="1780"/>
      <c r="AP1044" s="1780"/>
      <c r="AQ1044" s="1781"/>
      <c r="AR1044" s="68"/>
      <c r="AS1044" s="68"/>
      <c r="AT1044" s="68"/>
      <c r="AU1044" s="68"/>
      <c r="AV1044" s="68"/>
      <c r="AW1044" s="68"/>
      <c r="AX1044" s="68"/>
      <c r="AY1044" s="68"/>
    </row>
    <row r="1045" spans="1:51" ht="13" customHeight="1">
      <c r="A1045" s="14"/>
      <c r="B1045" s="73"/>
      <c r="C1045" s="476"/>
      <c r="D1045" s="1759" t="s">
        <v>1408</v>
      </c>
      <c r="E1045" s="1760"/>
      <c r="F1045" s="1760"/>
      <c r="G1045" s="1760"/>
      <c r="H1045" s="1760"/>
      <c r="I1045" s="1760"/>
      <c r="J1045" s="1760"/>
      <c r="K1045" s="1760"/>
      <c r="L1045" s="1760"/>
      <c r="M1045" s="1760"/>
      <c r="N1045" s="1760"/>
      <c r="O1045" s="1760"/>
      <c r="P1045" s="1760"/>
      <c r="Q1045" s="1760"/>
      <c r="R1045" s="1760"/>
      <c r="S1045" s="1760"/>
      <c r="T1045" s="1760"/>
      <c r="U1045" s="1760"/>
      <c r="V1045" s="1760"/>
      <c r="W1045" s="1760"/>
      <c r="X1045" s="1760"/>
      <c r="Y1045" s="1760"/>
      <c r="Z1045" s="1760"/>
      <c r="AA1045" s="1760"/>
      <c r="AB1045" s="1760"/>
      <c r="AC1045" s="1760"/>
      <c r="AD1045" s="1760"/>
      <c r="AE1045" s="1761"/>
      <c r="AF1045" s="73"/>
      <c r="AG1045" s="477"/>
      <c r="AH1045" s="477"/>
      <c r="AI1045" s="83"/>
      <c r="AJ1045" s="1782"/>
      <c r="AK1045" s="1783"/>
      <c r="AL1045" s="1783"/>
      <c r="AM1045" s="1783"/>
      <c r="AN1045" s="1783"/>
      <c r="AO1045" s="1783"/>
      <c r="AP1045" s="1783"/>
      <c r="AQ1045" s="1784"/>
      <c r="AR1045" s="68"/>
      <c r="AS1045" s="68"/>
      <c r="AT1045" s="68"/>
      <c r="AU1045" s="13"/>
      <c r="AV1045" s="68"/>
      <c r="AW1045" s="68"/>
      <c r="AX1045" s="68"/>
      <c r="AY1045" s="68"/>
    </row>
    <row r="1046" spans="1:51" ht="13" customHeight="1">
      <c r="A1046" s="14"/>
      <c r="B1046" s="73"/>
      <c r="C1046" s="476"/>
      <c r="D1046" s="1759"/>
      <c r="E1046" s="1760"/>
      <c r="F1046" s="1760"/>
      <c r="G1046" s="1760"/>
      <c r="H1046" s="1760"/>
      <c r="I1046" s="1760"/>
      <c r="J1046" s="1760"/>
      <c r="K1046" s="1760"/>
      <c r="L1046" s="1760"/>
      <c r="M1046" s="1760"/>
      <c r="N1046" s="1760"/>
      <c r="O1046" s="1760"/>
      <c r="P1046" s="1760"/>
      <c r="Q1046" s="1760"/>
      <c r="R1046" s="1760"/>
      <c r="S1046" s="1760"/>
      <c r="T1046" s="1760"/>
      <c r="U1046" s="1760"/>
      <c r="V1046" s="1760"/>
      <c r="W1046" s="1760"/>
      <c r="X1046" s="1760"/>
      <c r="Y1046" s="1760"/>
      <c r="Z1046" s="1760"/>
      <c r="AA1046" s="1760"/>
      <c r="AB1046" s="1760"/>
      <c r="AC1046" s="1760"/>
      <c r="AD1046" s="1760"/>
      <c r="AE1046" s="1761"/>
      <c r="AF1046" s="73"/>
      <c r="AG1046" s="477"/>
      <c r="AH1046" s="477"/>
      <c r="AI1046" s="83"/>
      <c r="AJ1046" s="1782"/>
      <c r="AK1046" s="1783"/>
      <c r="AL1046" s="1783"/>
      <c r="AM1046" s="1783"/>
      <c r="AN1046" s="1783"/>
      <c r="AO1046" s="1783"/>
      <c r="AP1046" s="1783"/>
      <c r="AQ1046" s="1784"/>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764">
        <f>AY1002</f>
        <v>46</v>
      </c>
      <c r="J1047" s="1765"/>
      <c r="K1047" s="7"/>
      <c r="L1047" s="133"/>
      <c r="M1047" s="133"/>
      <c r="N1047" s="133"/>
      <c r="O1047" s="133"/>
      <c r="P1047" s="133"/>
      <c r="Q1047" s="133"/>
      <c r="R1047" s="133"/>
      <c r="S1047" s="133"/>
      <c r="T1047" s="133"/>
      <c r="U1047" s="133"/>
      <c r="V1047" s="134" t="s">
        <v>992</v>
      </c>
      <c r="W1047" s="48"/>
      <c r="X1047" s="1762">
        <f>BG632</f>
        <v>0</v>
      </c>
      <c r="Y1047" s="1763"/>
      <c r="Z1047" s="48"/>
      <c r="AA1047" s="48"/>
      <c r="AB1047" s="48"/>
      <c r="AC1047" s="48"/>
      <c r="AD1047" s="48"/>
      <c r="AE1047" s="49"/>
      <c r="AF1047" s="959"/>
      <c r="AG1047" s="960"/>
      <c r="AH1047" s="960"/>
      <c r="AI1047" s="961"/>
      <c r="AJ1047" s="1785"/>
      <c r="AK1047" s="1786"/>
      <c r="AL1047" s="1786"/>
      <c r="AM1047" s="1786"/>
      <c r="AN1047" s="1786"/>
      <c r="AO1047" s="1786"/>
      <c r="AP1047" s="1786"/>
      <c r="AQ1047" s="1787"/>
      <c r="AR1047" s="68"/>
      <c r="AS1047" s="68"/>
      <c r="AT1047" s="68"/>
      <c r="AU1047" s="14"/>
      <c r="AV1047" s="68"/>
      <c r="AW1047" s="68"/>
      <c r="AX1047" s="68"/>
      <c r="AY1047" s="68"/>
    </row>
    <row r="1048" spans="1:51" ht="13" customHeight="1">
      <c r="A1048" s="14"/>
      <c r="B1048" s="79"/>
      <c r="C1048" s="131" t="s">
        <v>1873</v>
      </c>
      <c r="D1048" s="1756" t="s">
        <v>2531</v>
      </c>
      <c r="E1048" s="1757"/>
      <c r="F1048" s="1757"/>
      <c r="G1048" s="1757"/>
      <c r="H1048" s="1757"/>
      <c r="I1048" s="1757"/>
      <c r="J1048" s="1757"/>
      <c r="K1048" s="1757"/>
      <c r="L1048" s="1757"/>
      <c r="M1048" s="1757"/>
      <c r="N1048" s="1757"/>
      <c r="O1048" s="1757"/>
      <c r="P1048" s="1757"/>
      <c r="Q1048" s="1757"/>
      <c r="R1048" s="1757"/>
      <c r="S1048" s="1757"/>
      <c r="T1048" s="1757"/>
      <c r="U1048" s="1757"/>
      <c r="V1048" s="1757"/>
      <c r="W1048" s="1757"/>
      <c r="X1048" s="1757"/>
      <c r="Y1048" s="1757"/>
      <c r="Z1048" s="1757"/>
      <c r="AA1048" s="1757"/>
      <c r="AB1048" s="1757"/>
      <c r="AC1048" s="1757"/>
      <c r="AD1048" s="1757"/>
      <c r="AE1048" s="1758"/>
      <c r="AF1048" s="73"/>
      <c r="AG1048" s="1766" t="str">
        <f>IF(X1051&gt;0,"Yes","No")</f>
        <v>Yes</v>
      </c>
      <c r="AH1048" s="1767"/>
      <c r="AI1048" s="83"/>
      <c r="AJ1048" s="1779">
        <f>IF((X1051=0),0,(2*AY1005)*AJ991)</f>
        <v>46593688</v>
      </c>
      <c r="AK1048" s="1780"/>
      <c r="AL1048" s="1780"/>
      <c r="AM1048" s="1780"/>
      <c r="AN1048" s="1780"/>
      <c r="AO1048" s="1780"/>
      <c r="AP1048" s="1780"/>
      <c r="AQ1048" s="1781"/>
      <c r="AR1048" s="68"/>
      <c r="AS1048" s="68"/>
      <c r="AT1048" s="68"/>
      <c r="AU1048" s="14"/>
      <c r="AV1048" s="68"/>
      <c r="AW1048" s="68"/>
      <c r="AX1048" s="68"/>
      <c r="AY1048" s="68"/>
    </row>
    <row r="1049" spans="1:51" ht="13" customHeight="1">
      <c r="A1049" s="14"/>
      <c r="B1049" s="73"/>
      <c r="C1049" s="476"/>
      <c r="D1049" s="1759" t="s">
        <v>1407</v>
      </c>
      <c r="E1049" s="1760"/>
      <c r="F1049" s="1760"/>
      <c r="G1049" s="1760"/>
      <c r="H1049" s="1760"/>
      <c r="I1049" s="1760"/>
      <c r="J1049" s="1760"/>
      <c r="K1049" s="1760"/>
      <c r="L1049" s="1760"/>
      <c r="M1049" s="1760"/>
      <c r="N1049" s="1760"/>
      <c r="O1049" s="1760"/>
      <c r="P1049" s="1760"/>
      <c r="Q1049" s="1760"/>
      <c r="R1049" s="1760"/>
      <c r="S1049" s="1760"/>
      <c r="T1049" s="1760"/>
      <c r="U1049" s="1760"/>
      <c r="V1049" s="1760"/>
      <c r="W1049" s="1760"/>
      <c r="X1049" s="1760"/>
      <c r="Y1049" s="1760"/>
      <c r="Z1049" s="1760"/>
      <c r="AA1049" s="1760"/>
      <c r="AB1049" s="1760"/>
      <c r="AC1049" s="1760"/>
      <c r="AD1049" s="1760"/>
      <c r="AE1049" s="1761"/>
      <c r="AF1049" s="73"/>
      <c r="AG1049" s="477"/>
      <c r="AH1049" s="477"/>
      <c r="AI1049" s="83"/>
      <c r="AJ1049" s="1782"/>
      <c r="AK1049" s="1783"/>
      <c r="AL1049" s="1783"/>
      <c r="AM1049" s="1783"/>
      <c r="AN1049" s="1783"/>
      <c r="AO1049" s="1783"/>
      <c r="AP1049" s="1783"/>
      <c r="AQ1049" s="1784"/>
      <c r="AR1049" s="68"/>
      <c r="AS1049" s="68"/>
      <c r="AT1049" s="68"/>
      <c r="AU1049" s="68"/>
      <c r="AV1049" s="68"/>
      <c r="AW1049" s="68"/>
      <c r="AX1049" s="68"/>
      <c r="AY1049" s="68"/>
    </row>
    <row r="1050" spans="1:51" ht="13" customHeight="1">
      <c r="A1050" s="14"/>
      <c r="B1050" s="73"/>
      <c r="C1050" s="83"/>
      <c r="D1050" s="1759"/>
      <c r="E1050" s="1760"/>
      <c r="F1050" s="1760"/>
      <c r="G1050" s="1760"/>
      <c r="H1050" s="1760"/>
      <c r="I1050" s="1760"/>
      <c r="J1050" s="1760"/>
      <c r="K1050" s="1760"/>
      <c r="L1050" s="1760"/>
      <c r="M1050" s="1760"/>
      <c r="N1050" s="1760"/>
      <c r="O1050" s="1760"/>
      <c r="P1050" s="1760"/>
      <c r="Q1050" s="1760"/>
      <c r="R1050" s="1760"/>
      <c r="S1050" s="1760"/>
      <c r="T1050" s="1760"/>
      <c r="U1050" s="1760"/>
      <c r="V1050" s="1760"/>
      <c r="W1050" s="1760"/>
      <c r="X1050" s="1760"/>
      <c r="Y1050" s="1760"/>
      <c r="Z1050" s="1760"/>
      <c r="AA1050" s="1760"/>
      <c r="AB1050" s="1760"/>
      <c r="AC1050" s="1760"/>
      <c r="AD1050" s="1760"/>
      <c r="AE1050" s="1761"/>
      <c r="AF1050" s="956"/>
      <c r="AG1050" s="957"/>
      <c r="AH1050" s="957"/>
      <c r="AI1050" s="958"/>
      <c r="AJ1050" s="1782"/>
      <c r="AK1050" s="1783"/>
      <c r="AL1050" s="1783"/>
      <c r="AM1050" s="1783"/>
      <c r="AN1050" s="1783"/>
      <c r="AO1050" s="1783"/>
      <c r="AP1050" s="1783"/>
      <c r="AQ1050" s="1784"/>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764">
        <f>AY1002</f>
        <v>46</v>
      </c>
      <c r="J1051" s="1765"/>
      <c r="K1051" s="14"/>
      <c r="L1051" s="133"/>
      <c r="M1051" s="133"/>
      <c r="N1051" s="133"/>
      <c r="O1051" s="133"/>
      <c r="P1051" s="133"/>
      <c r="Q1051" s="133"/>
      <c r="R1051" s="133"/>
      <c r="S1051" s="133"/>
      <c r="T1051" s="133"/>
      <c r="U1051" s="133"/>
      <c r="V1051" s="134" t="s">
        <v>993</v>
      </c>
      <c r="X1051" s="1762">
        <f>BK632</f>
        <v>46</v>
      </c>
      <c r="Y1051" s="1763"/>
      <c r="AF1051" s="959"/>
      <c r="AG1051" s="960"/>
      <c r="AH1051" s="960"/>
      <c r="AI1051" s="961"/>
      <c r="AJ1051" s="1785"/>
      <c r="AK1051" s="1786"/>
      <c r="AL1051" s="1786"/>
      <c r="AM1051" s="1786"/>
      <c r="AN1051" s="1786"/>
      <c r="AO1051" s="1786"/>
      <c r="AP1051" s="1786"/>
      <c r="AQ1051" s="1787"/>
      <c r="AR1051" s="68"/>
      <c r="AS1051" s="68"/>
      <c r="AT1051" s="68"/>
      <c r="AU1051" s="68"/>
      <c r="AV1051" s="68"/>
      <c r="AW1051" s="68"/>
      <c r="AX1051" s="68"/>
      <c r="AY1051" s="68"/>
    </row>
    <row r="1052" spans="1:51" ht="13" customHeight="1">
      <c r="A1052" s="14"/>
      <c r="B1052" s="102"/>
      <c r="C1052" s="103"/>
      <c r="D1052" s="1754" t="s">
        <v>521</v>
      </c>
      <c r="E1052" s="1754"/>
      <c r="F1052" s="1754"/>
      <c r="G1052" s="1754"/>
      <c r="H1052" s="1754"/>
      <c r="I1052" s="1754"/>
      <c r="J1052" s="1754"/>
      <c r="K1052" s="1754"/>
      <c r="L1052" s="1754"/>
      <c r="M1052" s="1754"/>
      <c r="N1052" s="1754"/>
      <c r="O1052" s="1754"/>
      <c r="P1052" s="1754"/>
      <c r="Q1052" s="1754"/>
      <c r="R1052" s="1754"/>
      <c r="S1052" s="1754"/>
      <c r="T1052" s="1754"/>
      <c r="U1052" s="1754"/>
      <c r="V1052" s="1754"/>
      <c r="W1052" s="1754"/>
      <c r="X1052" s="1754"/>
      <c r="Y1052" s="1754"/>
      <c r="Z1052" s="1754"/>
      <c r="AA1052" s="1754"/>
      <c r="AB1052" s="1754"/>
      <c r="AC1052" s="1754"/>
      <c r="AD1052" s="1754"/>
      <c r="AE1052" s="1754"/>
      <c r="AF1052" s="1754"/>
      <c r="AG1052" s="1754"/>
      <c r="AH1052" s="1754"/>
      <c r="AI1052" s="1755"/>
      <c r="AJ1052" s="1788">
        <f>SUM(AJ991:AQ1051)</f>
        <v>78486514</v>
      </c>
      <c r="AK1052" s="1789"/>
      <c r="AL1052" s="1789"/>
      <c r="AM1052" s="1789"/>
      <c r="AN1052" s="1789"/>
      <c r="AO1052" s="1789"/>
      <c r="AP1052" s="1789"/>
      <c r="AQ1052" s="1790"/>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8">
        <f>IF(ISNA(IF((AJ1019&gt;(AJ991*0.15)),"(f) cannot be greater than 15% of unadjusted eligible basis.",0)),"",(IF((AJ1019&gt;(AJ991*0.15)),"(f) cannot be greater than 15% of unadjusted eligible basis.",0)))</f>
        <v>0</v>
      </c>
      <c r="C1059" s="1868"/>
      <c r="D1059" s="1868"/>
      <c r="E1059" s="1868"/>
      <c r="F1059" s="1868"/>
      <c r="G1059" s="1868"/>
      <c r="H1059" s="1868"/>
      <c r="I1059" s="1868"/>
      <c r="J1059" s="1868"/>
      <c r="K1059" s="1868"/>
      <c r="L1059" s="1868"/>
      <c r="M1059" s="1868"/>
      <c r="N1059" s="1868"/>
      <c r="O1059" s="1868"/>
      <c r="P1059" s="1868"/>
      <c r="Q1059" s="1868"/>
      <c r="R1059" s="1868"/>
      <c r="S1059" s="1868"/>
      <c r="T1059" s="1868"/>
      <c r="U1059" s="1868"/>
      <c r="V1059" s="1868"/>
      <c r="W1059" s="1868"/>
      <c r="X1059" s="1868"/>
      <c r="Y1059" s="1868"/>
      <c r="Z1059" s="1868"/>
      <c r="AA1059" s="1868"/>
      <c r="AB1059" s="1868"/>
      <c r="AC1059" s="1868"/>
      <c r="AD1059" s="1868"/>
      <c r="AE1059" s="1868"/>
      <c r="AF1059" s="1868"/>
      <c r="AG1059" s="1868"/>
      <c r="AH1059" s="1868"/>
      <c r="AI1059" s="1868"/>
      <c r="AJ1059" s="1868"/>
      <c r="AK1059" s="1868"/>
      <c r="AL1059" s="1868"/>
      <c r="AM1059" s="1868"/>
      <c r="AN1059" s="1868"/>
      <c r="AO1059" s="1868"/>
      <c r="AP1059" s="1868"/>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37" t="s">
        <v>599</v>
      </c>
      <c r="B1064" s="1437"/>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437" t="s">
        <v>599</v>
      </c>
      <c r="B1070" s="1437"/>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437" t="s">
        <v>599</v>
      </c>
      <c r="B1076" s="1437"/>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437" t="s">
        <v>599</v>
      </c>
      <c r="B1083" s="1437"/>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437" t="s">
        <v>599</v>
      </c>
      <c r="B1086" s="1437"/>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437" t="s">
        <v>599</v>
      </c>
      <c r="B1091" s="1437"/>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437" t="s">
        <v>599</v>
      </c>
      <c r="B1094" s="1437"/>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437" t="s">
        <v>599</v>
      </c>
      <c r="B1098" s="1437"/>
      <c r="C1098" s="212">
        <v>8</v>
      </c>
      <c r="D1098" s="1350" t="s">
        <v>1870</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3"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3"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37" t="s">
        <v>599</v>
      </c>
      <c r="B1103" s="1437"/>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C739:AG739"/>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6:AJ16"/>
    <mergeCell ref="H18:AJ18"/>
    <mergeCell ref="O33:P33"/>
    <mergeCell ref="G611:R611"/>
    <mergeCell ref="Z602:AK602"/>
    <mergeCell ref="Z612:AK612"/>
    <mergeCell ref="AC627:AE627"/>
    <mergeCell ref="A69:AT70"/>
    <mergeCell ref="A72:AT73"/>
    <mergeCell ref="A544:AT545"/>
    <mergeCell ref="A480:AT481"/>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AG649:AH649"/>
    <mergeCell ref="AK624:AN626"/>
    <mergeCell ref="AK627:AN627"/>
    <mergeCell ref="AC636:AE636"/>
    <mergeCell ref="AC637:AE637"/>
    <mergeCell ref="AC638:AE638"/>
    <mergeCell ref="G647:L647"/>
    <mergeCell ref="W635:Y635"/>
    <mergeCell ref="B639:AN639"/>
    <mergeCell ref="B640:AN640"/>
    <mergeCell ref="B641:AN641"/>
    <mergeCell ref="G643:R643"/>
    <mergeCell ref="Z646:AK646"/>
    <mergeCell ref="Q637:S637"/>
    <mergeCell ref="Q635:S635"/>
    <mergeCell ref="Z611:AK611"/>
    <mergeCell ref="G595:R595"/>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Z686:AK686"/>
    <mergeCell ref="Z605:AE605"/>
    <mergeCell ref="Z609:AK609"/>
    <mergeCell ref="G609:R609"/>
    <mergeCell ref="AF636:AJ636"/>
    <mergeCell ref="AF637:AJ637"/>
    <mergeCell ref="AF638:AJ638"/>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M646:CQ646"/>
    <mergeCell ref="BX647:CB647"/>
    <mergeCell ref="CC638:CG638"/>
    <mergeCell ref="DM645:DQ645"/>
    <mergeCell ref="DR645:DV645"/>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S647:BW647"/>
    <mergeCell ref="BS641:BW641"/>
    <mergeCell ref="BN647:BR647"/>
    <mergeCell ref="BX651:CB651"/>
    <mergeCell ref="CC651:CG651"/>
    <mergeCell ref="BX649:CB649"/>
    <mergeCell ref="DM647:DQ647"/>
    <mergeCell ref="CM648:CQ648"/>
    <mergeCell ref="BX650:CB650"/>
    <mergeCell ref="CH648:CL648"/>
    <mergeCell ref="CC648:CG648"/>
    <mergeCell ref="BS651:BW651"/>
    <mergeCell ref="CC647:CG647"/>
    <mergeCell ref="BN641:BR641"/>
    <mergeCell ref="BN637:BR637"/>
    <mergeCell ref="CC645:CG645"/>
    <mergeCell ref="DC649:DG649"/>
    <mergeCell ref="CC646:CG646"/>
    <mergeCell ref="DH647:DL647"/>
    <mergeCell ref="DH646:DL646"/>
    <mergeCell ref="DR650:DV650"/>
    <mergeCell ref="BN645:BR645"/>
    <mergeCell ref="DR647:DV647"/>
    <mergeCell ref="DR651:DV651"/>
    <mergeCell ref="CS647:CW647"/>
    <mergeCell ref="CX647:DB647"/>
    <mergeCell ref="DC647:DG647"/>
    <mergeCell ref="DC645:DG645"/>
    <mergeCell ref="CS646:CW646"/>
    <mergeCell ref="BS637:BW637"/>
    <mergeCell ref="CS648:CW648"/>
    <mergeCell ref="BX648:CB648"/>
    <mergeCell ref="CM650:CQ650"/>
    <mergeCell ref="CS632:CW632"/>
    <mergeCell ref="CX632:DB632"/>
    <mergeCell ref="CM647:CQ647"/>
    <mergeCell ref="DC617:DG617"/>
    <mergeCell ref="DH617:DL617"/>
    <mergeCell ref="CH645:CL645"/>
    <mergeCell ref="DC646:DG646"/>
    <mergeCell ref="DH618:DL618"/>
    <mergeCell ref="CH641:CL641"/>
    <mergeCell ref="BX638:CB638"/>
    <mergeCell ref="CH617:CL617"/>
    <mergeCell ref="CX620:DB620"/>
    <mergeCell ref="CH626:CL626"/>
    <mergeCell ref="CM626:CQ626"/>
    <mergeCell ref="CH621:CL621"/>
    <mergeCell ref="CM621:CQ621"/>
    <mergeCell ref="CH622:CL622"/>
    <mergeCell ref="CM622:CQ622"/>
    <mergeCell ref="CS624:CW624"/>
    <mergeCell ref="DM646:DQ646"/>
    <mergeCell ref="DR646:DV646"/>
    <mergeCell ref="CS618:CW618"/>
    <mergeCell ref="CX618:DB618"/>
    <mergeCell ref="DC618:DG618"/>
    <mergeCell ref="DH645:DL645"/>
    <mergeCell ref="BX646:CB646"/>
    <mergeCell ref="CM632:CQ632"/>
    <mergeCell ref="CM637:CQ637"/>
    <mergeCell ref="DR630:DV630"/>
    <mergeCell ref="DH630:DL630"/>
    <mergeCell ref="DM618:DQ618"/>
    <mergeCell ref="DR618:DV618"/>
    <mergeCell ref="CH637:CL637"/>
    <mergeCell ref="CC625:CG625"/>
    <mergeCell ref="CM629:CQ629"/>
    <mergeCell ref="CS628:CW628"/>
    <mergeCell ref="CX628:DB628"/>
    <mergeCell ref="DC628:DG628"/>
    <mergeCell ref="DH628:DL628"/>
    <mergeCell ref="DR619:DV619"/>
    <mergeCell ref="DR631:DV631"/>
    <mergeCell ref="DR632:DV632"/>
    <mergeCell ref="CM623:CQ623"/>
    <mergeCell ref="CM620:CQ620"/>
    <mergeCell ref="CH628:CL628"/>
    <mergeCell ref="CM628:CQ628"/>
    <mergeCell ref="BX627:CB627"/>
    <mergeCell ref="CC627:CG627"/>
    <mergeCell ref="CH627:CL627"/>
    <mergeCell ref="CM627:CQ627"/>
    <mergeCell ref="DH623:DL623"/>
    <mergeCell ref="Z636:AB636"/>
    <mergeCell ref="Z637:AB637"/>
    <mergeCell ref="Z638:AB638"/>
    <mergeCell ref="W627:Y627"/>
    <mergeCell ref="Z624:AB626"/>
    <mergeCell ref="CH630:CL630"/>
    <mergeCell ref="DM631:DQ631"/>
    <mergeCell ref="DH631:DL631"/>
    <mergeCell ref="BE618:BF618"/>
    <mergeCell ref="BE619:BF619"/>
    <mergeCell ref="CM618:CQ618"/>
    <mergeCell ref="BG619:BH619"/>
    <mergeCell ref="BS631:BW631"/>
    <mergeCell ref="BX624:CB624"/>
    <mergeCell ref="CC624:CG624"/>
    <mergeCell ref="DM624:DQ624"/>
    <mergeCell ref="CH624:CL624"/>
    <mergeCell ref="CM624:CQ624"/>
    <mergeCell ref="CC631:CG631"/>
    <mergeCell ref="BG632:BH632"/>
    <mergeCell ref="CH618:CL618"/>
    <mergeCell ref="BI619:BJ619"/>
    <mergeCell ref="BE630:BF630"/>
    <mergeCell ref="BX630:CB630"/>
    <mergeCell ref="BG630:BH630"/>
    <mergeCell ref="BS632:BW632"/>
    <mergeCell ref="BS618:BW618"/>
    <mergeCell ref="DM630:DQ630"/>
    <mergeCell ref="BX631:CB631"/>
    <mergeCell ref="AC624:AE626"/>
    <mergeCell ref="AK628:AN628"/>
    <mergeCell ref="AK637:AN637"/>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DC631:DG631"/>
    <mergeCell ref="AO634:AS634"/>
    <mergeCell ref="BX637:CB637"/>
    <mergeCell ref="CH638:CL638"/>
    <mergeCell ref="AF635:AJ635"/>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CM630:CQ630"/>
    <mergeCell ref="CM631:CQ631"/>
    <mergeCell ref="DX612:EB612"/>
    <mergeCell ref="EC612:EG612"/>
    <mergeCell ref="EH612:EL612"/>
    <mergeCell ref="EM612:EQ612"/>
    <mergeCell ref="BN617:BR617"/>
    <mergeCell ref="CX648:DB648"/>
    <mergeCell ref="DC648:DG648"/>
    <mergeCell ref="DR617:DV617"/>
    <mergeCell ref="BS645:BW645"/>
    <mergeCell ref="CS617:CW617"/>
    <mergeCell ref="CX617:DB617"/>
    <mergeCell ref="EH651:EL651"/>
    <mergeCell ref="EH650:EL650"/>
    <mergeCell ref="EM650:EQ650"/>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41:EL641"/>
    <mergeCell ref="EM641:EQ641"/>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EW669:FA669"/>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EH666:EL666"/>
    <mergeCell ref="DX653:EB653"/>
    <mergeCell ref="EC653:EG653"/>
    <mergeCell ref="DX654:EB654"/>
    <mergeCell ref="EC654:EG654"/>
    <mergeCell ref="EH654:EL654"/>
    <mergeCell ref="EM649:EQ649"/>
    <mergeCell ref="EH653:EL653"/>
    <mergeCell ref="EW638:FA638"/>
    <mergeCell ref="ER648:EV648"/>
    <mergeCell ref="ER647:EV647"/>
    <mergeCell ref="EH645:EL645"/>
    <mergeCell ref="EM645:EQ645"/>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63:EG663"/>
    <mergeCell ref="EH663:EL663"/>
    <mergeCell ref="EM663:EQ663"/>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DX644:EB644"/>
    <mergeCell ref="EC644:EG644"/>
    <mergeCell ref="EH644:EL644"/>
    <mergeCell ref="ER641:EV641"/>
    <mergeCell ref="EW620:FA620"/>
    <mergeCell ref="EM619:EQ619"/>
    <mergeCell ref="EC637:EG637"/>
    <mergeCell ref="EH637:EL637"/>
    <mergeCell ref="DX619:EB619"/>
    <mergeCell ref="EC619:EG619"/>
    <mergeCell ref="EC624:EG624"/>
    <mergeCell ref="EH624:EL624"/>
    <mergeCell ref="EM624:EQ624"/>
    <mergeCell ref="ER624:EV624"/>
    <mergeCell ref="EM620:EQ620"/>
    <mergeCell ref="ER620:EV620"/>
    <mergeCell ref="DX621:EB621"/>
    <mergeCell ref="EC621:EG621"/>
    <mergeCell ref="EH621:EL621"/>
    <mergeCell ref="ER619:EV619"/>
    <mergeCell ref="EM621:EQ621"/>
    <mergeCell ref="ER621:EV621"/>
    <mergeCell ref="DX624:EB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DX609:EB609"/>
    <mergeCell ref="ER616:EV616"/>
    <mergeCell ref="DX618:EB618"/>
    <mergeCell ref="EC618:EG618"/>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EC601:EG601"/>
    <mergeCell ref="EH601:EL601"/>
    <mergeCell ref="EM601:EQ601"/>
    <mergeCell ref="ER601:EV601"/>
    <mergeCell ref="EW601:FA601"/>
    <mergeCell ref="DX599:EB599"/>
    <mergeCell ref="EC599:EG599"/>
    <mergeCell ref="EH599:EL599"/>
    <mergeCell ref="EM599:EQ599"/>
    <mergeCell ref="ER599:EV599"/>
    <mergeCell ref="D1021:AE1022"/>
    <mergeCell ref="J1023:AE1023"/>
    <mergeCell ref="DX602:EB602"/>
    <mergeCell ref="EC602:EG602"/>
    <mergeCell ref="EH602:EL602"/>
    <mergeCell ref="EM602:EQ602"/>
    <mergeCell ref="ER602:EV602"/>
    <mergeCell ref="DX605:EB605"/>
    <mergeCell ref="EC605:EG605"/>
    <mergeCell ref="EH605:EL605"/>
    <mergeCell ref="EM605:EQ605"/>
    <mergeCell ref="ER605:EV605"/>
    <mergeCell ref="EM616:EQ616"/>
    <mergeCell ref="EH613:EL613"/>
    <mergeCell ref="EM613:EQ613"/>
    <mergeCell ref="EC649:EG649"/>
    <mergeCell ref="EC639:EG639"/>
    <mergeCell ref="EH639:EL639"/>
    <mergeCell ref="EM639:EQ639"/>
    <mergeCell ref="EM637:EQ637"/>
    <mergeCell ref="EM644:EQ644"/>
    <mergeCell ref="ER644:EV644"/>
    <mergeCell ref="EH618:EL618"/>
    <mergeCell ref="EM618:EQ618"/>
    <mergeCell ref="ER618:EV618"/>
    <mergeCell ref="ER640:EV640"/>
    <mergeCell ref="ER639:EV639"/>
    <mergeCell ref="D1024:AE1024"/>
    <mergeCell ref="AF1025:AI102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A967:AG967"/>
    <mergeCell ref="M961:S961"/>
    <mergeCell ref="AE957:AK957"/>
    <mergeCell ref="M970:S970"/>
    <mergeCell ref="M955:S955"/>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A968:AG968"/>
    <mergeCell ref="AJ1010:AQ1011"/>
    <mergeCell ref="AJ1000:AQ1005"/>
    <mergeCell ref="AJ1019:AQ1023"/>
    <mergeCell ref="D1019:AE1020"/>
    <mergeCell ref="AB990:AI990"/>
    <mergeCell ref="B739:F739"/>
    <mergeCell ref="K735:N735"/>
    <mergeCell ref="K736:N736"/>
    <mergeCell ref="B733:F733"/>
    <mergeCell ref="B731:F731"/>
    <mergeCell ref="B730:F730"/>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T972:Z972"/>
    <mergeCell ref="I946:T946"/>
    <mergeCell ref="D1000:AE1000"/>
    <mergeCell ref="D1001:AE1005"/>
    <mergeCell ref="D1010:AE1010"/>
    <mergeCell ref="D1011:AE1011"/>
    <mergeCell ref="AE954:AK954"/>
    <mergeCell ref="M633:P633"/>
    <mergeCell ref="M634:P634"/>
    <mergeCell ref="G610:R610"/>
    <mergeCell ref="T558:V558"/>
    <mergeCell ref="W561:Y561"/>
    <mergeCell ref="W562:Y562"/>
    <mergeCell ref="W563:Y563"/>
    <mergeCell ref="W564:Y564"/>
    <mergeCell ref="T560:V560"/>
    <mergeCell ref="G570:R570"/>
    <mergeCell ref="Z561:AD56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O730:S730"/>
    <mergeCell ref="B740:F740"/>
    <mergeCell ref="O739:S739"/>
    <mergeCell ref="K730:N730"/>
    <mergeCell ref="T745:W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X748:AB748"/>
    <mergeCell ref="K731:N731"/>
    <mergeCell ref="O722:S722"/>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AC729:AG729"/>
    <mergeCell ref="O728:S728"/>
    <mergeCell ref="O729:S729"/>
    <mergeCell ref="K733:N733"/>
    <mergeCell ref="J774:N774"/>
    <mergeCell ref="O727:S727"/>
    <mergeCell ref="O756:R756"/>
    <mergeCell ref="AG756:AJ756"/>
    <mergeCell ref="T734:W734"/>
    <mergeCell ref="AH734:AJ734"/>
    <mergeCell ref="X737:AB737"/>
    <mergeCell ref="X750:AB750"/>
    <mergeCell ref="AC749:AG749"/>
    <mergeCell ref="AC750:AG750"/>
    <mergeCell ref="AC751:AG751"/>
    <mergeCell ref="C763:AR765"/>
    <mergeCell ref="C766:AR768"/>
    <mergeCell ref="T749:W749"/>
    <mergeCell ref="K750:N750"/>
    <mergeCell ref="X749:AB749"/>
    <mergeCell ref="D1083:AK1085"/>
    <mergeCell ref="J792:N792"/>
    <mergeCell ref="W871:AC871"/>
    <mergeCell ref="J793:N793"/>
    <mergeCell ref="B736:F736"/>
    <mergeCell ref="B752:F752"/>
    <mergeCell ref="B753:F753"/>
    <mergeCell ref="AC753:AG753"/>
    <mergeCell ref="O753:S753"/>
    <mergeCell ref="Z814:AE814"/>
    <mergeCell ref="Y831:AB831"/>
    <mergeCell ref="O752:S752"/>
    <mergeCell ref="AC828:AF828"/>
    <mergeCell ref="AG829:AJ829"/>
    <mergeCell ref="X752:AB752"/>
    <mergeCell ref="AG826:AJ826"/>
    <mergeCell ref="AC747:AG747"/>
    <mergeCell ref="O740:S740"/>
    <mergeCell ref="K741:N741"/>
    <mergeCell ref="K752:N752"/>
    <mergeCell ref="O736:S736"/>
    <mergeCell ref="K738:N738"/>
    <mergeCell ref="U917:Z917"/>
    <mergeCell ref="T740:W740"/>
    <mergeCell ref="G741:J741"/>
    <mergeCell ref="T793:W793"/>
    <mergeCell ref="G739:J739"/>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X789:AB789"/>
    <mergeCell ref="O749:S749"/>
    <mergeCell ref="X751:AB751"/>
    <mergeCell ref="K740:N740"/>
    <mergeCell ref="O783:S786"/>
    <mergeCell ref="AC752:AG752"/>
    <mergeCell ref="O788:S788"/>
    <mergeCell ref="G736:J736"/>
    <mergeCell ref="K748:N748"/>
    <mergeCell ref="O748:S748"/>
    <mergeCell ref="AH753:AJ753"/>
    <mergeCell ref="AA940:AF940"/>
    <mergeCell ref="A909:AT910"/>
    <mergeCell ref="U937:Z937"/>
    <mergeCell ref="U927:Z927"/>
    <mergeCell ref="U947:Z947"/>
    <mergeCell ref="AG825:AJ825"/>
    <mergeCell ref="AC794:AG794"/>
    <mergeCell ref="AC795:AG795"/>
    <mergeCell ref="O793:S793"/>
    <mergeCell ref="J790:N790"/>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J776:N776"/>
    <mergeCell ref="M874:V874"/>
    <mergeCell ref="R985:AA985"/>
    <mergeCell ref="M958:S958"/>
    <mergeCell ref="AE958:AK958"/>
    <mergeCell ref="W973:AG973"/>
    <mergeCell ref="M972:S972"/>
    <mergeCell ref="M971:S971"/>
    <mergeCell ref="M960:S960"/>
    <mergeCell ref="E885:AB885"/>
    <mergeCell ref="T794:W794"/>
    <mergeCell ref="T792:W792"/>
    <mergeCell ref="O777:S777"/>
    <mergeCell ref="X788:AB788"/>
    <mergeCell ref="O775:S775"/>
    <mergeCell ref="X790:AB790"/>
    <mergeCell ref="U827:X827"/>
    <mergeCell ref="AC826:AF826"/>
    <mergeCell ref="AC827:AF827"/>
    <mergeCell ref="W842:AC842"/>
    <mergeCell ref="W847:AC847"/>
    <mergeCell ref="O797:S797"/>
    <mergeCell ref="Q827:T827"/>
    <mergeCell ref="Y826:AB826"/>
    <mergeCell ref="Z813:AE813"/>
    <mergeCell ref="Y825:AB825"/>
    <mergeCell ref="AC825:AF825"/>
    <mergeCell ref="AG827:AJ827"/>
    <mergeCell ref="C832:L832"/>
    <mergeCell ref="AE955:AK955"/>
    <mergeCell ref="AA946:AF946"/>
    <mergeCell ref="T775:W775"/>
    <mergeCell ref="BG975:BL975"/>
    <mergeCell ref="AA949:AF949"/>
    <mergeCell ref="BD906:BE906"/>
    <mergeCell ref="BD907:BE907"/>
    <mergeCell ref="U946:Z946"/>
    <mergeCell ref="U918:Z918"/>
    <mergeCell ref="U944:Z944"/>
    <mergeCell ref="AA933:AF933"/>
    <mergeCell ref="U920:Z920"/>
    <mergeCell ref="AA920:AF920"/>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C831:AF831"/>
    <mergeCell ref="CS655:CW655"/>
    <mergeCell ref="BN652:BR652"/>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X598:DB598"/>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CS600:CW600"/>
    <mergeCell ref="DC600:DG600"/>
    <mergeCell ref="DH600:DL600"/>
    <mergeCell ref="CX600:DB600"/>
    <mergeCell ref="CX601:DB601"/>
    <mergeCell ref="CS596:CW596"/>
    <mergeCell ref="CS598:CW598"/>
    <mergeCell ref="BS601:BW601"/>
    <mergeCell ref="BX601:CB601"/>
    <mergeCell ref="DC596:DG596"/>
    <mergeCell ref="P421:R421"/>
    <mergeCell ref="G586:R586"/>
    <mergeCell ref="G603:R603"/>
    <mergeCell ref="P597:R597"/>
    <mergeCell ref="W560:Y560"/>
    <mergeCell ref="AE565:AH565"/>
    <mergeCell ref="G587:R587"/>
    <mergeCell ref="G578:R578"/>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AG390:AJ390"/>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T561:V561"/>
    <mergeCell ref="AI562:AL562"/>
    <mergeCell ref="AG379:AH379"/>
    <mergeCell ref="AM558:AS558"/>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Z558:AD558"/>
    <mergeCell ref="AM561:AS561"/>
    <mergeCell ref="G596:R596"/>
    <mergeCell ref="Z595:AK595"/>
    <mergeCell ref="C628:L628"/>
    <mergeCell ref="Z631:AB631"/>
    <mergeCell ref="AF624:AJ626"/>
    <mergeCell ref="W633:Y633"/>
    <mergeCell ref="Z630:AB630"/>
    <mergeCell ref="AI564:AL564"/>
    <mergeCell ref="G597:L597"/>
    <mergeCell ref="AG591:AH591"/>
    <mergeCell ref="P605:R605"/>
    <mergeCell ref="Z585:AK585"/>
    <mergeCell ref="AC630:AE630"/>
    <mergeCell ref="AC631:AE631"/>
    <mergeCell ref="AC632:AE632"/>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F631:AJ631"/>
    <mergeCell ref="AF632:AJ632"/>
    <mergeCell ref="Z577:AK577"/>
    <mergeCell ref="Q557:S557"/>
    <mergeCell ref="C554:L554"/>
    <mergeCell ref="AM562:AS562"/>
    <mergeCell ref="Z432:AA432"/>
    <mergeCell ref="Q487:AK487"/>
    <mergeCell ref="Z562:AD562"/>
    <mergeCell ref="Z563:AD563"/>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G572:L572"/>
    <mergeCell ref="Z581:AE581"/>
    <mergeCell ref="Z586:AK586"/>
    <mergeCell ref="AF627:AJ627"/>
    <mergeCell ref="N607:O607"/>
    <mergeCell ref="T629:V629"/>
    <mergeCell ref="T630:V630"/>
    <mergeCell ref="T631:V631"/>
    <mergeCell ref="T632:V632"/>
    <mergeCell ref="T633:V633"/>
    <mergeCell ref="AK634:AN634"/>
    <mergeCell ref="CH612:CL612"/>
    <mergeCell ref="BK608:BL608"/>
    <mergeCell ref="CH607:CL607"/>
    <mergeCell ref="CM616:CQ616"/>
    <mergeCell ref="CM617:CQ617"/>
    <mergeCell ref="BE615:BF615"/>
    <mergeCell ref="BG614:BH614"/>
    <mergeCell ref="BK611:BL611"/>
    <mergeCell ref="BG607:BH607"/>
    <mergeCell ref="BS610:BW610"/>
    <mergeCell ref="BX607:CB607"/>
    <mergeCell ref="CH613:CL613"/>
    <mergeCell ref="CH611:CL611"/>
    <mergeCell ref="BS611:BW611"/>
    <mergeCell ref="BG609:BH609"/>
    <mergeCell ref="BS617:BW617"/>
    <mergeCell ref="CM612:CQ612"/>
    <mergeCell ref="CM613:CQ613"/>
    <mergeCell ref="CM614:CQ614"/>
    <mergeCell ref="CM615:CQ615"/>
    <mergeCell ref="BG615:BH615"/>
    <mergeCell ref="CH610:CL610"/>
    <mergeCell ref="CH608:CL608"/>
    <mergeCell ref="BX616:CB616"/>
    <mergeCell ref="CC612:CG612"/>
    <mergeCell ref="BS614:BW614"/>
    <mergeCell ref="CM611:CQ611"/>
    <mergeCell ref="BG617:BH617"/>
    <mergeCell ref="BS615:BW615"/>
    <mergeCell ref="CC611:CG611"/>
    <mergeCell ref="BS612:BW612"/>
    <mergeCell ref="BN616:BR616"/>
    <mergeCell ref="BI613:BJ613"/>
    <mergeCell ref="BK613:BL613"/>
    <mergeCell ref="CH616:CL616"/>
    <mergeCell ref="CH614:CL614"/>
    <mergeCell ref="BN630:BR630"/>
    <mergeCell ref="BK630:BL63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G613:BH613"/>
    <mergeCell ref="BK615:BL615"/>
    <mergeCell ref="CC614:CG614"/>
    <mergeCell ref="BN615:BR615"/>
    <mergeCell ref="BK616:BL616"/>
    <mergeCell ref="AK638:AN638"/>
    <mergeCell ref="AF633:AJ633"/>
    <mergeCell ref="AC629:AE629"/>
    <mergeCell ref="BG627:BH627"/>
    <mergeCell ref="BI627:BJ627"/>
    <mergeCell ref="BK627:BL627"/>
    <mergeCell ref="BI625:BJ625"/>
    <mergeCell ref="BK625:BL625"/>
    <mergeCell ref="BE631:BF631"/>
    <mergeCell ref="AK635:AN635"/>
    <mergeCell ref="BN614:BR614"/>
    <mergeCell ref="CH615:CL615"/>
    <mergeCell ref="CC615:CG615"/>
    <mergeCell ref="BK619:BL619"/>
    <mergeCell ref="BK614:BL614"/>
    <mergeCell ref="BS616:BW616"/>
    <mergeCell ref="AO636:AS636"/>
    <mergeCell ref="AO627:AS627"/>
    <mergeCell ref="AO635:AS635"/>
    <mergeCell ref="BX617:CB617"/>
    <mergeCell ref="BK624:BL624"/>
    <mergeCell ref="BE625:BF625"/>
    <mergeCell ref="BG625:BH625"/>
    <mergeCell ref="BE620:BF620"/>
    <mergeCell ref="CH620:CL620"/>
    <mergeCell ref="BG628:BH628"/>
    <mergeCell ref="BI628:BJ628"/>
    <mergeCell ref="BK628:BL628"/>
    <mergeCell ref="BN628:BR628"/>
    <mergeCell ref="BS628:BW628"/>
    <mergeCell ref="BX628:CB628"/>
    <mergeCell ref="CC628:CG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K631:BL631"/>
    <mergeCell ref="BN631:BR631"/>
    <mergeCell ref="BN638:BR638"/>
    <mergeCell ref="BI616:BJ616"/>
    <mergeCell ref="W630:Y630"/>
    <mergeCell ref="T624:V626"/>
    <mergeCell ref="T627:V627"/>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G653:R653"/>
    <mergeCell ref="BG622:BH622"/>
    <mergeCell ref="BI622:BJ622"/>
    <mergeCell ref="BK622:BL622"/>
    <mergeCell ref="BN619:BR619"/>
    <mergeCell ref="AK636:AN636"/>
    <mergeCell ref="BE624:BF624"/>
    <mergeCell ref="BG624:BH624"/>
    <mergeCell ref="BI624:BJ624"/>
    <mergeCell ref="W632:Y632"/>
    <mergeCell ref="Q636:S636"/>
    <mergeCell ref="BE628:BF628"/>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T971:Z971"/>
    <mergeCell ref="AA970:AG970"/>
    <mergeCell ref="AA924:AF924"/>
    <mergeCell ref="D1064:AK1069"/>
    <mergeCell ref="U934:Z934"/>
    <mergeCell ref="AA922:AF922"/>
    <mergeCell ref="AB916:AE916"/>
    <mergeCell ref="AA921:AF921"/>
    <mergeCell ref="M957:S957"/>
    <mergeCell ref="AA971:AG971"/>
    <mergeCell ref="AB984:AI984"/>
    <mergeCell ref="AB985:AI985"/>
    <mergeCell ref="AB986:AI986"/>
    <mergeCell ref="D986:Q986"/>
    <mergeCell ref="R988:AA988"/>
    <mergeCell ref="AB987:AI987"/>
    <mergeCell ref="D987:Q987"/>
    <mergeCell ref="F930:T930"/>
    <mergeCell ref="F931:T931"/>
    <mergeCell ref="AA938:AF938"/>
    <mergeCell ref="AA939:AF939"/>
    <mergeCell ref="AB956:AK956"/>
    <mergeCell ref="U948:Z948"/>
    <mergeCell ref="AA927:AF927"/>
    <mergeCell ref="U922:Z92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D1086:AK1090"/>
    <mergeCell ref="D988:Q988"/>
    <mergeCell ref="R987:AA987"/>
    <mergeCell ref="AA966:AG966"/>
    <mergeCell ref="AA972:AG972"/>
    <mergeCell ref="AE961:AK961"/>
    <mergeCell ref="AJ985:AQ985"/>
    <mergeCell ref="I949:T949"/>
    <mergeCell ref="D994:AE997"/>
    <mergeCell ref="D998:AE99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AA919:AF919"/>
    <mergeCell ref="AA918:AF918"/>
    <mergeCell ref="U924:Z924"/>
    <mergeCell ref="AA934:AF934"/>
    <mergeCell ref="AA917:AF917"/>
    <mergeCell ref="M871:V871"/>
    <mergeCell ref="M878:V878"/>
    <mergeCell ref="W870:AC870"/>
    <mergeCell ref="F915:T916"/>
    <mergeCell ref="AA930:AF930"/>
    <mergeCell ref="U931:Z931"/>
    <mergeCell ref="AA931:AF931"/>
    <mergeCell ref="F937:T937"/>
    <mergeCell ref="F938:T938"/>
    <mergeCell ref="F939:T939"/>
    <mergeCell ref="U943:Z943"/>
    <mergeCell ref="AA943:AF943"/>
    <mergeCell ref="F929:T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BD905:BF905"/>
    <mergeCell ref="BD904:BF904"/>
    <mergeCell ref="U923:Z923"/>
    <mergeCell ref="BD909:BE909"/>
    <mergeCell ref="U938:Z938"/>
    <mergeCell ref="U939:Z939"/>
    <mergeCell ref="F935:T935"/>
    <mergeCell ref="U935:Z935"/>
    <mergeCell ref="F943:T94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O790:S790"/>
    <mergeCell ref="K749:N749"/>
    <mergeCell ref="O745:S745"/>
    <mergeCell ref="M827:P827"/>
    <mergeCell ref="J797:N797"/>
    <mergeCell ref="J795:N795"/>
    <mergeCell ref="AC774:AG774"/>
    <mergeCell ref="X777:AB777"/>
    <mergeCell ref="M826:P826"/>
    <mergeCell ref="Q825:T825"/>
    <mergeCell ref="AC789:AG789"/>
    <mergeCell ref="AC790:AG790"/>
    <mergeCell ref="J773:N773"/>
    <mergeCell ref="O773:S773"/>
    <mergeCell ref="T752:W752"/>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720:J720"/>
    <mergeCell ref="B721:F721"/>
    <mergeCell ref="G677:R677"/>
    <mergeCell ref="Z678:AK678"/>
    <mergeCell ref="G685:R685"/>
    <mergeCell ref="AK745:AO745"/>
    <mergeCell ref="G661:R661"/>
    <mergeCell ref="G593:R593"/>
    <mergeCell ref="G579:R579"/>
    <mergeCell ref="Z559:AD559"/>
    <mergeCell ref="G679:L67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O638:AS638"/>
    <mergeCell ref="AA614:AK614"/>
    <mergeCell ref="AM559:AS559"/>
    <mergeCell ref="T565:V565"/>
    <mergeCell ref="C560:L560"/>
    <mergeCell ref="Z613:AE613"/>
    <mergeCell ref="Z560:AD560"/>
    <mergeCell ref="AI563:AL563"/>
    <mergeCell ref="O723:S723"/>
    <mergeCell ref="AG681:AH681"/>
    <mergeCell ref="Q564:S564"/>
    <mergeCell ref="AI687:AK687"/>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A688:AK688"/>
    <mergeCell ref="AC719:AG719"/>
    <mergeCell ref="AH724:AJ724"/>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AC456:AF456"/>
    <mergeCell ref="AH503:AK503"/>
    <mergeCell ref="AC500:AF500"/>
    <mergeCell ref="Q485:AK485"/>
    <mergeCell ref="AI679:AK679"/>
    <mergeCell ref="Z663:AE663"/>
    <mergeCell ref="P346:AE346"/>
    <mergeCell ref="P344:AE344"/>
    <mergeCell ref="AI560:AL560"/>
    <mergeCell ref="T562:V562"/>
    <mergeCell ref="O529:AA529"/>
    <mergeCell ref="AH533:AK533"/>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325:AK325"/>
    <mergeCell ref="H315:M315"/>
    <mergeCell ref="H321:R321"/>
    <mergeCell ref="H322:R322"/>
    <mergeCell ref="AA331:AF331"/>
    <mergeCell ref="P315:R31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H316:M316"/>
    <mergeCell ref="AA322:AK322"/>
    <mergeCell ref="H292:M292"/>
    <mergeCell ref="H309:R309"/>
    <mergeCell ref="H313:R313"/>
    <mergeCell ref="H304:R304"/>
    <mergeCell ref="H303:R303"/>
    <mergeCell ref="AA308:AF308"/>
    <mergeCell ref="Z554:AD554"/>
    <mergeCell ref="W469:Y469"/>
    <mergeCell ref="P581:R581"/>
    <mergeCell ref="AI572:AK572"/>
    <mergeCell ref="AA582:AK582"/>
    <mergeCell ref="H330:R330"/>
    <mergeCell ref="AA321:AK321"/>
    <mergeCell ref="H325:R325"/>
    <mergeCell ref="H307:M307"/>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F251:AK251"/>
    <mergeCell ref="M244:AE244"/>
    <mergeCell ref="I190:N190"/>
    <mergeCell ref="M247:R247"/>
    <mergeCell ref="M245:T245"/>
    <mergeCell ref="D208:M208"/>
    <mergeCell ref="Y117:AK117"/>
    <mergeCell ref="T190:AE190"/>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Z247:AE247"/>
    <mergeCell ref="W245:X245"/>
    <mergeCell ref="U247:W247"/>
    <mergeCell ref="M237:AE237"/>
    <mergeCell ref="AC245:AE245"/>
    <mergeCell ref="M246:AE246"/>
    <mergeCell ref="AA238:AK238"/>
    <mergeCell ref="AH246:AK246"/>
    <mergeCell ref="AA305:AK305"/>
    <mergeCell ref="Z205:AN205"/>
    <mergeCell ref="M249:T249"/>
    <mergeCell ref="M26:Q26"/>
    <mergeCell ref="A21:AL21"/>
    <mergeCell ref="F150:T150"/>
    <mergeCell ref="M254:AE254"/>
    <mergeCell ref="J173:S173"/>
    <mergeCell ref="O155:AH155"/>
    <mergeCell ref="O157:X157"/>
    <mergeCell ref="O158:R158"/>
    <mergeCell ref="W159:X159"/>
    <mergeCell ref="AH254:AK254"/>
    <mergeCell ref="P113:S113"/>
    <mergeCell ref="I185:AE185"/>
    <mergeCell ref="D205:M205"/>
    <mergeCell ref="J174:AB174"/>
    <mergeCell ref="M238:T238"/>
    <mergeCell ref="T197:U197"/>
    <mergeCell ref="P205:U205"/>
    <mergeCell ref="M239:AE239"/>
    <mergeCell ref="AF178:AG178"/>
    <mergeCell ref="M27:Q27"/>
    <mergeCell ref="A83:AT84"/>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A75:AT77"/>
    <mergeCell ref="A79:AT81"/>
    <mergeCell ref="AB215:AL215"/>
    <mergeCell ref="T198:U198"/>
    <mergeCell ref="Y212:Z212"/>
    <mergeCell ref="D214:Z214"/>
    <mergeCell ref="AB216:AL216"/>
    <mergeCell ref="M236:R236"/>
    <mergeCell ref="Z236:AE236"/>
    <mergeCell ref="G113:H113"/>
    <mergeCell ref="C115:K115"/>
    <mergeCell ref="D164:AH164"/>
    <mergeCell ref="P204:U204"/>
    <mergeCell ref="AH195:AI195"/>
    <mergeCell ref="AH196:AI196"/>
    <mergeCell ref="U176:V176"/>
    <mergeCell ref="O153:AH153"/>
    <mergeCell ref="O154:AH154"/>
    <mergeCell ref="O156:AH156"/>
    <mergeCell ref="O159:T159"/>
    <mergeCell ref="O161:AH161"/>
    <mergeCell ref="AI227:AJ227"/>
    <mergeCell ref="Y123:AK123"/>
    <mergeCell ref="Y120:AK120"/>
    <mergeCell ref="O160:T160"/>
    <mergeCell ref="AI178:AK178"/>
    <mergeCell ref="M234:T234"/>
    <mergeCell ref="W234:X234"/>
    <mergeCell ref="AB212:AC212"/>
    <mergeCell ref="A105:AT106"/>
    <mergeCell ref="L113:O113"/>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M263:R263"/>
    <mergeCell ref="M265:T26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N600:BR600"/>
    <mergeCell ref="BK600:BL600"/>
    <mergeCell ref="BG598:BH598"/>
    <mergeCell ref="BG599:BH599"/>
    <mergeCell ref="BS598:BW598"/>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X600:CB600"/>
    <mergeCell ref="BG602:BH602"/>
    <mergeCell ref="BE612:BF612"/>
    <mergeCell ref="BX611:CB611"/>
    <mergeCell ref="BX614:CB614"/>
    <mergeCell ref="BS613:BW613"/>
    <mergeCell ref="BI611:BJ611"/>
    <mergeCell ref="BX613:CB613"/>
    <mergeCell ref="CC613:CG613"/>
    <mergeCell ref="BE611:BF611"/>
    <mergeCell ref="BN613:BR613"/>
    <mergeCell ref="BN611:BR611"/>
    <mergeCell ref="BG608:BH608"/>
    <mergeCell ref="BK605:BL605"/>
    <mergeCell ref="CC610:CG610"/>
    <mergeCell ref="CC607:CG607"/>
    <mergeCell ref="BS608:BW608"/>
    <mergeCell ref="BN608:BR608"/>
    <mergeCell ref="BI604:BJ604"/>
    <mergeCell ref="BN602:BR602"/>
    <mergeCell ref="CC609:CG609"/>
    <mergeCell ref="BK609:BL609"/>
    <mergeCell ref="BI606:BJ606"/>
    <mergeCell ref="BG605:BH605"/>
    <mergeCell ref="BI608:BJ608"/>
    <mergeCell ref="BG610:BH610"/>
    <mergeCell ref="BE617:BF617"/>
    <mergeCell ref="BI618:BJ618"/>
    <mergeCell ref="BK618:BL618"/>
    <mergeCell ref="BE614:BF614"/>
    <mergeCell ref="BG616:BH616"/>
    <mergeCell ref="BK603:BL603"/>
    <mergeCell ref="CC616:CG616"/>
    <mergeCell ref="CC618:CG618"/>
    <mergeCell ref="G659:R659"/>
    <mergeCell ref="BN655:BR655"/>
    <mergeCell ref="BS640:BW640"/>
    <mergeCell ref="BN629:BR629"/>
    <mergeCell ref="BS629:BW629"/>
    <mergeCell ref="BX629:CB629"/>
    <mergeCell ref="BX639:CB639"/>
    <mergeCell ref="BX640:CB640"/>
    <mergeCell ref="Z633:AB633"/>
    <mergeCell ref="BX609:CB609"/>
    <mergeCell ref="Z643:AK643"/>
    <mergeCell ref="BE621:BF621"/>
    <mergeCell ref="BG621:BH621"/>
    <mergeCell ref="BI621:BJ621"/>
    <mergeCell ref="BK621:BL621"/>
    <mergeCell ref="BE622:BF622"/>
    <mergeCell ref="AG657:AH657"/>
    <mergeCell ref="BS630:BW630"/>
    <mergeCell ref="BX612:CB612"/>
    <mergeCell ref="BX615:CB615"/>
    <mergeCell ref="BK610:BL610"/>
    <mergeCell ref="BG611:BH611"/>
    <mergeCell ref="BN609:BR609"/>
    <mergeCell ref="BN610:BR610"/>
    <mergeCell ref="BE623:BF623"/>
    <mergeCell ref="BG623:BH623"/>
    <mergeCell ref="BN612:BR612"/>
    <mergeCell ref="BI614:BJ614"/>
    <mergeCell ref="BS619:BW619"/>
    <mergeCell ref="CC597:CG597"/>
    <mergeCell ref="G604:R604"/>
    <mergeCell ref="BX596:CB596"/>
    <mergeCell ref="BG601:BH601"/>
    <mergeCell ref="BE600:BF600"/>
    <mergeCell ref="BS649:BW649"/>
    <mergeCell ref="BE626:BF626"/>
    <mergeCell ref="BG626:BH626"/>
    <mergeCell ref="BI626:BJ626"/>
    <mergeCell ref="BK626:BL626"/>
    <mergeCell ref="BN621:BR621"/>
    <mergeCell ref="BS621:BW621"/>
    <mergeCell ref="BX621:CB621"/>
    <mergeCell ref="CC621:CG621"/>
    <mergeCell ref="BN622:BR622"/>
    <mergeCell ref="BS622:BW622"/>
    <mergeCell ref="BX622:CB622"/>
    <mergeCell ref="CC622:CG622"/>
    <mergeCell ref="BX620:CB620"/>
    <mergeCell ref="BS606:BW606"/>
    <mergeCell ref="BI603:BJ603"/>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C620:CG620"/>
    <mergeCell ref="BI612:BJ612"/>
    <mergeCell ref="BK612:BL612"/>
    <mergeCell ref="BG612:BH612"/>
    <mergeCell ref="BE603:BF603"/>
    <mergeCell ref="BE609:BF609"/>
    <mergeCell ref="BE607:BF607"/>
    <mergeCell ref="BE608:BF608"/>
    <mergeCell ref="BK607:BL607"/>
    <mergeCell ref="BN607:BR607"/>
    <mergeCell ref="BS607:BW607"/>
    <mergeCell ref="BG618:BH618"/>
    <mergeCell ref="BN620:BR620"/>
    <mergeCell ref="BX602:CB602"/>
    <mergeCell ref="BN627:BR627"/>
    <mergeCell ref="BS627:BW627"/>
    <mergeCell ref="BE629:BF629"/>
    <mergeCell ref="BG629:BH629"/>
    <mergeCell ref="BI629:BJ629"/>
    <mergeCell ref="BK629:BL629"/>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T720:W720"/>
    <mergeCell ref="Z671:AE671"/>
    <mergeCell ref="Z668:AK668"/>
    <mergeCell ref="P663:R663"/>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Q486:AK486"/>
    <mergeCell ref="AH502:AK502"/>
    <mergeCell ref="AC499:AK499"/>
    <mergeCell ref="W555:Y555"/>
    <mergeCell ref="AC525:AF525"/>
    <mergeCell ref="AE556:AH556"/>
    <mergeCell ref="AH524:AK524"/>
    <mergeCell ref="AH525:AK525"/>
    <mergeCell ref="AH529:AK529"/>
    <mergeCell ref="AH534:AK534"/>
    <mergeCell ref="AC510:AF510"/>
    <mergeCell ref="AH510:AK510"/>
    <mergeCell ref="AC512:AF512"/>
    <mergeCell ref="Q558:S558"/>
    <mergeCell ref="AM555:AS555"/>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H512:AK512"/>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H515:AK515"/>
    <mergeCell ref="AC516:AF516"/>
    <mergeCell ref="AC521:AF521"/>
    <mergeCell ref="AH509:AK509"/>
    <mergeCell ref="AC503:AF503"/>
    <mergeCell ref="AC513:AF513"/>
    <mergeCell ref="W468:Y468"/>
    <mergeCell ref="B503:H508"/>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T554:V554"/>
    <mergeCell ref="B517:H519"/>
    <mergeCell ref="AC524:AF524"/>
    <mergeCell ref="AH516:AK516"/>
    <mergeCell ref="Q554:S554"/>
    <mergeCell ref="BS626:BW626"/>
    <mergeCell ref="BX626:CB626"/>
    <mergeCell ref="CC626:CG626"/>
    <mergeCell ref="BN623:BR623"/>
    <mergeCell ref="CH623:CL623"/>
    <mergeCell ref="BN624:BR624"/>
    <mergeCell ref="BS624:BW624"/>
    <mergeCell ref="BG620:BH620"/>
    <mergeCell ref="BI620:BJ620"/>
    <mergeCell ref="BK620:BL620"/>
    <mergeCell ref="BS620:BW620"/>
    <mergeCell ref="CX627:DB627"/>
    <mergeCell ref="DC627:DG627"/>
    <mergeCell ref="DH627:DL627"/>
    <mergeCell ref="DC626:DG626"/>
    <mergeCell ref="DH626:DL626"/>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M623:DQ623"/>
    <mergeCell ref="DR623:DV623"/>
    <mergeCell ref="DC620:DG620"/>
    <mergeCell ref="DH620:DL620"/>
    <mergeCell ref="DM620:DQ620"/>
    <mergeCell ref="CS620:CW620"/>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C620:EG620"/>
    <mergeCell ref="EH620:EL620"/>
    <mergeCell ref="EW636:FA63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EW631:FA631"/>
    <mergeCell ref="DX629:EB629"/>
    <mergeCell ref="EC629:EG629"/>
    <mergeCell ref="DX635:EB635"/>
    <mergeCell ref="EW627:FA627"/>
    <mergeCell ref="DX628:EB628"/>
    <mergeCell ref="EC628:EG628"/>
    <mergeCell ref="EH628:EL628"/>
    <mergeCell ref="EM628:EQ628"/>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R626:DV626"/>
    <mergeCell ref="DM626:DQ626"/>
    <mergeCell ref="CS627:CW627"/>
    <mergeCell ref="DM627:DQ627"/>
    <mergeCell ref="DR627:DV627"/>
    <mergeCell ref="DC624:DG624"/>
    <mergeCell ref="DH624:DL624"/>
    <mergeCell ref="CX624:DB624"/>
    <mergeCell ref="DM628:DQ628"/>
    <mergeCell ref="EH638:EL638"/>
    <mergeCell ref="EM638:EQ638"/>
    <mergeCell ref="ER638:EV638"/>
    <mergeCell ref="EC635:EG635"/>
    <mergeCell ref="EH635:EL635"/>
    <mergeCell ref="EM635:EQ635"/>
    <mergeCell ref="ER635:EV635"/>
    <mergeCell ref="EW635:FA635"/>
    <mergeCell ref="EC636:EG636"/>
    <mergeCell ref="EH636:EL636"/>
    <mergeCell ref="DX636:EB636"/>
    <mergeCell ref="ER636:EV636"/>
    <mergeCell ref="ER637:EV637"/>
    <mergeCell ref="DR628:DV628"/>
    <mergeCell ref="EH629:EL629"/>
    <mergeCell ref="EM629:EQ629"/>
    <mergeCell ref="CS629:CW629"/>
    <mergeCell ref="CX629:DB629"/>
    <mergeCell ref="DC629:DG629"/>
    <mergeCell ref="DH629:DL629"/>
    <mergeCell ref="DM629:DQ629"/>
    <mergeCell ref="DR629:DV629"/>
    <mergeCell ref="EW624:FA624"/>
    <mergeCell ref="DX625:EB625"/>
    <mergeCell ref="DR624:DV624"/>
    <mergeCell ref="EM659:EQ659"/>
    <mergeCell ref="ER659:EV659"/>
    <mergeCell ref="EW659:FA659"/>
    <mergeCell ref="DX660:EB660"/>
    <mergeCell ref="EC660:EG660"/>
    <mergeCell ref="EH660:EL660"/>
    <mergeCell ref="EM660:EQ660"/>
    <mergeCell ref="EC659:EG659"/>
    <mergeCell ref="EH659:EL659"/>
    <mergeCell ref="ER630:EV630"/>
    <mergeCell ref="EW630:FA630"/>
    <mergeCell ref="DX631:EB631"/>
    <mergeCell ref="EC631:EG631"/>
    <mergeCell ref="EH631:EL631"/>
    <mergeCell ref="EM631:EQ631"/>
    <mergeCell ref="ER631:EV631"/>
    <mergeCell ref="DX630:EB630"/>
    <mergeCell ref="EM646:EQ646"/>
    <mergeCell ref="EW642:FA642"/>
    <mergeCell ref="EW643:FA643"/>
    <mergeCell ref="DX658:EB658"/>
    <mergeCell ref="EC658:EG658"/>
    <mergeCell ref="EH658:EL658"/>
    <mergeCell ref="EM658:EQ658"/>
    <mergeCell ref="ER658:EV658"/>
    <mergeCell ref="EW658:FA658"/>
    <mergeCell ref="EH632:EL632"/>
    <mergeCell ref="EM632:EQ632"/>
    <mergeCell ref="ER632:EV632"/>
    <mergeCell ref="EW632:FA632"/>
    <mergeCell ref="DX638:EB638"/>
    <mergeCell ref="EC638:EG638"/>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K742:AO742"/>
    <mergeCell ref="X742:AB742"/>
    <mergeCell ref="K714:N717"/>
    <mergeCell ref="T724:W724"/>
    <mergeCell ref="G721:J72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30" workbookViewId="0">
      <selection activeCell="S49" sqref="S49"/>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557</v>
      </c>
      <c r="B1" s="125"/>
      <c r="C1" s="125"/>
      <c r="D1" s="125"/>
      <c r="E1" s="126"/>
      <c r="F1" s="1876" t="s">
        <v>629</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1)US Bank - Perm Loan</v>
      </c>
      <c r="G2" s="139" t="str">
        <f>Application!B628&amp;Application!C628</f>
        <v>2)HCD National Housing Trust Fund</v>
      </c>
      <c r="H2" s="139" t="str">
        <f>Application!B629&amp;Application!C629</f>
        <v>3)Alameda Affordable Housing Trust Fund</v>
      </c>
      <c r="I2" s="139" t="str">
        <f>Application!B630&amp;Application!C630</f>
        <v>4)City of Alameda PLHA</v>
      </c>
      <c r="J2" s="139" t="str">
        <f>Application!B631&amp;Application!C631</f>
        <v>5)FHLB AHP</v>
      </c>
      <c r="K2" s="139" t="str">
        <f>Application!B632&amp;Application!C632</f>
        <v>6)Island City Development -Deferred Developer Fee</v>
      </c>
      <c r="L2" s="139" t="str">
        <f>Application!B633&amp;Application!C633</f>
        <v>7)Island City Development -GP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99</v>
      </c>
      <c r="C4" s="147">
        <f>[1]budgets!$C$29</f>
        <v>99</v>
      </c>
      <c r="D4" s="147"/>
      <c r="E4" s="147">
        <f>B4-SUM(F4:M4)</f>
        <v>99</v>
      </c>
      <c r="F4" s="147"/>
      <c r="G4" s="147"/>
      <c r="H4" s="147"/>
      <c r="I4" s="147"/>
      <c r="J4" s="147"/>
      <c r="K4" s="147"/>
      <c r="L4" s="147"/>
      <c r="M4" s="147"/>
      <c r="N4" s="147"/>
      <c r="O4" s="147"/>
      <c r="P4" s="147"/>
      <c r="Q4" s="147"/>
      <c r="R4" s="550">
        <f>SUM(E4:Q4)</f>
        <v>99</v>
      </c>
      <c r="S4" s="148"/>
      <c r="T4" s="148"/>
      <c r="U4" s="143"/>
    </row>
    <row r="5" spans="1:21" s="144" customFormat="1">
      <c r="A5" s="145" t="s">
        <v>28</v>
      </c>
      <c r="B5" s="146">
        <f>SUM(C5+D5)</f>
        <v>0</v>
      </c>
      <c r="C5" s="147"/>
      <c r="D5" s="147"/>
      <c r="E5" s="147">
        <f t="shared" ref="E5:E7" si="0">B5-SUM(F5:M5)</f>
        <v>0</v>
      </c>
      <c r="F5" s="147"/>
      <c r="G5" s="147"/>
      <c r="H5" s="147"/>
      <c r="I5" s="147"/>
      <c r="J5" s="147"/>
      <c r="K5" s="147"/>
      <c r="L5" s="147"/>
      <c r="M5" s="147"/>
      <c r="N5" s="147"/>
      <c r="O5" s="147"/>
      <c r="P5" s="147"/>
      <c r="Q5" s="147"/>
      <c r="R5" s="550">
        <f>SUM(E5:Q5)</f>
        <v>0</v>
      </c>
      <c r="S5" s="148"/>
      <c r="T5" s="148"/>
      <c r="U5" s="143"/>
    </row>
    <row r="6" spans="1:21" s="144" customFormat="1">
      <c r="A6" s="145" t="s">
        <v>29</v>
      </c>
      <c r="B6" s="146">
        <f>SUM(C6+D6)</f>
        <v>38400</v>
      </c>
      <c r="C6" s="147">
        <f>[1]budgets!$C$33</f>
        <v>38400</v>
      </c>
      <c r="D6" s="147"/>
      <c r="E6" s="147">
        <f t="shared" si="0"/>
        <v>38400</v>
      </c>
      <c r="F6" s="147"/>
      <c r="G6" s="147"/>
      <c r="H6" s="147"/>
      <c r="I6" s="147"/>
      <c r="J6" s="147"/>
      <c r="K6" s="147"/>
      <c r="L6" s="147"/>
      <c r="M6" s="147"/>
      <c r="N6" s="147"/>
      <c r="O6" s="147"/>
      <c r="P6" s="147"/>
      <c r="Q6" s="147"/>
      <c r="R6" s="550">
        <f>SUM(E6:Q6)</f>
        <v>38400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c r="A8" s="149" t="s">
        <v>601</v>
      </c>
      <c r="B8" s="146">
        <f>SUM(C8:D8)</f>
        <v>38499</v>
      </c>
      <c r="C8" s="146">
        <f t="shared" ref="C8:Q8" si="1">SUM(C4:C7)</f>
        <v>38499</v>
      </c>
      <c r="D8" s="146">
        <f t="shared" si="1"/>
        <v>0</v>
      </c>
      <c r="E8" s="146">
        <f t="shared" si="1"/>
        <v>38499</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38499</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2">SUM(C9:C10)</f>
        <v>0</v>
      </c>
      <c r="D11" s="146">
        <f t="shared" si="2"/>
        <v>0</v>
      </c>
      <c r="E11" s="146">
        <f t="shared" si="2"/>
        <v>0</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0</v>
      </c>
      <c r="S11" s="148"/>
      <c r="T11" s="150">
        <f>SUM(T9:T10)</f>
        <v>0</v>
      </c>
      <c r="U11" s="143"/>
    </row>
    <row r="12" spans="1:21" s="144" customFormat="1">
      <c r="A12" s="149" t="s">
        <v>84</v>
      </c>
      <c r="B12" s="146">
        <f t="shared" ref="B12:Q12" si="3">SUM(B8+B11)</f>
        <v>38499</v>
      </c>
      <c r="C12" s="146">
        <f t="shared" si="3"/>
        <v>38499</v>
      </c>
      <c r="D12" s="146">
        <f t="shared" si="3"/>
        <v>0</v>
      </c>
      <c r="E12" s="146">
        <f t="shared" si="3"/>
        <v>38499</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38499</v>
      </c>
      <c r="S12" s="148"/>
      <c r="T12" s="148"/>
      <c r="U12" s="143"/>
    </row>
    <row r="13" spans="1:21" s="144" customFormat="1">
      <c r="A13" s="309" t="s">
        <v>917</v>
      </c>
      <c r="B13" s="146">
        <f>SUM(C13+D13)</f>
        <v>371000</v>
      </c>
      <c r="C13" s="147">
        <f>[1]budgets!$C$30</f>
        <v>371000</v>
      </c>
      <c r="D13" s="147"/>
      <c r="E13" s="147">
        <f>B13-SUM(F13:M13)</f>
        <v>371000</v>
      </c>
      <c r="F13" s="147"/>
      <c r="G13" s="147"/>
      <c r="H13" s="147"/>
      <c r="I13" s="147"/>
      <c r="J13" s="147"/>
      <c r="K13" s="147"/>
      <c r="L13" s="147"/>
      <c r="M13" s="147"/>
      <c r="N13" s="147"/>
      <c r="O13" s="147"/>
      <c r="P13" s="147"/>
      <c r="Q13" s="147"/>
      <c r="R13" s="550">
        <f>SUM(E13:Q13)</f>
        <v>371000</v>
      </c>
      <c r="S13" s="147"/>
      <c r="T13" s="147"/>
      <c r="U13" s="143"/>
    </row>
    <row r="14" spans="1:21" s="144" customFormat="1" ht="23">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1751</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7">SUM(C29+D29)</f>
        <v>916582</v>
      </c>
      <c r="C29" s="147">
        <f>[1]budgets!$C$46</f>
        <v>916582</v>
      </c>
      <c r="D29" s="147"/>
      <c r="E29" s="147">
        <f t="shared" ref="E29:E37" si="8">B29-SUM(F29:M29)</f>
        <v>226582</v>
      </c>
      <c r="F29" s="147"/>
      <c r="G29" s="147"/>
      <c r="H29" s="147"/>
      <c r="I29" s="147"/>
      <c r="J29" s="147">
        <f>Application!AO631</f>
        <v>690000</v>
      </c>
      <c r="K29" s="147"/>
      <c r="L29" s="147"/>
      <c r="M29" s="147"/>
      <c r="N29" s="147"/>
      <c r="O29" s="147"/>
      <c r="P29" s="147"/>
      <c r="Q29" s="147"/>
      <c r="R29" s="550">
        <f t="shared" ref="R29:R37" si="9">SUM(E29:Q29)</f>
        <v>916582</v>
      </c>
      <c r="S29" s="147">
        <f>R29</f>
        <v>916582</v>
      </c>
      <c r="T29" s="147"/>
      <c r="U29" s="143"/>
    </row>
    <row r="30" spans="1:21" s="144" customFormat="1">
      <c r="A30" s="145" t="s">
        <v>607</v>
      </c>
      <c r="B30" s="146">
        <f t="shared" ca="1" si="7"/>
        <v>14769655.5</v>
      </c>
      <c r="C30" s="147">
        <f ca="1">[1]budgets!$C$47+[1]budgets!$C$52-C34</f>
        <v>14769655.5</v>
      </c>
      <c r="D30" s="147"/>
      <c r="E30" s="147">
        <f t="shared" ca="1" si="8"/>
        <v>4443317</v>
      </c>
      <c r="F30" s="147">
        <f>Application!AO627</f>
        <v>1207800</v>
      </c>
      <c r="G30" s="147">
        <f ca="1">Application!AO628-SUM(G31:G35)</f>
        <v>3566856.5</v>
      </c>
      <c r="H30" s="147">
        <f>Application!AO629</f>
        <v>5000000</v>
      </c>
      <c r="I30" s="147">
        <f>Application!AO630</f>
        <v>551582</v>
      </c>
      <c r="J30" s="147"/>
      <c r="K30" s="147"/>
      <c r="L30" s="147">
        <f>Application!AO633</f>
        <v>100</v>
      </c>
      <c r="M30" s="147"/>
      <c r="N30" s="147"/>
      <c r="O30" s="147"/>
      <c r="P30" s="147"/>
      <c r="Q30" s="147"/>
      <c r="R30" s="550">
        <f t="shared" ca="1" si="9"/>
        <v>14769655.5</v>
      </c>
      <c r="S30" s="147">
        <f t="shared" ref="S30:S37" ca="1" si="10">R30</f>
        <v>14769655.5</v>
      </c>
      <c r="T30" s="147"/>
      <c r="U30" s="143"/>
    </row>
    <row r="31" spans="1:21" s="144" customFormat="1">
      <c r="A31" s="145" t="s">
        <v>608</v>
      </c>
      <c r="B31" s="146">
        <f t="shared" si="7"/>
        <v>1875789</v>
      </c>
      <c r="C31" s="147">
        <f>[1]budgets!$C$48</f>
        <v>1875789</v>
      </c>
      <c r="D31" s="147"/>
      <c r="E31" s="147">
        <f t="shared" si="8"/>
        <v>0</v>
      </c>
      <c r="F31" s="147"/>
      <c r="G31" s="147">
        <f>C31</f>
        <v>1875789</v>
      </c>
      <c r="H31" s="147"/>
      <c r="I31" s="147"/>
      <c r="J31" s="147"/>
      <c r="K31" s="147"/>
      <c r="L31" s="147"/>
      <c r="M31" s="147"/>
      <c r="N31" s="147"/>
      <c r="O31" s="147"/>
      <c r="P31" s="147"/>
      <c r="Q31" s="147"/>
      <c r="R31" s="550">
        <f t="shared" si="9"/>
        <v>1875789</v>
      </c>
      <c r="S31" s="147">
        <f t="shared" si="10"/>
        <v>1875789</v>
      </c>
      <c r="T31" s="147"/>
      <c r="U31" s="143"/>
    </row>
    <row r="32" spans="1:21" s="144" customFormat="1">
      <c r="A32" s="145" t="s">
        <v>137</v>
      </c>
      <c r="B32" s="146">
        <f t="shared" si="7"/>
        <v>376541</v>
      </c>
      <c r="C32" s="147">
        <f>[1]budgets!$C$50/2</f>
        <v>376541</v>
      </c>
      <c r="D32" s="147"/>
      <c r="E32" s="147">
        <f t="shared" si="8"/>
        <v>0</v>
      </c>
      <c r="F32" s="147"/>
      <c r="G32" s="147">
        <f>C32</f>
        <v>376541</v>
      </c>
      <c r="H32" s="147"/>
      <c r="I32" s="147"/>
      <c r="J32" s="147"/>
      <c r="K32" s="147"/>
      <c r="L32" s="147"/>
      <c r="M32" s="147"/>
      <c r="N32" s="147"/>
      <c r="O32" s="147"/>
      <c r="P32" s="147"/>
      <c r="Q32" s="147"/>
      <c r="R32" s="550">
        <f t="shared" si="9"/>
        <v>376541</v>
      </c>
      <c r="S32" s="147">
        <f t="shared" si="10"/>
        <v>376541</v>
      </c>
      <c r="T32" s="147"/>
      <c r="U32" s="143"/>
    </row>
    <row r="33" spans="1:21" s="144" customFormat="1">
      <c r="A33" s="145" t="s">
        <v>138</v>
      </c>
      <c r="B33" s="146">
        <f t="shared" si="7"/>
        <v>376541</v>
      </c>
      <c r="C33" s="147">
        <f>C32</f>
        <v>376541</v>
      </c>
      <c r="D33" s="147"/>
      <c r="E33" s="147">
        <f t="shared" si="8"/>
        <v>0</v>
      </c>
      <c r="F33" s="147"/>
      <c r="G33" s="147">
        <f>C33</f>
        <v>376541</v>
      </c>
      <c r="H33" s="147"/>
      <c r="I33" s="147"/>
      <c r="J33" s="147"/>
      <c r="K33" s="147"/>
      <c r="L33" s="147"/>
      <c r="M33" s="147"/>
      <c r="N33" s="147"/>
      <c r="O33" s="147"/>
      <c r="P33" s="147"/>
      <c r="Q33" s="147"/>
      <c r="R33" s="550">
        <f t="shared" si="9"/>
        <v>376541</v>
      </c>
      <c r="S33" s="147">
        <f t="shared" si="10"/>
        <v>376541</v>
      </c>
      <c r="T33" s="147"/>
      <c r="U33" s="143"/>
    </row>
    <row r="34" spans="1:21" s="144" customFormat="1">
      <c r="A34" s="145" t="s">
        <v>139</v>
      </c>
      <c r="B34" s="146">
        <f t="shared" ca="1" si="7"/>
        <v>3137247.5</v>
      </c>
      <c r="C34" s="147">
        <f ca="1">0.2*(C30+C29)</f>
        <v>3137247.5</v>
      </c>
      <c r="D34" s="147"/>
      <c r="E34" s="147">
        <f t="shared" ca="1" si="8"/>
        <v>0</v>
      </c>
      <c r="F34" s="147"/>
      <c r="G34" s="147">
        <f ca="1">C34</f>
        <v>3137247.5</v>
      </c>
      <c r="H34" s="147"/>
      <c r="I34" s="147"/>
      <c r="J34" s="147"/>
      <c r="K34" s="147"/>
      <c r="L34" s="147"/>
      <c r="M34" s="147"/>
      <c r="N34" s="147"/>
      <c r="O34" s="147"/>
      <c r="P34" s="147"/>
      <c r="Q34" s="147"/>
      <c r="R34" s="550">
        <f t="shared" ca="1" si="9"/>
        <v>3137247.5</v>
      </c>
      <c r="S34" s="147">
        <f t="shared" ca="1" si="10"/>
        <v>3137247.5</v>
      </c>
      <c r="T34" s="147"/>
      <c r="U34" s="143"/>
    </row>
    <row r="35" spans="1:21" s="144" customFormat="1">
      <c r="A35" s="145" t="s">
        <v>140</v>
      </c>
      <c r="B35" s="146">
        <f t="shared" si="7"/>
        <v>428566</v>
      </c>
      <c r="C35" s="147">
        <f>[1]budgets!$C$49</f>
        <v>428566</v>
      </c>
      <c r="D35" s="147"/>
      <c r="E35" s="147">
        <f t="shared" si="8"/>
        <v>0</v>
      </c>
      <c r="F35" s="147"/>
      <c r="G35" s="147">
        <f>C35</f>
        <v>428566</v>
      </c>
      <c r="H35" s="147"/>
      <c r="I35" s="147"/>
      <c r="J35" s="147"/>
      <c r="K35" s="147"/>
      <c r="L35" s="147"/>
      <c r="M35" s="147"/>
      <c r="N35" s="147"/>
      <c r="O35" s="147"/>
      <c r="P35" s="147"/>
      <c r="Q35" s="147"/>
      <c r="R35" s="550">
        <f t="shared" si="9"/>
        <v>428566</v>
      </c>
      <c r="S35" s="147">
        <f t="shared" si="10"/>
        <v>428566</v>
      </c>
      <c r="T35" s="147"/>
      <c r="U35" s="143"/>
    </row>
    <row r="36" spans="1:21" s="144" customFormat="1">
      <c r="A36" s="304" t="s">
        <v>1751</v>
      </c>
      <c r="B36" s="146">
        <f t="shared" si="7"/>
        <v>156000</v>
      </c>
      <c r="C36" s="147">
        <f>[1]budgets!$C$93</f>
        <v>156000</v>
      </c>
      <c r="D36" s="147"/>
      <c r="E36" s="147">
        <f t="shared" si="8"/>
        <v>156000</v>
      </c>
      <c r="F36" s="147"/>
      <c r="G36" s="147"/>
      <c r="H36" s="147"/>
      <c r="I36" s="147"/>
      <c r="J36" s="147"/>
      <c r="K36" s="147"/>
      <c r="L36" s="147"/>
      <c r="M36" s="147"/>
      <c r="N36" s="147"/>
      <c r="O36" s="147"/>
      <c r="P36" s="147"/>
      <c r="Q36" s="147"/>
      <c r="R36" s="550">
        <f t="shared" si="9"/>
        <v>156000</v>
      </c>
      <c r="S36" s="147">
        <f t="shared" si="10"/>
        <v>156000</v>
      </c>
      <c r="T36" s="147"/>
      <c r="U36" s="143"/>
    </row>
    <row r="37" spans="1:21" s="144" customFormat="1">
      <c r="A37" s="1193" t="s">
        <v>2757</v>
      </c>
      <c r="B37" s="146">
        <f t="shared" si="7"/>
        <v>178264</v>
      </c>
      <c r="C37" s="147">
        <f>[1]budgets!$C$51</f>
        <v>178264</v>
      </c>
      <c r="D37" s="147"/>
      <c r="E37" s="147">
        <f t="shared" si="8"/>
        <v>178264</v>
      </c>
      <c r="F37" s="147"/>
      <c r="G37" s="147"/>
      <c r="H37" s="147"/>
      <c r="I37" s="147"/>
      <c r="J37" s="147"/>
      <c r="K37" s="147"/>
      <c r="L37" s="147"/>
      <c r="M37" s="147"/>
      <c r="N37" s="147"/>
      <c r="O37" s="147"/>
      <c r="P37" s="147"/>
      <c r="Q37" s="147"/>
      <c r="R37" s="550">
        <f t="shared" si="9"/>
        <v>178264</v>
      </c>
      <c r="S37" s="147">
        <f t="shared" si="10"/>
        <v>178264</v>
      </c>
      <c r="T37" s="147"/>
      <c r="U37" s="143"/>
    </row>
    <row r="38" spans="1:21" s="144" customFormat="1">
      <c r="A38" s="149" t="s">
        <v>143</v>
      </c>
      <c r="B38" s="146">
        <f t="shared" ca="1" si="7"/>
        <v>22215186</v>
      </c>
      <c r="C38" s="146">
        <f ca="1">SUM(C29:C37)</f>
        <v>22215186</v>
      </c>
      <c r="D38" s="146">
        <f t="shared" ref="D38:Q38" si="11">SUM(D29:D37)</f>
        <v>0</v>
      </c>
      <c r="E38" s="146">
        <f t="shared" ca="1" si="11"/>
        <v>5004163</v>
      </c>
      <c r="F38" s="146">
        <f t="shared" si="11"/>
        <v>1207800</v>
      </c>
      <c r="G38" s="146">
        <f t="shared" ca="1" si="11"/>
        <v>9761541</v>
      </c>
      <c r="H38" s="146">
        <f t="shared" si="11"/>
        <v>5000000</v>
      </c>
      <c r="I38" s="146">
        <f t="shared" si="11"/>
        <v>551582</v>
      </c>
      <c r="J38" s="146">
        <f t="shared" si="11"/>
        <v>690000</v>
      </c>
      <c r="K38" s="146">
        <f t="shared" si="11"/>
        <v>0</v>
      </c>
      <c r="L38" s="146">
        <f t="shared" si="11"/>
        <v>100</v>
      </c>
      <c r="M38" s="146">
        <f t="shared" si="11"/>
        <v>0</v>
      </c>
      <c r="N38" s="146">
        <f t="shared" si="11"/>
        <v>0</v>
      </c>
      <c r="O38" s="146">
        <f t="shared" si="11"/>
        <v>0</v>
      </c>
      <c r="P38" s="146">
        <f t="shared" si="11"/>
        <v>0</v>
      </c>
      <c r="Q38" s="146">
        <f t="shared" si="11"/>
        <v>0</v>
      </c>
      <c r="R38" s="370">
        <f ca="1">SUM(R29:R37)</f>
        <v>22215186</v>
      </c>
      <c r="S38" s="150">
        <f ca="1">SUM(S29:S37)</f>
        <v>22215186</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674173.60000000009</v>
      </c>
      <c r="C40" s="147">
        <f>[1]budgets!$C$55</f>
        <v>674173.60000000009</v>
      </c>
      <c r="D40" s="147"/>
      <c r="E40" s="147">
        <f t="shared" ref="E40:E41" si="12">B40-SUM(F40:M40)</f>
        <v>674173.60000000009</v>
      </c>
      <c r="F40" s="147"/>
      <c r="G40" s="147"/>
      <c r="H40" s="147"/>
      <c r="I40" s="147"/>
      <c r="J40" s="147"/>
      <c r="K40" s="147"/>
      <c r="L40" s="147"/>
      <c r="M40" s="147"/>
      <c r="N40" s="147"/>
      <c r="O40" s="147"/>
      <c r="P40" s="147"/>
      <c r="Q40" s="147"/>
      <c r="R40" s="550">
        <f>SUM(E40:Q40)</f>
        <v>674173.60000000009</v>
      </c>
      <c r="S40" s="147">
        <f>R40</f>
        <v>674173.60000000009</v>
      </c>
      <c r="T40" s="147"/>
      <c r="U40" s="143"/>
    </row>
    <row r="41" spans="1:21" s="144" customFormat="1">
      <c r="A41" s="145" t="s">
        <v>146</v>
      </c>
      <c r="B41" s="146">
        <f>SUM(C41+D41)</f>
        <v>168543.39999999991</v>
      </c>
      <c r="C41" s="147">
        <f>[1]budgets!$C$56</f>
        <v>168543.39999999991</v>
      </c>
      <c r="D41" s="147"/>
      <c r="E41" s="147">
        <f t="shared" si="12"/>
        <v>168543.39999999991</v>
      </c>
      <c r="F41" s="147"/>
      <c r="G41" s="147"/>
      <c r="H41" s="147"/>
      <c r="I41" s="147"/>
      <c r="J41" s="147"/>
      <c r="K41" s="147"/>
      <c r="L41" s="147"/>
      <c r="M41" s="147"/>
      <c r="N41" s="147"/>
      <c r="O41" s="147"/>
      <c r="P41" s="147"/>
      <c r="Q41" s="147"/>
      <c r="R41" s="550">
        <f>SUM(E41:Q41)</f>
        <v>168543.39999999991</v>
      </c>
      <c r="S41" s="147">
        <f>R41</f>
        <v>168543.39999999991</v>
      </c>
      <c r="T41" s="147"/>
      <c r="U41" s="143"/>
    </row>
    <row r="42" spans="1:21" s="144" customFormat="1">
      <c r="A42" s="149" t="s">
        <v>147</v>
      </c>
      <c r="B42" s="146">
        <f>SUM(C42:D42)</f>
        <v>842717</v>
      </c>
      <c r="C42" s="146">
        <f>SUM(C39:C41)</f>
        <v>842717</v>
      </c>
      <c r="D42" s="146">
        <f>SUM(D39:D41)</f>
        <v>0</v>
      </c>
      <c r="E42" s="146">
        <f t="shared" ref="E42:T42" si="13">SUM(E40:E41)</f>
        <v>842717</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842717</v>
      </c>
      <c r="S42" s="150">
        <f t="shared" si="13"/>
        <v>842717</v>
      </c>
      <c r="T42" s="150">
        <f t="shared" si="13"/>
        <v>0</v>
      </c>
      <c r="U42" s="143"/>
    </row>
    <row r="43" spans="1:21" s="144" customFormat="1">
      <c r="A43" s="149" t="s">
        <v>148</v>
      </c>
      <c r="B43" s="146">
        <f>SUM(C43:D43)</f>
        <v>418167</v>
      </c>
      <c r="C43" s="147">
        <f>[1]budgets!$C$58</f>
        <v>418167</v>
      </c>
      <c r="D43" s="147"/>
      <c r="E43" s="147">
        <f t="shared" ref="E43" si="14">B43-SUM(F43:M43)</f>
        <v>418167</v>
      </c>
      <c r="F43" s="147"/>
      <c r="G43" s="147"/>
      <c r="H43" s="147"/>
      <c r="I43" s="147"/>
      <c r="J43" s="147"/>
      <c r="K43" s="147"/>
      <c r="L43" s="147"/>
      <c r="M43" s="147"/>
      <c r="N43" s="147"/>
      <c r="O43" s="147"/>
      <c r="P43" s="147"/>
      <c r="Q43" s="147"/>
      <c r="R43" s="550">
        <f>SUM(E43:Q43)</f>
        <v>418167</v>
      </c>
      <c r="S43" s="147">
        <f>R43</f>
        <v>418167</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3262269.3423301158</v>
      </c>
      <c r="C45" s="147">
        <f>[1]budgets!$C$60</f>
        <v>3262269.3423301158</v>
      </c>
      <c r="D45" s="147"/>
      <c r="E45" s="147">
        <f t="shared" ref="E45:E53" si="16">B45-SUM(F45:M45)</f>
        <v>3262269.3423301158</v>
      </c>
      <c r="F45" s="147"/>
      <c r="G45" s="147"/>
      <c r="H45" s="147"/>
      <c r="I45" s="147"/>
      <c r="J45" s="147"/>
      <c r="K45" s="147"/>
      <c r="L45" s="147"/>
      <c r="M45" s="147"/>
      <c r="N45" s="147"/>
      <c r="O45" s="147"/>
      <c r="P45" s="147"/>
      <c r="Q45" s="147"/>
      <c r="R45" s="550">
        <f t="shared" ref="R45:R53" si="17">SUM(E45:Q45)</f>
        <v>3262269.3423301158</v>
      </c>
      <c r="S45" s="147">
        <f>[1]budgets!$F$60</f>
        <v>1576342.0336323818</v>
      </c>
      <c r="T45" s="147"/>
      <c r="U45" s="143"/>
    </row>
    <row r="46" spans="1:21" s="144" customFormat="1">
      <c r="A46" s="145" t="s">
        <v>151</v>
      </c>
      <c r="B46" s="146">
        <f t="shared" si="15"/>
        <v>252311.27704372813</v>
      </c>
      <c r="C46" s="147">
        <f>[1]budgets!$C$62</f>
        <v>252311.27704372813</v>
      </c>
      <c r="D46" s="147"/>
      <c r="E46" s="147">
        <f t="shared" si="16"/>
        <v>252311.27704372813</v>
      </c>
      <c r="F46" s="147"/>
      <c r="G46" s="147"/>
      <c r="H46" s="147"/>
      <c r="I46" s="147"/>
      <c r="J46" s="147"/>
      <c r="K46" s="147"/>
      <c r="L46" s="147"/>
      <c r="M46" s="147"/>
      <c r="N46" s="147"/>
      <c r="O46" s="147"/>
      <c r="P46" s="147"/>
      <c r="Q46" s="147"/>
      <c r="R46" s="550">
        <f t="shared" si="17"/>
        <v>252311.27704372813</v>
      </c>
      <c r="S46" s="147">
        <f>[1]budgets!$F$62</f>
        <v>20721.215989098448</v>
      </c>
      <c r="T46" s="147"/>
      <c r="U46" s="143"/>
    </row>
    <row r="47" spans="1:21" s="144" customFormat="1">
      <c r="A47" s="198" t="s">
        <v>152</v>
      </c>
      <c r="B47" s="146">
        <f t="shared" si="15"/>
        <v>0</v>
      </c>
      <c r="C47" s="147"/>
      <c r="D47" s="147"/>
      <c r="E47" s="147">
        <f t="shared" si="16"/>
        <v>0</v>
      </c>
      <c r="F47" s="147"/>
      <c r="G47" s="147"/>
      <c r="H47" s="147"/>
      <c r="I47" s="147"/>
      <c r="J47" s="147"/>
      <c r="K47" s="147"/>
      <c r="L47" s="147"/>
      <c r="M47" s="147"/>
      <c r="N47" s="147"/>
      <c r="O47" s="147"/>
      <c r="P47" s="147"/>
      <c r="Q47" s="147"/>
      <c r="R47" s="550">
        <f t="shared" si="17"/>
        <v>0</v>
      </c>
      <c r="S47" s="147"/>
      <c r="T47" s="147"/>
      <c r="U47" s="143"/>
    </row>
    <row r="48" spans="1:21" s="144" customFormat="1">
      <c r="A48" s="145" t="s">
        <v>153</v>
      </c>
      <c r="B48" s="146">
        <f t="shared" si="15"/>
        <v>0</v>
      </c>
      <c r="C48" s="147"/>
      <c r="D48" s="147"/>
      <c r="E48" s="147">
        <f t="shared" si="16"/>
        <v>0</v>
      </c>
      <c r="F48" s="147"/>
      <c r="G48" s="147"/>
      <c r="H48" s="147"/>
      <c r="I48" s="147"/>
      <c r="J48" s="147"/>
      <c r="K48" s="147"/>
      <c r="L48" s="147"/>
      <c r="M48" s="147"/>
      <c r="N48" s="147"/>
      <c r="O48" s="147"/>
      <c r="P48" s="147"/>
      <c r="Q48" s="147"/>
      <c r="R48" s="550">
        <f t="shared" si="17"/>
        <v>0</v>
      </c>
      <c r="S48" s="147"/>
      <c r="T48" s="147"/>
      <c r="U48" s="143"/>
    </row>
    <row r="49" spans="1:21" s="144" customFormat="1">
      <c r="A49" s="145" t="s">
        <v>57</v>
      </c>
      <c r="B49" s="146">
        <f t="shared" si="15"/>
        <v>142755.17834274643</v>
      </c>
      <c r="C49" s="147">
        <f>[1]budgets!$C$73</f>
        <v>142755.17834274643</v>
      </c>
      <c r="D49" s="147"/>
      <c r="E49" s="147">
        <f t="shared" si="16"/>
        <v>142755.17834274643</v>
      </c>
      <c r="F49" s="147"/>
      <c r="G49" s="147"/>
      <c r="H49" s="147"/>
      <c r="I49" s="147"/>
      <c r="J49" s="147"/>
      <c r="K49" s="147"/>
      <c r="L49" s="147"/>
      <c r="M49" s="147"/>
      <c r="N49" s="147"/>
      <c r="O49" s="147"/>
      <c r="P49" s="147"/>
      <c r="Q49" s="147"/>
      <c r="R49" s="550">
        <f t="shared" si="17"/>
        <v>142755.17834274643</v>
      </c>
      <c r="S49" s="147">
        <f>[1]budgets!$F$73</f>
        <v>11723.85522621589</v>
      </c>
      <c r="T49" s="147"/>
      <c r="U49" s="143"/>
    </row>
    <row r="50" spans="1:21" s="144" customFormat="1">
      <c r="A50" s="145" t="s">
        <v>156</v>
      </c>
      <c r="B50" s="146">
        <f t="shared" si="15"/>
        <v>100000</v>
      </c>
      <c r="C50" s="147">
        <f>[1]budgets!$C$65</f>
        <v>100000</v>
      </c>
      <c r="D50" s="147"/>
      <c r="E50" s="147">
        <f t="shared" si="16"/>
        <v>100000</v>
      </c>
      <c r="F50" s="147"/>
      <c r="G50" s="147"/>
      <c r="H50" s="147"/>
      <c r="I50" s="147"/>
      <c r="J50" s="147"/>
      <c r="K50" s="147"/>
      <c r="L50" s="147"/>
      <c r="M50" s="147"/>
      <c r="N50" s="147"/>
      <c r="O50" s="147"/>
      <c r="P50" s="147"/>
      <c r="Q50" s="147"/>
      <c r="R50" s="550">
        <f t="shared" si="17"/>
        <v>100000</v>
      </c>
      <c r="S50" s="147">
        <f>[1]budgets!$F$65</f>
        <v>100000</v>
      </c>
      <c r="T50" s="147"/>
      <c r="U50" s="143"/>
    </row>
    <row r="51" spans="1:21" s="144" customFormat="1">
      <c r="A51" s="304" t="s">
        <v>154</v>
      </c>
      <c r="B51" s="146">
        <f t="shared" si="15"/>
        <v>85000</v>
      </c>
      <c r="C51" s="147">
        <f>[1]budgets!$C$63</f>
        <v>85000</v>
      </c>
      <c r="D51" s="147"/>
      <c r="E51" s="147">
        <f t="shared" si="16"/>
        <v>85000</v>
      </c>
      <c r="F51" s="147"/>
      <c r="G51" s="147"/>
      <c r="H51" s="147"/>
      <c r="I51" s="147"/>
      <c r="J51" s="147"/>
      <c r="K51" s="147"/>
      <c r="L51" s="147"/>
      <c r="M51" s="147"/>
      <c r="N51" s="147"/>
      <c r="O51" s="147"/>
      <c r="P51" s="147"/>
      <c r="Q51" s="147"/>
      <c r="R51" s="550">
        <f t="shared" si="17"/>
        <v>85000</v>
      </c>
      <c r="S51" s="147">
        <f>[1]budgets!$C$63</f>
        <v>85000</v>
      </c>
      <c r="T51" s="147"/>
      <c r="U51" s="143"/>
    </row>
    <row r="52" spans="1:21" s="144" customFormat="1">
      <c r="A52" s="145" t="s">
        <v>155</v>
      </c>
      <c r="B52" s="146">
        <f t="shared" si="15"/>
        <v>400000</v>
      </c>
      <c r="C52" s="147">
        <f>[1]budgets!$C$64</f>
        <v>400000</v>
      </c>
      <c r="D52" s="147"/>
      <c r="E52" s="147">
        <f t="shared" si="16"/>
        <v>400000</v>
      </c>
      <c r="F52" s="147"/>
      <c r="G52" s="147"/>
      <c r="H52" s="147"/>
      <c r="I52" s="147"/>
      <c r="J52" s="147"/>
      <c r="K52" s="147"/>
      <c r="L52" s="147"/>
      <c r="M52" s="147"/>
      <c r="N52" s="147"/>
      <c r="O52" s="147"/>
      <c r="P52" s="147"/>
      <c r="Q52" s="147"/>
      <c r="R52" s="550">
        <f t="shared" si="17"/>
        <v>400000</v>
      </c>
      <c r="S52" s="147">
        <f>[1]budgets!$C$64</f>
        <v>400000</v>
      </c>
      <c r="T52" s="147"/>
      <c r="U52" s="143"/>
    </row>
    <row r="53" spans="1:21" s="144" customFormat="1">
      <c r="A53" s="1193" t="s">
        <v>34</v>
      </c>
      <c r="B53" s="146">
        <f t="shared" si="15"/>
        <v>0</v>
      </c>
      <c r="C53" s="147"/>
      <c r="D53" s="147"/>
      <c r="E53" s="147">
        <f t="shared" si="16"/>
        <v>0</v>
      </c>
      <c r="F53" s="147"/>
      <c r="G53" s="147"/>
      <c r="H53" s="147"/>
      <c r="I53" s="147"/>
      <c r="J53" s="147"/>
      <c r="K53" s="147"/>
      <c r="L53" s="147"/>
      <c r="M53" s="147"/>
      <c r="N53" s="147"/>
      <c r="O53" s="147"/>
      <c r="P53" s="147"/>
      <c r="Q53" s="147"/>
      <c r="R53" s="550">
        <f t="shared" si="17"/>
        <v>0</v>
      </c>
      <c r="S53" s="147"/>
      <c r="T53" s="147"/>
      <c r="U53" s="143"/>
    </row>
    <row r="54" spans="1:21" s="153" customFormat="1">
      <c r="A54" s="149" t="s">
        <v>157</v>
      </c>
      <c r="B54" s="150">
        <f>SUM(C54:D54)</f>
        <v>4242335.7977165906</v>
      </c>
      <c r="C54" s="150">
        <f t="shared" ref="C54:T54" si="18">SUM(C45:C53)</f>
        <v>4242335.7977165906</v>
      </c>
      <c r="D54" s="150">
        <f t="shared" si="18"/>
        <v>0</v>
      </c>
      <c r="E54" s="150">
        <f t="shared" si="18"/>
        <v>4242335.7977165906</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4242335.7977165906</v>
      </c>
      <c r="S54" s="150">
        <f t="shared" si="18"/>
        <v>2193787.1048476961</v>
      </c>
      <c r="T54" s="150">
        <f t="shared" si="18"/>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12078</v>
      </c>
      <c r="C56" s="147">
        <f>[1]budgets!$C$68</f>
        <v>12078</v>
      </c>
      <c r="D56" s="147"/>
      <c r="E56" s="147">
        <f t="shared" ref="E56:E61" si="20">B56-SUM(F56:M56)</f>
        <v>12078</v>
      </c>
      <c r="F56" s="147"/>
      <c r="G56" s="147"/>
      <c r="H56" s="147"/>
      <c r="I56" s="147"/>
      <c r="J56" s="147"/>
      <c r="K56" s="147"/>
      <c r="L56" s="147"/>
      <c r="M56" s="147"/>
      <c r="N56" s="147"/>
      <c r="O56" s="147"/>
      <c r="P56" s="147"/>
      <c r="Q56" s="147"/>
      <c r="R56" s="550">
        <f t="shared" ref="R56:R61" si="21">SUM(E56:Q56)</f>
        <v>12078</v>
      </c>
      <c r="S56" s="148"/>
      <c r="T56" s="148"/>
      <c r="U56" s="143"/>
    </row>
    <row r="57" spans="1:21" s="204" customFormat="1">
      <c r="A57" s="198" t="s">
        <v>152</v>
      </c>
      <c r="B57" s="205">
        <f t="shared" si="19"/>
        <v>0</v>
      </c>
      <c r="C57" s="202"/>
      <c r="D57" s="202"/>
      <c r="E57" s="202">
        <f t="shared" si="20"/>
        <v>0</v>
      </c>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10000</v>
      </c>
      <c r="C58" s="147">
        <f>[1]budgets!$C$71</f>
        <v>10000</v>
      </c>
      <c r="D58" s="147"/>
      <c r="E58" s="147">
        <f t="shared" si="20"/>
        <v>10000</v>
      </c>
      <c r="F58" s="147"/>
      <c r="G58" s="147"/>
      <c r="H58" s="147"/>
      <c r="I58" s="147"/>
      <c r="J58" s="147"/>
      <c r="K58" s="147"/>
      <c r="L58" s="147"/>
      <c r="M58" s="147"/>
      <c r="N58" s="147"/>
      <c r="O58" s="147"/>
      <c r="P58" s="147"/>
      <c r="Q58" s="147"/>
      <c r="R58" s="550">
        <f t="shared" si="21"/>
        <v>10000</v>
      </c>
      <c r="S58" s="148"/>
      <c r="T58" s="148"/>
      <c r="U58" s="143"/>
    </row>
    <row r="59" spans="1:21" s="144" customFormat="1">
      <c r="A59" s="304" t="s">
        <v>154</v>
      </c>
      <c r="B59" s="146">
        <f t="shared" si="19"/>
        <v>0</v>
      </c>
      <c r="C59" s="147"/>
      <c r="D59" s="147"/>
      <c r="E59" s="147">
        <f t="shared" si="20"/>
        <v>0</v>
      </c>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f t="shared" si="20"/>
        <v>0</v>
      </c>
      <c r="F60" s="147"/>
      <c r="G60" s="147"/>
      <c r="H60" s="147"/>
      <c r="I60" s="147"/>
      <c r="J60" s="147"/>
      <c r="K60" s="147"/>
      <c r="L60" s="147"/>
      <c r="M60" s="147"/>
      <c r="N60" s="147"/>
      <c r="O60" s="147"/>
      <c r="P60" s="147"/>
      <c r="Q60" s="147"/>
      <c r="R60" s="550">
        <f t="shared" si="21"/>
        <v>0</v>
      </c>
      <c r="S60" s="148"/>
      <c r="T60" s="148"/>
      <c r="U60" s="143"/>
    </row>
    <row r="61" spans="1:21" s="144" customFormat="1">
      <c r="A61" s="1193" t="s">
        <v>34</v>
      </c>
      <c r="B61" s="146">
        <f t="shared" si="19"/>
        <v>0</v>
      </c>
      <c r="C61" s="147"/>
      <c r="D61" s="147"/>
      <c r="E61" s="147">
        <f t="shared" si="20"/>
        <v>0</v>
      </c>
      <c r="F61" s="147"/>
      <c r="G61" s="147"/>
      <c r="H61" s="147"/>
      <c r="I61" s="147"/>
      <c r="J61" s="147"/>
      <c r="K61" s="147"/>
      <c r="L61" s="147"/>
      <c r="M61" s="147"/>
      <c r="N61" s="147"/>
      <c r="O61" s="147"/>
      <c r="P61" s="147"/>
      <c r="Q61" s="147"/>
      <c r="R61" s="550">
        <f t="shared" si="21"/>
        <v>0</v>
      </c>
      <c r="S61" s="148"/>
      <c r="T61" s="148"/>
      <c r="U61" s="143"/>
    </row>
    <row r="62" spans="1:21" s="144" customFormat="1" ht="13.75" customHeight="1">
      <c r="A62" s="149" t="s">
        <v>302</v>
      </c>
      <c r="B62" s="146">
        <f>SUM(C62:D62)</f>
        <v>22078</v>
      </c>
      <c r="C62" s="146">
        <f t="shared" ref="C62:R62" si="22">SUM(C56:C61)</f>
        <v>22078</v>
      </c>
      <c r="D62" s="146">
        <f t="shared" si="22"/>
        <v>0</v>
      </c>
      <c r="E62" s="146">
        <f t="shared" si="22"/>
        <v>22078</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22078</v>
      </c>
      <c r="S62" s="148"/>
      <c r="T62" s="148"/>
      <c r="U62" s="143"/>
    </row>
    <row r="63" spans="1:21" s="144" customFormat="1">
      <c r="A63" s="154" t="s">
        <v>303</v>
      </c>
      <c r="B63" s="146">
        <f t="shared" ref="B63:R63" ca="1" si="23">SUM(B8+B11+B13+B14+B15+B26+B27+B38+B42+B43+B54+B62)</f>
        <v>28149982.797716592</v>
      </c>
      <c r="C63" s="146">
        <f t="shared" ca="1" si="23"/>
        <v>28149982.797716592</v>
      </c>
      <c r="D63" s="146">
        <f t="shared" si="23"/>
        <v>0</v>
      </c>
      <c r="E63" s="146">
        <f t="shared" ca="1" si="23"/>
        <v>10938959.797716592</v>
      </c>
      <c r="F63" s="146">
        <f t="shared" si="23"/>
        <v>1207800</v>
      </c>
      <c r="G63" s="146">
        <f t="shared" ca="1" si="23"/>
        <v>9761541</v>
      </c>
      <c r="H63" s="146">
        <f t="shared" si="23"/>
        <v>5000000</v>
      </c>
      <c r="I63" s="146">
        <f t="shared" si="23"/>
        <v>551582</v>
      </c>
      <c r="J63" s="146">
        <f t="shared" si="23"/>
        <v>690000</v>
      </c>
      <c r="K63" s="146">
        <f t="shared" si="23"/>
        <v>0</v>
      </c>
      <c r="L63" s="146">
        <f t="shared" si="23"/>
        <v>100</v>
      </c>
      <c r="M63" s="146">
        <f t="shared" si="23"/>
        <v>0</v>
      </c>
      <c r="N63" s="146">
        <f t="shared" si="23"/>
        <v>0</v>
      </c>
      <c r="O63" s="146">
        <f t="shared" si="23"/>
        <v>0</v>
      </c>
      <c r="P63" s="146">
        <f t="shared" si="23"/>
        <v>0</v>
      </c>
      <c r="Q63" s="146">
        <f t="shared" si="23"/>
        <v>0</v>
      </c>
      <c r="R63" s="370">
        <f t="shared" ca="1" si="23"/>
        <v>28149982.797716592</v>
      </c>
      <c r="S63" s="146">
        <f ca="1">SUM(S10+S13+S14+S15+S26+S27+S38+S42+S43+S54)</f>
        <v>25669857.104847696</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47">
        <f>[1]budgets!$C$76</f>
        <v>85000</v>
      </c>
      <c r="D65" s="147"/>
      <c r="E65" s="147">
        <f t="shared" ref="E65:E69" si="24">B65-SUM(F65:M65)</f>
        <v>85000</v>
      </c>
      <c r="F65" s="147"/>
      <c r="G65" s="147"/>
      <c r="H65" s="147"/>
      <c r="I65" s="147"/>
      <c r="J65" s="147"/>
      <c r="K65" s="147"/>
      <c r="L65" s="147"/>
      <c r="M65" s="147"/>
      <c r="N65" s="147"/>
      <c r="O65" s="147"/>
      <c r="P65" s="147"/>
      <c r="Q65" s="147"/>
      <c r="R65" s="550">
        <f>SUM(E65:Q65)</f>
        <v>85000</v>
      </c>
      <c r="S65" s="147">
        <f>[1]budgets!$F$76</f>
        <v>6980.6763285024153</v>
      </c>
      <c r="T65" s="147"/>
      <c r="U65" s="143"/>
    </row>
    <row r="66" spans="1:21" s="144" customFormat="1" ht="24" customHeight="1">
      <c r="A66" s="304" t="s">
        <v>1752</v>
      </c>
      <c r="B66" s="146">
        <f>SUM(C66+D66)</f>
        <v>0</v>
      </c>
      <c r="C66" s="147"/>
      <c r="D66" s="147"/>
      <c r="E66" s="147">
        <f t="shared" si="24"/>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f t="shared" si="24"/>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f t="shared" si="24"/>
        <v>0</v>
      </c>
      <c r="F68" s="147"/>
      <c r="G68" s="147"/>
      <c r="H68" s="147"/>
      <c r="I68" s="147"/>
      <c r="J68" s="147"/>
      <c r="K68" s="147"/>
      <c r="L68" s="147"/>
      <c r="M68" s="147"/>
      <c r="N68" s="147"/>
      <c r="O68" s="147"/>
      <c r="P68" s="147"/>
      <c r="Q68" s="147"/>
      <c r="R68" s="550">
        <f>SUM(E68:Q68)</f>
        <v>0</v>
      </c>
      <c r="S68" s="147"/>
      <c r="T68" s="147"/>
      <c r="U68" s="143"/>
    </row>
    <row r="69" spans="1:21" s="144" customFormat="1">
      <c r="A69" s="1193" t="s">
        <v>2762</v>
      </c>
      <c r="B69" s="146">
        <f>SUM(C69+D69)</f>
        <v>165000</v>
      </c>
      <c r="C69" s="147">
        <f>[1]budgets!$C$78+[1]budgets!$C$72</f>
        <v>165000</v>
      </c>
      <c r="D69" s="147"/>
      <c r="E69" s="147">
        <f t="shared" si="24"/>
        <v>165000</v>
      </c>
      <c r="F69" s="147"/>
      <c r="G69" s="147"/>
      <c r="H69" s="147"/>
      <c r="I69" s="147"/>
      <c r="J69" s="147"/>
      <c r="K69" s="147"/>
      <c r="L69" s="147"/>
      <c r="M69" s="147"/>
      <c r="N69" s="147"/>
      <c r="O69" s="147"/>
      <c r="P69" s="147"/>
      <c r="Q69" s="147"/>
      <c r="R69" s="550">
        <f>SUM(E69:Q69)</f>
        <v>165000</v>
      </c>
      <c r="S69" s="147">
        <f>[1]budgets!$F$78</f>
        <v>130000</v>
      </c>
      <c r="T69" s="147"/>
      <c r="U69" s="143"/>
    </row>
    <row r="70" spans="1:21" s="144" customFormat="1">
      <c r="A70" s="149" t="s">
        <v>1756</v>
      </c>
      <c r="B70" s="146">
        <f>SUM(C70:D70)</f>
        <v>250000</v>
      </c>
      <c r="C70" s="146">
        <f>SUM(C65:C69)</f>
        <v>250000</v>
      </c>
      <c r="D70" s="146">
        <f>SUM(D65:D69)</f>
        <v>0</v>
      </c>
      <c r="E70" s="146">
        <f t="shared" ref="E70:T70" si="25">SUM(E65:E69)</f>
        <v>250000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250000</v>
      </c>
      <c r="S70" s="150">
        <f t="shared" si="25"/>
        <v>136980.67632850242</v>
      </c>
      <c r="T70" s="150">
        <f t="shared" si="25"/>
        <v>0</v>
      </c>
      <c r="U70" s="143"/>
    </row>
    <row r="71" spans="1:21" s="144" customFormat="1" ht="12">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 t="shared" ref="E72:E76" si="26">B72-SUM(F72:M72)</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426000</v>
      </c>
      <c r="C75" s="147">
        <f>[1]budgets!$C$81</f>
        <v>426000</v>
      </c>
      <c r="D75" s="147"/>
      <c r="E75" s="147">
        <f t="shared" si="26"/>
        <v>426000</v>
      </c>
      <c r="F75" s="147"/>
      <c r="G75" s="147"/>
      <c r="H75" s="147"/>
      <c r="I75" s="147"/>
      <c r="J75" s="147"/>
      <c r="K75" s="147"/>
      <c r="L75" s="147"/>
      <c r="M75" s="147"/>
      <c r="N75" s="147"/>
      <c r="O75" s="147"/>
      <c r="P75" s="147"/>
      <c r="Q75" s="147"/>
      <c r="R75" s="550">
        <f>SUM(E75:Q75)</f>
        <v>426000</v>
      </c>
      <c r="S75" s="148"/>
      <c r="T75" s="148"/>
      <c r="U75" s="143"/>
    </row>
    <row r="76" spans="1:21" s="144" customFormat="1">
      <c r="A76" s="1193" t="s">
        <v>2758</v>
      </c>
      <c r="B76" s="146">
        <f>SUM(C76+D76)</f>
        <v>166319.99999999997</v>
      </c>
      <c r="C76" s="147">
        <f>[1]budgets!$C$85</f>
        <v>166319.99999999997</v>
      </c>
      <c r="D76" s="147"/>
      <c r="E76" s="147">
        <f t="shared" si="26"/>
        <v>166319.99999999997</v>
      </c>
      <c r="F76" s="147"/>
      <c r="G76" s="147"/>
      <c r="H76" s="147"/>
      <c r="I76" s="147"/>
      <c r="J76" s="147"/>
      <c r="K76" s="147"/>
      <c r="L76" s="147"/>
      <c r="M76" s="147"/>
      <c r="N76" s="147"/>
      <c r="O76" s="147"/>
      <c r="P76" s="147"/>
      <c r="Q76" s="147"/>
      <c r="R76" s="550">
        <f>SUM(E76:Q76)</f>
        <v>166319.99999999997</v>
      </c>
      <c r="S76" s="148"/>
      <c r="T76" s="148"/>
      <c r="U76" s="143"/>
    </row>
    <row r="77" spans="1:21" s="144" customFormat="1">
      <c r="A77" s="149" t="s">
        <v>614</v>
      </c>
      <c r="B77" s="146">
        <f>SUM(C77:D77)</f>
        <v>592320</v>
      </c>
      <c r="C77" s="146">
        <f>SUM(C72:C76)</f>
        <v>592320</v>
      </c>
      <c r="D77" s="146">
        <f>SUM(D72:D76)</f>
        <v>0</v>
      </c>
      <c r="E77" s="146">
        <f t="shared" ref="E77:Q77" si="27">SUM(E72:E76)</f>
        <v>592320</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592320</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2183551.16</v>
      </c>
      <c r="C79" s="147">
        <f>[1]budgets!$C$88</f>
        <v>2183551.16</v>
      </c>
      <c r="D79" s="147"/>
      <c r="E79" s="147">
        <f t="shared" ref="E79:E80" si="28">B79-SUM(F79:M79)</f>
        <v>2183551.16</v>
      </c>
      <c r="F79" s="147"/>
      <c r="G79" s="147"/>
      <c r="H79" s="147"/>
      <c r="I79" s="147"/>
      <c r="J79" s="147"/>
      <c r="K79" s="147"/>
      <c r="L79" s="147"/>
      <c r="M79" s="147"/>
      <c r="N79" s="147"/>
      <c r="O79" s="147"/>
      <c r="P79" s="147"/>
      <c r="Q79" s="147"/>
      <c r="R79" s="550">
        <f>SUM(E79:Q79)</f>
        <v>2183551.16</v>
      </c>
      <c r="S79" s="147">
        <f>R79</f>
        <v>2183551.16</v>
      </c>
      <c r="T79" s="147"/>
      <c r="U79" s="143"/>
    </row>
    <row r="80" spans="1:21" s="144" customFormat="1">
      <c r="A80" s="304" t="s">
        <v>58</v>
      </c>
      <c r="B80" s="146">
        <f>SUM(C80:D80)</f>
        <v>450000</v>
      </c>
      <c r="C80" s="147">
        <f>[1]budgets!$C$100</f>
        <v>450000</v>
      </c>
      <c r="D80" s="147"/>
      <c r="E80" s="147">
        <f t="shared" si="28"/>
        <v>450000</v>
      </c>
      <c r="F80" s="147"/>
      <c r="G80" s="147"/>
      <c r="H80" s="147"/>
      <c r="I80" s="147"/>
      <c r="J80" s="147"/>
      <c r="K80" s="147"/>
      <c r="L80" s="147"/>
      <c r="M80" s="147"/>
      <c r="N80" s="147"/>
      <c r="O80" s="147"/>
      <c r="P80" s="147"/>
      <c r="Q80" s="147"/>
      <c r="R80" s="550">
        <f>SUM(E80:Q80)</f>
        <v>450000</v>
      </c>
      <c r="S80" s="147">
        <f>R80</f>
        <v>450000</v>
      </c>
      <c r="T80" s="147"/>
      <c r="U80" s="143"/>
    </row>
    <row r="81" spans="1:21" s="144" customFormat="1">
      <c r="A81" s="149" t="s">
        <v>1315</v>
      </c>
      <c r="B81" s="146">
        <f>SUM(C81:D81)</f>
        <v>2633551.16</v>
      </c>
      <c r="C81" s="543">
        <f>SUM(C79:C80)</f>
        <v>2633551.16</v>
      </c>
      <c r="D81" s="543">
        <f t="shared" ref="D81:T81" si="29">SUM(D79:D80)</f>
        <v>0</v>
      </c>
      <c r="E81" s="543">
        <f t="shared" si="29"/>
        <v>2633551.16</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2633551.16</v>
      </c>
      <c r="S81" s="543">
        <f t="shared" si="29"/>
        <v>2633551.16</v>
      </c>
      <c r="T81" s="543">
        <f t="shared" si="29"/>
        <v>0</v>
      </c>
      <c r="U81" s="143"/>
    </row>
    <row r="82" spans="1:21" s="144" customFormat="1" ht="12">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2409</v>
      </c>
      <c r="B83" s="146">
        <f t="shared" ref="B83:B95" si="30">SUM(C83+D83)</f>
        <v>47327.863576470481</v>
      </c>
      <c r="C83" s="147">
        <f>[1]budgets!$C$90</f>
        <v>47327.863576470481</v>
      </c>
      <c r="D83" s="147"/>
      <c r="E83" s="147">
        <f t="shared" ref="E83:E95" si="31">B83-SUM(F83:M83)</f>
        <v>47327.863576470481</v>
      </c>
      <c r="F83" s="147"/>
      <c r="G83" s="147"/>
      <c r="H83" s="147"/>
      <c r="I83" s="147"/>
      <c r="J83" s="147"/>
      <c r="K83" s="147"/>
      <c r="L83" s="147"/>
      <c r="M83" s="147"/>
      <c r="N83" s="147"/>
      <c r="O83" s="147"/>
      <c r="P83" s="147"/>
      <c r="Q83" s="147"/>
      <c r="R83" s="550">
        <f t="shared" ref="R83:R95" si="32">SUM(E83:Q83)</f>
        <v>47327.863576470481</v>
      </c>
      <c r="S83" s="148"/>
      <c r="T83" s="148"/>
      <c r="U83" s="143"/>
    </row>
    <row r="84" spans="1:21" s="144" customFormat="1">
      <c r="A84" s="145" t="s">
        <v>776</v>
      </c>
      <c r="B84" s="146">
        <f t="shared" si="30"/>
        <v>92223</v>
      </c>
      <c r="C84" s="147">
        <f>[1]budgets!$C$92</f>
        <v>92223</v>
      </c>
      <c r="D84" s="147"/>
      <c r="E84" s="147">
        <f t="shared" si="31"/>
        <v>92223</v>
      </c>
      <c r="F84" s="147"/>
      <c r="G84" s="147"/>
      <c r="H84" s="147"/>
      <c r="I84" s="147"/>
      <c r="J84" s="147"/>
      <c r="K84" s="147"/>
      <c r="L84" s="147"/>
      <c r="M84" s="147"/>
      <c r="N84" s="147"/>
      <c r="O84" s="147"/>
      <c r="P84" s="147"/>
      <c r="Q84" s="147"/>
      <c r="R84" s="550">
        <f t="shared" si="32"/>
        <v>92223</v>
      </c>
      <c r="S84" s="147">
        <f>R84</f>
        <v>92223</v>
      </c>
      <c r="T84" s="147"/>
      <c r="U84" s="143"/>
    </row>
    <row r="85" spans="1:21" s="144" customFormat="1">
      <c r="A85" s="145" t="s">
        <v>777</v>
      </c>
      <c r="B85" s="146">
        <f t="shared" si="30"/>
        <v>1140992</v>
      </c>
      <c r="C85" s="147">
        <f>[1]budgets!$C$95</f>
        <v>1140992</v>
      </c>
      <c r="D85" s="147"/>
      <c r="E85" s="147">
        <f t="shared" si="31"/>
        <v>1140992</v>
      </c>
      <c r="F85" s="147"/>
      <c r="G85" s="147"/>
      <c r="H85" s="147"/>
      <c r="I85" s="147"/>
      <c r="J85" s="147"/>
      <c r="K85" s="147"/>
      <c r="L85" s="147"/>
      <c r="M85" s="147"/>
      <c r="N85" s="147"/>
      <c r="O85" s="147"/>
      <c r="P85" s="147"/>
      <c r="Q85" s="147"/>
      <c r="R85" s="550">
        <f t="shared" si="32"/>
        <v>1140992</v>
      </c>
      <c r="S85" s="147">
        <f>R85</f>
        <v>1140992</v>
      </c>
      <c r="T85" s="147"/>
      <c r="U85" s="143"/>
    </row>
    <row r="86" spans="1:21" s="144" customFormat="1">
      <c r="A86" s="145" t="s">
        <v>778</v>
      </c>
      <c r="B86" s="146">
        <f t="shared" si="30"/>
        <v>1285555</v>
      </c>
      <c r="C86" s="147">
        <f>[1]budgets!$C$96</f>
        <v>1285555</v>
      </c>
      <c r="D86" s="147"/>
      <c r="E86" s="147">
        <f t="shared" si="31"/>
        <v>1285555</v>
      </c>
      <c r="F86" s="147"/>
      <c r="G86" s="147"/>
      <c r="H86" s="147"/>
      <c r="I86" s="147"/>
      <c r="J86" s="147"/>
      <c r="K86" s="147"/>
      <c r="L86" s="147"/>
      <c r="M86" s="147"/>
      <c r="N86" s="147"/>
      <c r="O86" s="147"/>
      <c r="P86" s="147"/>
      <c r="Q86" s="147"/>
      <c r="R86" s="550">
        <f t="shared" si="32"/>
        <v>1285555</v>
      </c>
      <c r="S86" s="147">
        <f>R86</f>
        <v>1285555</v>
      </c>
      <c r="T86" s="147"/>
      <c r="U86" s="143"/>
    </row>
    <row r="87" spans="1:21" s="144" customFormat="1">
      <c r="A87" s="145" t="s">
        <v>779</v>
      </c>
      <c r="B87" s="146">
        <f t="shared" si="30"/>
        <v>0</v>
      </c>
      <c r="C87" s="147"/>
      <c r="D87" s="147"/>
      <c r="E87" s="147">
        <f t="shared" si="31"/>
        <v>0</v>
      </c>
      <c r="F87" s="147"/>
      <c r="G87" s="147"/>
      <c r="H87" s="147"/>
      <c r="I87" s="147"/>
      <c r="J87" s="147"/>
      <c r="K87" s="147"/>
      <c r="L87" s="147"/>
      <c r="M87" s="147"/>
      <c r="N87" s="147"/>
      <c r="O87" s="147"/>
      <c r="P87" s="147"/>
      <c r="Q87" s="147"/>
      <c r="R87" s="550">
        <f t="shared" si="32"/>
        <v>0</v>
      </c>
      <c r="S87" s="147"/>
      <c r="T87" s="147"/>
      <c r="U87" s="143"/>
    </row>
    <row r="88" spans="1:21" s="144" customFormat="1">
      <c r="A88" s="145" t="s">
        <v>780</v>
      </c>
      <c r="B88" s="146">
        <f t="shared" si="30"/>
        <v>306000</v>
      </c>
      <c r="C88" s="147">
        <f>[1]budgets!$C$98</f>
        <v>306000</v>
      </c>
      <c r="D88" s="147"/>
      <c r="E88" s="147">
        <f t="shared" si="31"/>
        <v>306000</v>
      </c>
      <c r="F88" s="147"/>
      <c r="G88" s="147"/>
      <c r="H88" s="147"/>
      <c r="I88" s="147"/>
      <c r="J88" s="147"/>
      <c r="K88" s="147"/>
      <c r="L88" s="147"/>
      <c r="M88" s="147"/>
      <c r="N88" s="147"/>
      <c r="O88" s="147"/>
      <c r="P88" s="147"/>
      <c r="Q88" s="147"/>
      <c r="R88" s="550">
        <f t="shared" si="32"/>
        <v>306000</v>
      </c>
      <c r="S88" s="148"/>
      <c r="T88" s="148"/>
      <c r="U88" s="143"/>
    </row>
    <row r="89" spans="1:21" s="144" customFormat="1">
      <c r="A89" s="145" t="s">
        <v>781</v>
      </c>
      <c r="B89" s="146">
        <f t="shared" si="30"/>
        <v>150500</v>
      </c>
      <c r="C89" s="147">
        <f>[1]budgets!$C$99</f>
        <v>150500</v>
      </c>
      <c r="D89" s="147"/>
      <c r="E89" s="147">
        <f t="shared" si="31"/>
        <v>150500</v>
      </c>
      <c r="F89" s="147"/>
      <c r="G89" s="147"/>
      <c r="H89" s="147"/>
      <c r="I89" s="147"/>
      <c r="J89" s="147"/>
      <c r="K89" s="147"/>
      <c r="L89" s="147"/>
      <c r="M89" s="147"/>
      <c r="N89" s="147"/>
      <c r="O89" s="147"/>
      <c r="P89" s="147"/>
      <c r="Q89" s="147"/>
      <c r="R89" s="550">
        <f t="shared" si="32"/>
        <v>150500</v>
      </c>
      <c r="S89" s="147">
        <f>R89</f>
        <v>150500</v>
      </c>
      <c r="T89" s="147"/>
      <c r="U89" s="143"/>
    </row>
    <row r="90" spans="1:21" s="144" customFormat="1">
      <c r="A90" s="145" t="s">
        <v>782</v>
      </c>
      <c r="B90" s="146">
        <f t="shared" si="30"/>
        <v>17000</v>
      </c>
      <c r="C90" s="147">
        <f>[1]budgets!$C$97</f>
        <v>17000</v>
      </c>
      <c r="D90" s="147"/>
      <c r="E90" s="147">
        <f t="shared" si="31"/>
        <v>17000</v>
      </c>
      <c r="F90" s="147"/>
      <c r="G90" s="147"/>
      <c r="H90" s="147"/>
      <c r="I90" s="147"/>
      <c r="J90" s="147"/>
      <c r="K90" s="147"/>
      <c r="L90" s="147"/>
      <c r="M90" s="147"/>
      <c r="N90" s="147"/>
      <c r="O90" s="147"/>
      <c r="P90" s="147"/>
      <c r="Q90" s="147"/>
      <c r="R90" s="550">
        <f t="shared" si="32"/>
        <v>17000</v>
      </c>
      <c r="S90" s="147"/>
      <c r="T90" s="147"/>
      <c r="U90" s="143"/>
    </row>
    <row r="91" spans="1:21" s="144" customFormat="1">
      <c r="A91" s="145" t="s">
        <v>372</v>
      </c>
      <c r="B91" s="146">
        <f t="shared" si="30"/>
        <v>0</v>
      </c>
      <c r="C91" s="147"/>
      <c r="D91" s="147"/>
      <c r="E91" s="147">
        <f t="shared" si="31"/>
        <v>0</v>
      </c>
      <c r="F91" s="147"/>
      <c r="G91" s="147"/>
      <c r="H91" s="147"/>
      <c r="I91" s="147"/>
      <c r="J91" s="147"/>
      <c r="K91" s="147"/>
      <c r="L91" s="147"/>
      <c r="M91" s="147"/>
      <c r="N91" s="147"/>
      <c r="O91" s="147"/>
      <c r="P91" s="147"/>
      <c r="Q91" s="147"/>
      <c r="R91" s="550">
        <f t="shared" si="32"/>
        <v>0</v>
      </c>
      <c r="S91" s="147"/>
      <c r="T91" s="147"/>
      <c r="U91" s="143"/>
    </row>
    <row r="92" spans="1:21" s="144" customFormat="1">
      <c r="A92" s="304" t="s">
        <v>1317</v>
      </c>
      <c r="B92" s="146">
        <f t="shared" si="30"/>
        <v>25000</v>
      </c>
      <c r="C92" s="147">
        <f>[1]budgets!$C$87</f>
        <v>25000</v>
      </c>
      <c r="D92" s="147"/>
      <c r="E92" s="147">
        <f t="shared" si="31"/>
        <v>25000</v>
      </c>
      <c r="F92" s="147"/>
      <c r="G92" s="147"/>
      <c r="H92" s="147"/>
      <c r="I92" s="147"/>
      <c r="J92" s="147"/>
      <c r="K92" s="147"/>
      <c r="L92" s="147"/>
      <c r="M92" s="147"/>
      <c r="N92" s="147"/>
      <c r="O92" s="147"/>
      <c r="P92" s="147"/>
      <c r="Q92" s="147"/>
      <c r="R92" s="550">
        <f t="shared" si="32"/>
        <v>25000</v>
      </c>
      <c r="S92" s="147">
        <f>R92</f>
        <v>25000</v>
      </c>
      <c r="T92" s="147"/>
      <c r="U92" s="143"/>
    </row>
    <row r="93" spans="1:21" s="144" customFormat="1">
      <c r="A93" s="1193" t="s">
        <v>2759</v>
      </c>
      <c r="B93" s="146">
        <f t="shared" si="30"/>
        <v>85000</v>
      </c>
      <c r="C93" s="147">
        <f>[1]budgets!$C$91</f>
        <v>85000</v>
      </c>
      <c r="D93" s="147"/>
      <c r="E93" s="147">
        <f t="shared" si="31"/>
        <v>85000</v>
      </c>
      <c r="F93" s="147"/>
      <c r="G93" s="147"/>
      <c r="H93" s="147"/>
      <c r="I93" s="147"/>
      <c r="J93" s="147"/>
      <c r="K93" s="147"/>
      <c r="L93" s="147"/>
      <c r="M93" s="147"/>
      <c r="N93" s="147"/>
      <c r="O93" s="147"/>
      <c r="P93" s="147"/>
      <c r="Q93" s="147"/>
      <c r="R93" s="550">
        <f t="shared" si="32"/>
        <v>85000</v>
      </c>
      <c r="S93" s="147">
        <f>R93</f>
        <v>85000</v>
      </c>
      <c r="T93" s="147"/>
      <c r="U93" s="143"/>
    </row>
    <row r="94" spans="1:21" s="144" customFormat="1">
      <c r="A94" s="1193" t="s">
        <v>2760</v>
      </c>
      <c r="B94" s="146">
        <f t="shared" si="30"/>
        <v>350000</v>
      </c>
      <c r="C94" s="147">
        <f>[1]budgets!$C$94</f>
        <v>350000</v>
      </c>
      <c r="D94" s="147"/>
      <c r="E94" s="147">
        <f t="shared" si="31"/>
        <v>350000</v>
      </c>
      <c r="F94" s="147"/>
      <c r="G94" s="147"/>
      <c r="H94" s="147"/>
      <c r="I94" s="147"/>
      <c r="J94" s="147"/>
      <c r="K94" s="147"/>
      <c r="L94" s="147"/>
      <c r="M94" s="147"/>
      <c r="N94" s="147"/>
      <c r="O94" s="147"/>
      <c r="P94" s="147"/>
      <c r="Q94" s="147"/>
      <c r="R94" s="550">
        <f t="shared" si="32"/>
        <v>350000</v>
      </c>
      <c r="S94" s="147">
        <f>R94</f>
        <v>350000</v>
      </c>
      <c r="T94" s="147"/>
      <c r="U94" s="143"/>
    </row>
    <row r="95" spans="1:21" s="144" customFormat="1">
      <c r="A95" s="1193" t="s">
        <v>34</v>
      </c>
      <c r="B95" s="146">
        <f t="shared" si="30"/>
        <v>0</v>
      </c>
      <c r="C95" s="147"/>
      <c r="D95" s="147"/>
      <c r="E95" s="147">
        <f t="shared" si="31"/>
        <v>0</v>
      </c>
      <c r="F95" s="147"/>
      <c r="G95" s="147"/>
      <c r="H95" s="147"/>
      <c r="I95" s="147"/>
      <c r="J95" s="147"/>
      <c r="K95" s="147"/>
      <c r="L95" s="147"/>
      <c r="M95" s="147"/>
      <c r="N95" s="147"/>
      <c r="O95" s="147"/>
      <c r="P95" s="147"/>
      <c r="Q95" s="147"/>
      <c r="R95" s="550">
        <f t="shared" si="32"/>
        <v>0</v>
      </c>
      <c r="S95" s="147"/>
      <c r="T95" s="147"/>
      <c r="U95" s="143"/>
    </row>
    <row r="96" spans="1:21" s="144" customFormat="1">
      <c r="A96" s="149" t="s">
        <v>783</v>
      </c>
      <c r="B96" s="146">
        <f>SUM(C96:D96)</f>
        <v>3499597.8635764704</v>
      </c>
      <c r="C96" s="146">
        <f t="shared" ref="C96:R96" si="33">SUM(C83:C95)</f>
        <v>3499597.8635764704</v>
      </c>
      <c r="D96" s="146">
        <f t="shared" si="33"/>
        <v>0</v>
      </c>
      <c r="E96" s="146">
        <f t="shared" si="33"/>
        <v>3499597.8635764704</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70">
        <f t="shared" si="33"/>
        <v>3499597.8635764704</v>
      </c>
      <c r="S96" s="150">
        <f>SUM(S84:S87,S89:S95)</f>
        <v>3129270</v>
      </c>
      <c r="T96" s="146">
        <f>SUM(T84:T87,T89:T95)</f>
        <v>0</v>
      </c>
      <c r="U96" s="143"/>
    </row>
    <row r="97" spans="1:21" s="144" customFormat="1">
      <c r="A97" s="149" t="s">
        <v>784</v>
      </c>
      <c r="B97" s="146">
        <f ca="1">SUM(C97:D97)</f>
        <v>35125451.821293063</v>
      </c>
      <c r="C97" s="146">
        <f t="shared" ref="C97:R97" ca="1" si="34">SUM(C63+C70+C77+C81+C96)</f>
        <v>35125451.821293063</v>
      </c>
      <c r="D97" s="146">
        <f t="shared" si="34"/>
        <v>0</v>
      </c>
      <c r="E97" s="146">
        <f t="shared" ca="1" si="34"/>
        <v>17914428.821293063</v>
      </c>
      <c r="F97" s="146">
        <f t="shared" si="34"/>
        <v>1207800</v>
      </c>
      <c r="G97" s="146">
        <f t="shared" ca="1" si="34"/>
        <v>9761541</v>
      </c>
      <c r="H97" s="146">
        <f t="shared" si="34"/>
        <v>5000000</v>
      </c>
      <c r="I97" s="146">
        <f t="shared" si="34"/>
        <v>551582</v>
      </c>
      <c r="J97" s="146">
        <f t="shared" si="34"/>
        <v>690000</v>
      </c>
      <c r="K97" s="146">
        <f t="shared" si="34"/>
        <v>0</v>
      </c>
      <c r="L97" s="146">
        <f t="shared" si="34"/>
        <v>100</v>
      </c>
      <c r="M97" s="146">
        <f t="shared" si="34"/>
        <v>0</v>
      </c>
      <c r="N97" s="146">
        <f t="shared" si="34"/>
        <v>0</v>
      </c>
      <c r="O97" s="146">
        <f t="shared" si="34"/>
        <v>0</v>
      </c>
      <c r="P97" s="146">
        <f t="shared" si="34"/>
        <v>0</v>
      </c>
      <c r="Q97" s="146">
        <f t="shared" si="34"/>
        <v>0</v>
      </c>
      <c r="R97" s="146">
        <f t="shared" ca="1" si="34"/>
        <v>35125451.821293063</v>
      </c>
      <c r="S97" s="146">
        <f ca="1">SUM(S63+S70+S81+S96)</f>
        <v>31569658.941176198</v>
      </c>
      <c r="T97" s="146">
        <f>SUM(T63+T70+T81+T96)</f>
        <v>0</v>
      </c>
      <c r="U97" s="143"/>
    </row>
    <row r="98" spans="1:21" s="144" customFormat="1" ht="12">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3000000</v>
      </c>
      <c r="C99" s="1014">
        <f>[1]budgets!$C$104</f>
        <v>3000000</v>
      </c>
      <c r="D99" s="1014"/>
      <c r="E99" s="1014">
        <f t="shared" ref="E99" si="35">B99-SUM(F99:M99)</f>
        <v>2500000</v>
      </c>
      <c r="F99" s="147"/>
      <c r="G99" s="147"/>
      <c r="H99" s="147"/>
      <c r="I99" s="147"/>
      <c r="J99" s="147"/>
      <c r="K99" s="147">
        <f>Application!AO632</f>
        <v>500000</v>
      </c>
      <c r="L99" s="147"/>
      <c r="M99" s="147"/>
      <c r="N99" s="147"/>
      <c r="O99" s="147"/>
      <c r="P99" s="147"/>
      <c r="Q99" s="147"/>
      <c r="R99" s="550">
        <f>SUM(E99:Q99)</f>
        <v>3000000</v>
      </c>
      <c r="S99" s="147">
        <f>R99</f>
        <v>3000000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3000000</v>
      </c>
      <c r="C104" s="146">
        <f>SUM(C99:C103)</f>
        <v>3000000</v>
      </c>
      <c r="D104" s="146">
        <f t="shared" ref="D104:T104" si="36">SUM(D99:D103)</f>
        <v>0</v>
      </c>
      <c r="E104" s="146">
        <f t="shared" si="36"/>
        <v>2500000</v>
      </c>
      <c r="F104" s="146">
        <f t="shared" si="36"/>
        <v>0</v>
      </c>
      <c r="G104" s="146">
        <f t="shared" si="36"/>
        <v>0</v>
      </c>
      <c r="H104" s="146">
        <f t="shared" si="36"/>
        <v>0</v>
      </c>
      <c r="I104" s="146">
        <f t="shared" si="36"/>
        <v>0</v>
      </c>
      <c r="J104" s="146">
        <f t="shared" si="36"/>
        <v>0</v>
      </c>
      <c r="K104" s="146">
        <f t="shared" si="36"/>
        <v>500000</v>
      </c>
      <c r="L104" s="146">
        <f t="shared" si="36"/>
        <v>0</v>
      </c>
      <c r="M104" s="146">
        <f t="shared" si="36"/>
        <v>0</v>
      </c>
      <c r="N104" s="146">
        <f t="shared" si="36"/>
        <v>0</v>
      </c>
      <c r="O104" s="146">
        <f t="shared" si="36"/>
        <v>0</v>
      </c>
      <c r="P104" s="146">
        <f t="shared" si="36"/>
        <v>0</v>
      </c>
      <c r="Q104" s="146">
        <f t="shared" si="36"/>
        <v>0</v>
      </c>
      <c r="R104" s="370">
        <f t="shared" si="36"/>
        <v>3000000</v>
      </c>
      <c r="S104" s="150">
        <f t="shared" si="36"/>
        <v>3000000</v>
      </c>
      <c r="T104" s="150">
        <f t="shared" si="36"/>
        <v>0</v>
      </c>
      <c r="U104" s="143"/>
    </row>
    <row r="105" spans="1:21" s="144" customFormat="1">
      <c r="A105" s="149" t="s">
        <v>789</v>
      </c>
      <c r="B105" s="150">
        <f ca="1">SUM(C105:D105)</f>
        <v>38125451.821293063</v>
      </c>
      <c r="C105" s="150">
        <f t="shared" ref="C105:R105" ca="1" si="37">SUM(C97+C104)</f>
        <v>38125451.821293063</v>
      </c>
      <c r="D105" s="150">
        <f t="shared" si="37"/>
        <v>0</v>
      </c>
      <c r="E105" s="150">
        <f t="shared" ca="1" si="37"/>
        <v>20414428.821293063</v>
      </c>
      <c r="F105" s="150">
        <f t="shared" si="37"/>
        <v>1207800</v>
      </c>
      <c r="G105" s="150">
        <f t="shared" ca="1" si="37"/>
        <v>9761541</v>
      </c>
      <c r="H105" s="150">
        <f t="shared" si="37"/>
        <v>5000000</v>
      </c>
      <c r="I105" s="150">
        <f t="shared" si="37"/>
        <v>551582</v>
      </c>
      <c r="J105" s="150">
        <f t="shared" si="37"/>
        <v>690000</v>
      </c>
      <c r="K105" s="150">
        <f t="shared" si="37"/>
        <v>500000</v>
      </c>
      <c r="L105" s="150">
        <f t="shared" si="37"/>
        <v>100</v>
      </c>
      <c r="M105" s="150">
        <f t="shared" si="37"/>
        <v>0</v>
      </c>
      <c r="N105" s="150">
        <f t="shared" si="37"/>
        <v>0</v>
      </c>
      <c r="O105" s="150">
        <f t="shared" si="37"/>
        <v>0</v>
      </c>
      <c r="P105" s="150">
        <f t="shared" si="37"/>
        <v>0</v>
      </c>
      <c r="Q105" s="150">
        <f t="shared" si="37"/>
        <v>0</v>
      </c>
      <c r="R105" s="370">
        <f t="shared" ca="1" si="37"/>
        <v>38125451.821293063</v>
      </c>
      <c r="S105" s="150">
        <f ca="1">S97+S104</f>
        <v>34569658.941176198</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 ca="1">S105+S106</f>
        <v>34569658.941176198</v>
      </c>
      <c r="T107" s="150">
        <f>T105+T106</f>
        <v>0</v>
      </c>
    </row>
    <row r="108" spans="1:21" s="201" customFormat="1">
      <c r="A108" s="162" t="s">
        <v>891</v>
      </c>
      <c r="B108" s="157"/>
      <c r="C108" s="157"/>
      <c r="D108" s="157"/>
      <c r="E108" s="323">
        <f>Application!AO640</f>
        <v>20414428.821293056</v>
      </c>
      <c r="F108" s="323">
        <f>Application!AO627</f>
        <v>1207800</v>
      </c>
      <c r="G108" s="323">
        <f>Application!AO628</f>
        <v>9761541</v>
      </c>
      <c r="H108" s="323">
        <f>Application!AO629</f>
        <v>5000000</v>
      </c>
      <c r="I108" s="323">
        <f>Application!AO630</f>
        <v>551582</v>
      </c>
      <c r="J108" s="323">
        <f>Application!AO631</f>
        <v>690000</v>
      </c>
      <c r="K108" s="323">
        <f>Application!AO632</f>
        <v>500000</v>
      </c>
      <c r="L108" s="323">
        <f>Application!AO633</f>
        <v>100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80" t="s">
        <v>1014</v>
      </c>
      <c r="E122" s="1880"/>
      <c r="F122" s="1880"/>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2" t="s">
        <v>1331</v>
      </c>
      <c r="E123" s="1561"/>
      <c r="F123" s="1561"/>
      <c r="G123" s="1561"/>
      <c r="H123" s="1561"/>
      <c r="I123" s="1561"/>
      <c r="J123" s="1561"/>
      <c r="K123" s="1561"/>
      <c r="L123" s="1561"/>
      <c r="M123" s="1561"/>
      <c r="N123" s="1561"/>
      <c r="O123" s="1561"/>
      <c r="P123" s="1561"/>
      <c r="Q123" s="1561"/>
      <c r="R123" s="1561"/>
      <c r="S123" s="1561"/>
      <c r="T123" s="352"/>
      <c r="U123" s="354"/>
    </row>
    <row r="124" spans="1:21" ht="12.5">
      <c r="A124" s="117" t="s">
        <v>1016</v>
      </c>
      <c r="B124" s="361"/>
      <c r="C124" s="117"/>
      <c r="D124" s="1561"/>
      <c r="E124" s="1561"/>
      <c r="F124" s="1561"/>
      <c r="G124" s="1561"/>
      <c r="H124" s="1561"/>
      <c r="I124" s="1561"/>
      <c r="J124" s="1561"/>
      <c r="K124" s="1561"/>
      <c r="L124" s="1561"/>
      <c r="M124" s="1561"/>
      <c r="N124" s="1561"/>
      <c r="O124" s="1561"/>
      <c r="P124" s="1561"/>
      <c r="Q124" s="1561"/>
      <c r="R124" s="1561"/>
      <c r="S124" s="1561"/>
      <c r="T124" s="352"/>
      <c r="U124" s="354"/>
    </row>
    <row r="125" spans="1:21" ht="12.5">
      <c r="A125" s="117" t="s">
        <v>1017</v>
      </c>
      <c r="B125" s="361"/>
      <c r="C125" s="117"/>
      <c r="D125" s="1561"/>
      <c r="E125" s="1561"/>
      <c r="F125" s="1561"/>
      <c r="G125" s="1561"/>
      <c r="H125" s="1561"/>
      <c r="I125" s="1561"/>
      <c r="J125" s="1561"/>
      <c r="K125" s="1561"/>
      <c r="L125" s="1561"/>
      <c r="M125" s="1561"/>
      <c r="N125" s="1561"/>
      <c r="O125" s="1561"/>
      <c r="P125" s="1561"/>
      <c r="Q125" s="1561"/>
      <c r="R125" s="1561"/>
      <c r="S125" s="1561"/>
      <c r="T125" s="352"/>
      <c r="U125" s="354"/>
    </row>
    <row r="126" spans="1:21" ht="12.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75"/>
      <c r="E128" s="1875"/>
      <c r="F128" s="1875"/>
      <c r="G128" s="1875"/>
      <c r="H128" s="1875"/>
      <c r="I128" s="117"/>
      <c r="J128" s="1871"/>
      <c r="K128" s="1871"/>
      <c r="L128" s="117"/>
      <c r="M128" s="117"/>
      <c r="N128" s="117"/>
      <c r="O128" s="117"/>
      <c r="P128" s="117"/>
      <c r="Q128" s="117"/>
      <c r="R128" s="117"/>
      <c r="S128" s="117"/>
      <c r="T128" s="352"/>
      <c r="U128" s="354"/>
    </row>
    <row r="129" spans="1:21" ht="12.5">
      <c r="A129" s="117" t="s">
        <v>301</v>
      </c>
      <c r="B129" s="361"/>
      <c r="C129" s="117"/>
      <c r="D129" s="1879" t="s">
        <v>1021</v>
      </c>
      <c r="E129" s="1879"/>
      <c r="F129" s="1879"/>
      <c r="G129" s="1879"/>
      <c r="H129" s="1879"/>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0</v>
      </c>
      <c r="C131" s="117"/>
      <c r="D131" s="1477"/>
      <c r="E131" s="1477"/>
      <c r="F131" s="1477"/>
      <c r="G131" s="1477"/>
      <c r="H131" s="1477"/>
      <c r="I131" s="117"/>
      <c r="J131" s="1477"/>
      <c r="K131" s="1477"/>
      <c r="L131" s="1477"/>
      <c r="M131" s="1477"/>
      <c r="N131" s="117"/>
      <c r="O131" s="117"/>
      <c r="P131" s="117"/>
      <c r="Q131" s="117"/>
      <c r="R131" s="117"/>
      <c r="S131" s="117"/>
      <c r="T131" s="352"/>
      <c r="U131" s="354"/>
    </row>
    <row r="132" spans="1:21" ht="12" customHeight="1">
      <c r="A132" s="364"/>
      <c r="B132" s="117"/>
      <c r="C132" s="117"/>
      <c r="D132" s="1873" t="s">
        <v>1024</v>
      </c>
      <c r="E132" s="1873"/>
      <c r="F132" s="1873"/>
      <c r="G132" s="1873"/>
      <c r="H132" s="1873"/>
      <c r="I132" s="117"/>
      <c r="J132" s="1873" t="s">
        <v>1025</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75"/>
      <c r="C138" s="1875"/>
      <c r="D138" s="356"/>
      <c r="E138" s="1871"/>
      <c r="F138" s="1871"/>
      <c r="G138" s="117"/>
      <c r="H138" s="117"/>
      <c r="I138" s="117"/>
      <c r="J138" s="117"/>
      <c r="K138" s="117"/>
      <c r="L138" s="117"/>
      <c r="M138" s="117"/>
      <c r="N138" s="117"/>
      <c r="O138" s="117"/>
      <c r="P138" s="117"/>
      <c r="Q138" s="117"/>
      <c r="R138" s="117"/>
      <c r="S138" s="117"/>
      <c r="T138" s="358"/>
      <c r="U138" s="359"/>
    </row>
    <row r="139" spans="1:21" ht="13">
      <c r="A139" s="1870" t="s">
        <v>1028</v>
      </c>
      <c r="B139" s="1870"/>
      <c r="C139" s="1870"/>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2" workbookViewId="0">
      <selection activeCell="E52" sqref="E52"/>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3" t="s">
        <v>1334</v>
      </c>
      <c r="B1" s="1884"/>
      <c r="C1" s="1884"/>
      <c r="D1" s="1884"/>
      <c r="E1" s="1884"/>
      <c r="F1" s="1884"/>
      <c r="G1" s="1884"/>
      <c r="H1" s="1884"/>
      <c r="I1" s="1884"/>
      <c r="J1" s="1885"/>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99</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38400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38499</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38499</v>
      </c>
      <c r="C12" s="392">
        <f>SUM(C8+C11)</f>
        <v>0</v>
      </c>
      <c r="D12" s="392">
        <f>SUM(D8+D11)</f>
        <v>0</v>
      </c>
      <c r="E12" s="394"/>
      <c r="F12" s="394"/>
      <c r="G12" s="394"/>
      <c r="H12" s="394"/>
      <c r="I12" s="394"/>
      <c r="J12" s="394"/>
      <c r="K12" s="390"/>
    </row>
    <row r="13" spans="1:11" s="391" customFormat="1">
      <c r="A13" s="397" t="s">
        <v>917</v>
      </c>
      <c r="B13" s="392">
        <f>'Sources and Uses Budget'!C13</f>
        <v>371000</v>
      </c>
      <c r="C13" s="393"/>
      <c r="D13" s="393"/>
      <c r="E13" s="392">
        <f>'Sources and Uses Budget'!S13</f>
        <v>0</v>
      </c>
      <c r="F13" s="393"/>
      <c r="G13" s="393"/>
      <c r="H13" s="392">
        <f>'Sources and Uses Budget'!T13</f>
        <v>0</v>
      </c>
      <c r="I13" s="393"/>
      <c r="J13" s="393"/>
      <c r="K13" s="390"/>
    </row>
    <row r="14" spans="1:11" s="391" customFormat="1" ht="23">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606</v>
      </c>
      <c r="B29" s="392">
        <f>'Sources and Uses Budget'!C29</f>
        <v>916582</v>
      </c>
      <c r="C29" s="393"/>
      <c r="D29" s="393"/>
      <c r="E29" s="392">
        <f>'Sources and Uses Budget'!S29</f>
        <v>916582</v>
      </c>
      <c r="F29" s="393"/>
      <c r="G29" s="393"/>
      <c r="H29" s="392">
        <f>'Sources and Uses Budget'!T29</f>
        <v>0</v>
      </c>
      <c r="I29" s="393"/>
      <c r="J29" s="393"/>
      <c r="K29" s="390"/>
    </row>
    <row r="30" spans="1:11" s="391" customFormat="1">
      <c r="A30" s="145" t="s">
        <v>607</v>
      </c>
      <c r="B30" s="392">
        <f ca="1">'Sources and Uses Budget'!C30</f>
        <v>14769655.5</v>
      </c>
      <c r="C30" s="393"/>
      <c r="D30" s="393"/>
      <c r="E30" s="392">
        <f ca="1">'Sources and Uses Budget'!S30</f>
        <v>14769655.5</v>
      </c>
      <c r="F30" s="393"/>
      <c r="G30" s="393"/>
      <c r="H30" s="392">
        <f>'Sources and Uses Budget'!T30</f>
        <v>0</v>
      </c>
      <c r="I30" s="393"/>
      <c r="J30" s="393"/>
      <c r="K30" s="390"/>
    </row>
    <row r="31" spans="1:11" s="391" customFormat="1">
      <c r="A31" s="145" t="s">
        <v>608</v>
      </c>
      <c r="B31" s="392">
        <f>'Sources and Uses Budget'!C31</f>
        <v>1875789</v>
      </c>
      <c r="C31" s="393"/>
      <c r="D31" s="393"/>
      <c r="E31" s="392">
        <f>'Sources and Uses Budget'!S31</f>
        <v>1875789</v>
      </c>
      <c r="F31" s="393"/>
      <c r="G31" s="393"/>
      <c r="H31" s="392">
        <f>'Sources and Uses Budget'!T31</f>
        <v>0</v>
      </c>
      <c r="I31" s="393"/>
      <c r="J31" s="393"/>
      <c r="K31" s="390"/>
    </row>
    <row r="32" spans="1:11" s="391" customFormat="1">
      <c r="A32" s="145" t="s">
        <v>137</v>
      </c>
      <c r="B32" s="392">
        <f>'Sources and Uses Budget'!C32</f>
        <v>376541</v>
      </c>
      <c r="C32" s="393"/>
      <c r="D32" s="393"/>
      <c r="E32" s="392">
        <f>'Sources and Uses Budget'!S32</f>
        <v>376541</v>
      </c>
      <c r="F32" s="393"/>
      <c r="G32" s="393"/>
      <c r="H32" s="392">
        <f>'Sources and Uses Budget'!T32</f>
        <v>0</v>
      </c>
      <c r="I32" s="393"/>
      <c r="J32" s="393"/>
      <c r="K32" s="390"/>
    </row>
    <row r="33" spans="1:11" s="391" customFormat="1">
      <c r="A33" s="145" t="s">
        <v>138</v>
      </c>
      <c r="B33" s="392">
        <f>'Sources and Uses Budget'!C33</f>
        <v>376541</v>
      </c>
      <c r="C33" s="393"/>
      <c r="D33" s="393"/>
      <c r="E33" s="392">
        <f>'Sources and Uses Budget'!S33</f>
        <v>376541</v>
      </c>
      <c r="F33" s="393"/>
      <c r="G33" s="393"/>
      <c r="H33" s="392">
        <f>'Sources and Uses Budget'!T33</f>
        <v>0</v>
      </c>
      <c r="I33" s="393"/>
      <c r="J33" s="393"/>
      <c r="K33" s="390"/>
    </row>
    <row r="34" spans="1:11" s="391" customFormat="1">
      <c r="A34" s="145" t="s">
        <v>139</v>
      </c>
      <c r="B34" s="392">
        <f ca="1">'Sources and Uses Budget'!C34</f>
        <v>3137247.5</v>
      </c>
      <c r="C34" s="393"/>
      <c r="D34" s="393"/>
      <c r="E34" s="392">
        <f ca="1">'Sources and Uses Budget'!S34</f>
        <v>3137247.5</v>
      </c>
      <c r="F34" s="393"/>
      <c r="G34" s="393"/>
      <c r="H34" s="392">
        <f>'Sources and Uses Budget'!T34</f>
        <v>0</v>
      </c>
      <c r="I34" s="393"/>
      <c r="J34" s="393"/>
      <c r="K34" s="390"/>
    </row>
    <row r="35" spans="1:11" s="391" customFormat="1">
      <c r="A35" s="145" t="s">
        <v>140</v>
      </c>
      <c r="B35" s="392">
        <f>'Sources and Uses Budget'!C35</f>
        <v>428566</v>
      </c>
      <c r="C35" s="393"/>
      <c r="D35" s="393"/>
      <c r="E35" s="392">
        <f>'Sources and Uses Budget'!S35</f>
        <v>428566</v>
      </c>
      <c r="F35" s="393"/>
      <c r="G35" s="393"/>
      <c r="H35" s="392">
        <f>'Sources and Uses Budget'!T35</f>
        <v>0</v>
      </c>
      <c r="I35" s="393"/>
      <c r="J35" s="393"/>
      <c r="K35" s="390"/>
    </row>
    <row r="36" spans="1:11" s="391" customFormat="1">
      <c r="A36" s="542" t="s">
        <v>1751</v>
      </c>
      <c r="B36" s="392">
        <f>'Sources and Uses Budget'!C36</f>
        <v>156000</v>
      </c>
      <c r="C36" s="393"/>
      <c r="D36" s="393"/>
      <c r="E36" s="392">
        <f>'Sources and Uses Budget'!S36</f>
        <v>156000</v>
      </c>
      <c r="F36" s="393"/>
      <c r="G36" s="393"/>
      <c r="H36" s="392">
        <f>'Sources and Uses Budget'!T36</f>
        <v>0</v>
      </c>
      <c r="I36" s="393"/>
      <c r="J36" s="393"/>
      <c r="K36" s="390"/>
    </row>
    <row r="37" spans="1:11" s="391" customFormat="1">
      <c r="A37" s="395" t="str">
        <f>'Sources and Uses Budget'!$A37</f>
        <v>pv system</v>
      </c>
      <c r="B37" s="392">
        <f>'Sources and Uses Budget'!C37</f>
        <v>178264</v>
      </c>
      <c r="C37" s="393"/>
      <c r="D37" s="393"/>
      <c r="E37" s="392">
        <f>'Sources and Uses Budget'!S37</f>
        <v>178264</v>
      </c>
      <c r="F37" s="393"/>
      <c r="G37" s="393"/>
      <c r="H37" s="392">
        <f>'Sources and Uses Budget'!T37</f>
        <v>0</v>
      </c>
      <c r="I37" s="393"/>
      <c r="J37" s="393"/>
      <c r="K37" s="390"/>
    </row>
    <row r="38" spans="1:11" s="391" customFormat="1">
      <c r="A38" s="396" t="s">
        <v>143</v>
      </c>
      <c r="B38" s="392">
        <f ca="1">'Sources and Uses Budget'!C38</f>
        <v>22215186</v>
      </c>
      <c r="C38" s="392">
        <f>SUM(C29:C37)</f>
        <v>0</v>
      </c>
      <c r="D38" s="392">
        <f>SUM(D29:D37)</f>
        <v>0</v>
      </c>
      <c r="E38" s="392">
        <f ca="1">'Sources and Uses Budget'!S38</f>
        <v>22215186</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674173.60000000009</v>
      </c>
      <c r="C40" s="393"/>
      <c r="D40" s="393"/>
      <c r="E40" s="392">
        <f>'Sources and Uses Budget'!S40</f>
        <v>674173.60000000009</v>
      </c>
      <c r="F40" s="393"/>
      <c r="G40" s="393"/>
      <c r="H40" s="392">
        <f>'Sources and Uses Budget'!T40</f>
        <v>0</v>
      </c>
      <c r="I40" s="393"/>
      <c r="J40" s="393"/>
      <c r="K40" s="390"/>
    </row>
    <row r="41" spans="1:11" s="391" customFormat="1">
      <c r="A41" s="395" t="s">
        <v>146</v>
      </c>
      <c r="B41" s="392">
        <f>'Sources and Uses Budget'!C41</f>
        <v>168543.39999999991</v>
      </c>
      <c r="C41" s="393"/>
      <c r="D41" s="393"/>
      <c r="E41" s="392">
        <f>'Sources and Uses Budget'!S41</f>
        <v>168543.39999999991</v>
      </c>
      <c r="F41" s="393"/>
      <c r="G41" s="393"/>
      <c r="H41" s="392">
        <f>'Sources and Uses Budget'!T41</f>
        <v>0</v>
      </c>
      <c r="I41" s="393"/>
      <c r="J41" s="393"/>
      <c r="K41" s="390"/>
    </row>
    <row r="42" spans="1:11" s="391" customFormat="1">
      <c r="A42" s="396" t="s">
        <v>147</v>
      </c>
      <c r="B42" s="392">
        <f>'Sources and Uses Budget'!C42</f>
        <v>842717</v>
      </c>
      <c r="C42" s="392">
        <f>SUM(C39:C41)</f>
        <v>0</v>
      </c>
      <c r="D42" s="392">
        <f>SUM(D39:D41)</f>
        <v>0</v>
      </c>
      <c r="E42" s="392">
        <f>'Sources and Uses Budget'!S42</f>
        <v>842717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418167</v>
      </c>
      <c r="C43" s="393"/>
      <c r="D43" s="393"/>
      <c r="E43" s="392">
        <f>'Sources and Uses Budget'!S43</f>
        <v>418167</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3262269.3423301158</v>
      </c>
      <c r="C45" s="393"/>
      <c r="D45" s="393"/>
      <c r="E45" s="392">
        <f>'Sources and Uses Budget'!S45</f>
        <v>1576342.0336323818</v>
      </c>
      <c r="F45" s="393"/>
      <c r="G45" s="393"/>
      <c r="H45" s="392">
        <f>'Sources and Uses Budget'!T45</f>
        <v>0</v>
      </c>
      <c r="I45" s="393"/>
      <c r="J45" s="393"/>
      <c r="K45" s="390"/>
    </row>
    <row r="46" spans="1:11" s="391" customFormat="1">
      <c r="A46" s="395" t="s">
        <v>151</v>
      </c>
      <c r="B46" s="392">
        <f>'Sources and Uses Budget'!C46</f>
        <v>252311.27704372813</v>
      </c>
      <c r="C46" s="393"/>
      <c r="D46" s="393"/>
      <c r="E46" s="392">
        <f>'Sources and Uses Budget'!S46</f>
        <v>20721.215989098448</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142755.17834274643</v>
      </c>
      <c r="C49" s="393"/>
      <c r="D49" s="393"/>
      <c r="E49" s="392">
        <f>'Sources and Uses Budget'!S49</f>
        <v>11723.85522621589</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85000</v>
      </c>
      <c r="C51" s="393"/>
      <c r="D51" s="393"/>
      <c r="E51" s="392">
        <f>'Sources and Uses Budget'!S51</f>
        <v>85000</v>
      </c>
      <c r="F51" s="393"/>
      <c r="G51" s="393"/>
      <c r="H51" s="392">
        <f>'Sources and Uses Budget'!T51</f>
        <v>0</v>
      </c>
      <c r="I51" s="393"/>
      <c r="J51" s="393"/>
      <c r="K51" s="390"/>
    </row>
    <row r="52" spans="1:11" s="391" customFormat="1">
      <c r="A52" s="395" t="s">
        <v>155</v>
      </c>
      <c r="B52" s="392">
        <f>'Sources and Uses Budget'!C52</f>
        <v>400000</v>
      </c>
      <c r="C52" s="393"/>
      <c r="D52" s="393"/>
      <c r="E52" s="392">
        <f>'Sources and Uses Budget'!S52</f>
        <v>400000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4242335.7977165906</v>
      </c>
      <c r="C54" s="398">
        <f>SUM(C45:C53)</f>
        <v>0</v>
      </c>
      <c r="D54" s="398">
        <f>SUM(D45:D53)</f>
        <v>0</v>
      </c>
      <c r="E54" s="392">
        <f>'Sources and Uses Budget'!S54</f>
        <v>2193787.1048476961</v>
      </c>
      <c r="F54" s="398">
        <f>SUM(F45:F53)</f>
        <v>0</v>
      </c>
      <c r="G54" s="398">
        <f>SUM(G45:G53)</f>
        <v>0</v>
      </c>
      <c r="H54" s="392">
        <f>'Sources and Uses Budget'!T54</f>
        <v>0</v>
      </c>
      <c r="I54" s="398">
        <f>SUM(I45:I53)</f>
        <v>0</v>
      </c>
      <c r="J54" s="398">
        <f>SUM(J45:J53)</f>
        <v>0</v>
      </c>
      <c r="K54" s="399"/>
    </row>
    <row r="55" spans="1:11" s="391" customFormat="1" ht="12">
      <c r="A55" s="388" t="s">
        <v>418</v>
      </c>
      <c r="B55" s="389"/>
      <c r="C55" s="389"/>
      <c r="D55" s="389"/>
      <c r="E55" s="389"/>
      <c r="F55" s="389"/>
      <c r="G55" s="389"/>
      <c r="H55" s="389"/>
      <c r="I55" s="389"/>
      <c r="J55" s="389"/>
      <c r="K55" s="390"/>
    </row>
    <row r="56" spans="1:11" s="391" customFormat="1">
      <c r="A56" s="395" t="s">
        <v>158</v>
      </c>
      <c r="B56" s="392">
        <f>'Sources and Uses Budget'!C56</f>
        <v>12078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22078</v>
      </c>
      <c r="C62" s="392">
        <f>SUM(C56:C61)</f>
        <v>0</v>
      </c>
      <c r="D62" s="392">
        <f>SUM(D56:D61)</f>
        <v>0</v>
      </c>
      <c r="E62" s="394"/>
      <c r="F62" s="394"/>
      <c r="G62" s="394"/>
      <c r="H62" s="394"/>
      <c r="I62" s="394"/>
      <c r="J62" s="394"/>
      <c r="K62" s="390"/>
    </row>
    <row r="63" spans="1:11" s="391" customFormat="1">
      <c r="A63" s="401" t="s">
        <v>303</v>
      </c>
      <c r="B63" s="392">
        <f ca="1">'Sources and Uses Budget'!C63</f>
        <v>28149982.797716592</v>
      </c>
      <c r="C63" s="392">
        <f>SUM(C8+C11+C13+C14+C15+C26+C27+C38+C42+C43+C54+C62)</f>
        <v>0</v>
      </c>
      <c r="D63" s="392">
        <f>SUM(D8+D11+D13+D14+D15+D26+D27+D38+D42+D43+D54+D62)</f>
        <v>0</v>
      </c>
      <c r="E63" s="392">
        <f ca="1">'Sources and Uses Budget'!S63</f>
        <v>25669857.104847696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85000</v>
      </c>
      <c r="C65" s="393"/>
      <c r="D65" s="393"/>
      <c r="E65" s="392">
        <f>'Sources and Uses Budget'!S65</f>
        <v>6980.6763285024153</v>
      </c>
      <c r="F65" s="393"/>
      <c r="G65" s="393"/>
      <c r="H65" s="392">
        <f>'Sources and Uses Budget'!T65</f>
        <v>0</v>
      </c>
      <c r="I65" s="393"/>
      <c r="J65" s="393"/>
      <c r="K65" s="390"/>
    </row>
    <row r="66" spans="1:11" s="391" customFormat="1" ht="23">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165000</v>
      </c>
      <c r="C69" s="393"/>
      <c r="D69" s="393"/>
      <c r="E69" s="392">
        <f>'Sources and Uses Budget'!S69</f>
        <v>130000</v>
      </c>
      <c r="F69" s="393"/>
      <c r="G69" s="393"/>
      <c r="H69" s="392">
        <f>'Sources and Uses Budget'!T69</f>
        <v>0</v>
      </c>
      <c r="I69" s="393"/>
      <c r="J69" s="393"/>
      <c r="K69" s="390"/>
    </row>
    <row r="70" spans="1:11" s="391" customFormat="1">
      <c r="A70" s="396" t="s">
        <v>609</v>
      </c>
      <c r="B70" s="392">
        <f>'Sources and Uses Budget'!C70</f>
        <v>250000</v>
      </c>
      <c r="C70" s="392">
        <f>SUM(C64:C69)</f>
        <v>0</v>
      </c>
      <c r="D70" s="392">
        <f>SUM(D64:D69)</f>
        <v>0</v>
      </c>
      <c r="E70" s="392">
        <f>'Sources and Uses Budget'!S70</f>
        <v>136980.67632850242</v>
      </c>
      <c r="F70" s="398">
        <f>SUM(F65:F69)</f>
        <v>0</v>
      </c>
      <c r="G70" s="398">
        <f>SUM(G65:G69)</f>
        <v>0</v>
      </c>
      <c r="H70" s="392">
        <f>'Sources and Uses Budget'!T70</f>
        <v>0</v>
      </c>
      <c r="I70" s="398">
        <f>SUM(I65:I69)</f>
        <v>0</v>
      </c>
      <c r="J70" s="398">
        <f>SUM(J65:J69)</f>
        <v>0</v>
      </c>
      <c r="K70" s="390"/>
    </row>
    <row r="71" spans="1:11" s="391" customFormat="1" ht="12">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426000</v>
      </c>
      <c r="C75" s="393"/>
      <c r="D75" s="393"/>
      <c r="E75" s="394"/>
      <c r="F75" s="394"/>
      <c r="G75" s="394"/>
      <c r="H75" s="394"/>
      <c r="I75" s="394"/>
      <c r="J75" s="394"/>
      <c r="K75" s="390"/>
    </row>
    <row r="76" spans="1:11" s="391" customFormat="1">
      <c r="A76" s="395" t="str">
        <f>'Sources and Uses Budget'!$A76</f>
        <v>HCD transition reserve pool fee</v>
      </c>
      <c r="B76" s="392">
        <f>'Sources and Uses Budget'!C76</f>
        <v>166319.99999999997</v>
      </c>
      <c r="C76" s="393"/>
      <c r="D76" s="393"/>
      <c r="E76" s="394"/>
      <c r="F76" s="394"/>
      <c r="G76" s="394"/>
      <c r="H76" s="394"/>
      <c r="I76" s="394"/>
      <c r="J76" s="394"/>
      <c r="K76" s="390"/>
    </row>
    <row r="77" spans="1:11" s="391" customFormat="1">
      <c r="A77" s="396" t="s">
        <v>614</v>
      </c>
      <c r="B77" s="392">
        <f>'Sources and Uses Budget'!C77</f>
        <v>592320</v>
      </c>
      <c r="C77" s="392">
        <f>SUM(C72:C76)</f>
        <v>0</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2183551.16</v>
      </c>
      <c r="C79" s="393"/>
      <c r="D79" s="393"/>
      <c r="E79" s="392">
        <f>'Sources and Uses Budget'!S79</f>
        <v>2183551.16</v>
      </c>
      <c r="F79" s="393"/>
      <c r="G79" s="393"/>
      <c r="H79" s="392">
        <f>'Sources and Uses Budget'!T79</f>
        <v>0</v>
      </c>
      <c r="I79" s="393"/>
      <c r="J79" s="393"/>
      <c r="K79" s="390"/>
    </row>
    <row r="80" spans="1:11" s="391" customFormat="1">
      <c r="A80" s="395" t="s">
        <v>58</v>
      </c>
      <c r="B80" s="392">
        <f>'Sources and Uses Budget'!C80</f>
        <v>450000</v>
      </c>
      <c r="C80" s="393"/>
      <c r="D80" s="393"/>
      <c r="E80" s="392">
        <f>'Sources and Uses Budget'!S80</f>
        <v>450000</v>
      </c>
      <c r="F80" s="393"/>
      <c r="G80" s="393"/>
      <c r="H80" s="392">
        <f>'Sources and Uses Budget'!T80</f>
        <v>0</v>
      </c>
      <c r="I80" s="393"/>
      <c r="J80" s="393"/>
      <c r="K80" s="390"/>
    </row>
    <row r="81" spans="1:11" s="391" customFormat="1">
      <c r="A81" s="396" t="s">
        <v>1315</v>
      </c>
      <c r="B81" s="392">
        <f>'Sources and Uses Budget'!C81</f>
        <v>2633551.16</v>
      </c>
      <c r="C81" s="392">
        <f>SUM(C79:C80)</f>
        <v>0</v>
      </c>
      <c r="D81" s="392">
        <f>SUM(D79:D80)</f>
        <v>0</v>
      </c>
      <c r="E81" s="392">
        <f>'Sources and Uses Budget'!S81</f>
        <v>2633551.16</v>
      </c>
      <c r="F81" s="392">
        <f>SUM(F79:F80)</f>
        <v>0</v>
      </c>
      <c r="G81" s="392">
        <f>SUM(G79:G80)</f>
        <v>0</v>
      </c>
      <c r="H81" s="392">
        <f>'Sources and Uses Budget'!T81</f>
        <v>0</v>
      </c>
      <c r="I81" s="392">
        <f>SUM(I79:I80)</f>
        <v>0</v>
      </c>
      <c r="J81" s="392">
        <f>SUM(J79:J80)</f>
        <v>0</v>
      </c>
      <c r="K81" s="390"/>
    </row>
    <row r="82" spans="1:11" s="391" customFormat="1" ht="12">
      <c r="A82" s="388" t="s">
        <v>774</v>
      </c>
      <c r="B82" s="389"/>
      <c r="C82" s="389"/>
      <c r="D82" s="389"/>
      <c r="E82" s="389"/>
      <c r="F82" s="389"/>
      <c r="G82" s="389"/>
      <c r="H82" s="389"/>
      <c r="I82" s="389"/>
      <c r="J82" s="389"/>
      <c r="K82" s="390"/>
    </row>
    <row r="83" spans="1:11" s="391" customFormat="1" ht="13.75" customHeight="1">
      <c r="A83" s="145" t="s">
        <v>2409</v>
      </c>
      <c r="B83" s="392">
        <f>'Sources and Uses Budget'!C83</f>
        <v>47327.863576470481</v>
      </c>
      <c r="C83" s="393"/>
      <c r="D83" s="393"/>
      <c r="E83" s="394"/>
      <c r="F83" s="394"/>
      <c r="G83" s="394"/>
      <c r="H83" s="394"/>
      <c r="I83" s="394"/>
      <c r="J83" s="394"/>
      <c r="K83" s="390"/>
    </row>
    <row r="84" spans="1:11" s="391" customFormat="1">
      <c r="A84" s="145" t="s">
        <v>776</v>
      </c>
      <c r="B84" s="392">
        <f>'Sources and Uses Budget'!C84</f>
        <v>92223</v>
      </c>
      <c r="C84" s="393"/>
      <c r="D84" s="393"/>
      <c r="E84" s="392">
        <f>'Sources and Uses Budget'!S84</f>
        <v>92223</v>
      </c>
      <c r="F84" s="393"/>
      <c r="G84" s="393"/>
      <c r="H84" s="392">
        <f>'Sources and Uses Budget'!T84</f>
        <v>0</v>
      </c>
      <c r="I84" s="393"/>
      <c r="J84" s="393"/>
      <c r="K84" s="390"/>
    </row>
    <row r="85" spans="1:11" s="391" customFormat="1">
      <c r="A85" s="145" t="s">
        <v>777</v>
      </c>
      <c r="B85" s="392">
        <f>'Sources and Uses Budget'!C85</f>
        <v>1140992</v>
      </c>
      <c r="C85" s="393"/>
      <c r="D85" s="393"/>
      <c r="E85" s="392">
        <f>'Sources and Uses Budget'!S85</f>
        <v>1140992</v>
      </c>
      <c r="F85" s="393"/>
      <c r="G85" s="393"/>
      <c r="H85" s="392">
        <f>'Sources and Uses Budget'!T85</f>
        <v>0</v>
      </c>
      <c r="I85" s="393"/>
      <c r="J85" s="393"/>
      <c r="K85" s="390"/>
    </row>
    <row r="86" spans="1:11" s="391" customFormat="1">
      <c r="A86" s="145" t="s">
        <v>778</v>
      </c>
      <c r="B86" s="392">
        <f>'Sources and Uses Budget'!C86</f>
        <v>1285555</v>
      </c>
      <c r="C86" s="393"/>
      <c r="D86" s="393"/>
      <c r="E86" s="392">
        <f>'Sources and Uses Budget'!S86</f>
        <v>1285555</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306000</v>
      </c>
      <c r="C88" s="393"/>
      <c r="D88" s="393"/>
      <c r="E88" s="394"/>
      <c r="F88" s="394"/>
      <c r="G88" s="394"/>
      <c r="H88" s="394"/>
      <c r="I88" s="394"/>
      <c r="J88" s="394"/>
      <c r="K88" s="390"/>
    </row>
    <row r="89" spans="1:11" s="391" customFormat="1">
      <c r="A89" s="145" t="s">
        <v>781</v>
      </c>
      <c r="B89" s="392">
        <f>'Sources and Uses Budget'!C89</f>
        <v>150500</v>
      </c>
      <c r="C89" s="393"/>
      <c r="D89" s="393"/>
      <c r="E89" s="392">
        <f>'Sources and Uses Budget'!S89</f>
        <v>150500</v>
      </c>
      <c r="F89" s="393"/>
      <c r="G89" s="393"/>
      <c r="H89" s="392">
        <f>'Sources and Uses Budget'!T89</f>
        <v>0</v>
      </c>
      <c r="I89" s="393"/>
      <c r="J89" s="393"/>
      <c r="K89" s="390"/>
    </row>
    <row r="90" spans="1:11" s="391" customFormat="1">
      <c r="A90" s="145" t="s">
        <v>782</v>
      </c>
      <c r="B90" s="392">
        <f>'Sources and Uses Budget'!C90</f>
        <v>17000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25000</v>
      </c>
      <c r="C92" s="393"/>
      <c r="D92" s="393"/>
      <c r="E92" s="392">
        <f>'Sources and Uses Budget'!S92</f>
        <v>25000</v>
      </c>
      <c r="F92" s="393"/>
      <c r="G92" s="393"/>
      <c r="H92" s="392">
        <f>'Sources and Uses Budget'!T92</f>
        <v>0</v>
      </c>
      <c r="I92" s="393"/>
      <c r="J92" s="393"/>
      <c r="K92" s="390"/>
    </row>
    <row r="93" spans="1:11" s="391" customFormat="1">
      <c r="A93" s="395" t="str">
        <f>'Sources and Uses Budget'!$A93</f>
        <v>prevailing wage monitoring</v>
      </c>
      <c r="B93" s="392">
        <f>'Sources and Uses Budget'!C93</f>
        <v>85000</v>
      </c>
      <c r="C93" s="393"/>
      <c r="D93" s="393"/>
      <c r="E93" s="392">
        <f>'Sources and Uses Budget'!S93</f>
        <v>85000</v>
      </c>
      <c r="F93" s="393"/>
      <c r="G93" s="393"/>
      <c r="H93" s="392">
        <f>'Sources and Uses Budget'!T93</f>
        <v>0</v>
      </c>
      <c r="I93" s="393"/>
      <c r="J93" s="393"/>
      <c r="K93" s="390"/>
    </row>
    <row r="94" spans="1:11" s="391" customFormat="1">
      <c r="A94" s="395" t="str">
        <f>'Sources and Uses Budget'!$A94</f>
        <v>security during construction</v>
      </c>
      <c r="B94" s="392">
        <f>'Sources and Uses Budget'!C94</f>
        <v>350000</v>
      </c>
      <c r="C94" s="393"/>
      <c r="D94" s="393"/>
      <c r="E94" s="392">
        <f>'Sources and Uses Budget'!S94</f>
        <v>350000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3499597.8635764704</v>
      </c>
      <c r="C96" s="392">
        <f>SUM(C83:C95)</f>
        <v>0</v>
      </c>
      <c r="D96" s="392">
        <f>SUM(D83:D95)</f>
        <v>0</v>
      </c>
      <c r="E96" s="392">
        <f>'Sources and Uses Budget'!S96</f>
        <v>3129270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 ca="1">'Sources and Uses Budget'!C97</f>
        <v>35125451.821293063</v>
      </c>
      <c r="C97" s="392">
        <f>SUM(C63+C70+C77+C81+C96)</f>
        <v>0</v>
      </c>
      <c r="D97" s="392">
        <f>SUM(D63+D70+D77+D81+D96)</f>
        <v>0</v>
      </c>
      <c r="E97" s="392">
        <f ca="1">'Sources and Uses Budget'!S97</f>
        <v>31569658.941176198</v>
      </c>
      <c r="F97" s="398">
        <f>SUM(+F63+F70+F81+F96)</f>
        <v>0</v>
      </c>
      <c r="G97" s="398">
        <f>SUM(+G63+G70+G81+G96)</f>
        <v>0</v>
      </c>
      <c r="H97" s="392">
        <f>'Sources and Uses Budget'!T97</f>
        <v>0</v>
      </c>
      <c r="I97" s="398">
        <f>SUM(I63+I70+I81+I96)</f>
        <v>0</v>
      </c>
      <c r="J97" s="398">
        <f>SUM(J63+J70+J81+J96)</f>
        <v>0</v>
      </c>
      <c r="K97" s="390"/>
    </row>
    <row r="98" spans="1:11" s="391" customFormat="1" ht="12">
      <c r="A98" s="388" t="s">
        <v>785</v>
      </c>
      <c r="B98" s="389"/>
      <c r="C98" s="389"/>
      <c r="D98" s="389"/>
      <c r="E98" s="389"/>
      <c r="F98" s="389"/>
      <c r="G98" s="389"/>
      <c r="H98" s="389"/>
      <c r="I98" s="389"/>
      <c r="J98" s="389"/>
      <c r="K98" s="390"/>
    </row>
    <row r="99" spans="1:11" s="391" customFormat="1">
      <c r="A99" s="145" t="s">
        <v>786</v>
      </c>
      <c r="B99" s="392">
        <f>'Sources and Uses Budget'!C99</f>
        <v>3000000</v>
      </c>
      <c r="C99" s="393"/>
      <c r="D99" s="393"/>
      <c r="E99" s="392">
        <f>'Sources and Uses Budget'!S99</f>
        <v>3000000</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3000000</v>
      </c>
      <c r="C104" s="392">
        <f>SUM(C99:C103)</f>
        <v>0</v>
      </c>
      <c r="D104" s="392">
        <f>SUM(D99:D103)</f>
        <v>0</v>
      </c>
      <c r="E104" s="392">
        <f>'Sources and Uses Budget'!S104</f>
        <v>3000000</v>
      </c>
      <c r="F104" s="398">
        <f>SUM(F99:F103)</f>
        <v>0</v>
      </c>
      <c r="G104" s="398">
        <f>SUM(G99:G103)</f>
        <v>0</v>
      </c>
      <c r="H104" s="392">
        <f>'Sources and Uses Budget'!T104</f>
        <v>0</v>
      </c>
      <c r="I104" s="398">
        <f>SUM(I99:I103)</f>
        <v>0</v>
      </c>
      <c r="J104" s="398">
        <f>SUM(J99:J103)</f>
        <v>0</v>
      </c>
      <c r="K104" s="390"/>
    </row>
    <row r="105" spans="1:11" s="391" customFormat="1">
      <c r="A105" s="396" t="s">
        <v>1054</v>
      </c>
      <c r="B105" s="392">
        <f ca="1">'Sources and Uses Budget'!C105</f>
        <v>38125451.821293063</v>
      </c>
      <c r="C105" s="398">
        <f>SUM(C97+C104)</f>
        <v>0</v>
      </c>
      <c r="D105" s="398">
        <f>SUM(D97+D104)</f>
        <v>0</v>
      </c>
      <c r="E105" s="392">
        <f ca="1">'Sources and Uses Budget'!S105</f>
        <v>34569658.941176198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 ca="1">'Sources and Uses Budget'!S107</f>
        <v>34569658.941176198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1"/>
      <c r="E124" s="1344"/>
      <c r="F124" s="1344"/>
      <c r="G124" s="1344"/>
      <c r="H124" s="1344"/>
      <c r="I124" s="1344"/>
      <c r="J124" s="407"/>
      <c r="K124" s="390"/>
    </row>
    <row r="125" spans="1:11" s="391" customFormat="1" ht="12.5">
      <c r="A125" s="416"/>
      <c r="B125" s="415"/>
      <c r="C125" s="416"/>
      <c r="D125" s="1344"/>
      <c r="E125" s="1344"/>
      <c r="F125" s="1344"/>
      <c r="G125" s="1344"/>
      <c r="H125" s="1344"/>
      <c r="I125" s="1344"/>
      <c r="J125" s="407"/>
      <c r="K125" s="390"/>
    </row>
    <row r="126" spans="1:11" s="391" customFormat="1" ht="12.5">
      <c r="A126" s="416"/>
      <c r="B126" s="415"/>
      <c r="C126" s="416"/>
      <c r="D126" s="1344"/>
      <c r="E126" s="1344"/>
      <c r="F126" s="1344"/>
      <c r="G126" s="1344"/>
      <c r="H126" s="1344"/>
      <c r="I126" s="1344"/>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31" workbookViewId="0">
      <selection activeCell="B75" sqref="B75:C75"/>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115" t="s">
        <v>1409</v>
      </c>
      <c r="B1" s="2115"/>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5"/>
      <c r="AI1" s="2115"/>
      <c r="AJ1" s="2115"/>
      <c r="AK1" s="2115"/>
      <c r="AL1" s="2115"/>
      <c r="AM1" s="2115"/>
    </row>
    <row r="2" spans="1:42" s="570" customFormat="1" ht="12.75" customHeight="1" thickBot="1">
      <c r="A2" s="2116"/>
      <c r="B2" s="2116"/>
      <c r="C2" s="2116"/>
      <c r="D2" s="2116"/>
      <c r="E2" s="2116"/>
      <c r="F2" s="2116"/>
      <c r="G2" s="2116"/>
      <c r="H2" s="2116"/>
      <c r="I2" s="2116"/>
      <c r="J2" s="2116"/>
      <c r="K2" s="2116"/>
      <c r="L2" s="2116"/>
      <c r="M2" s="2116"/>
      <c r="N2" s="2116"/>
      <c r="O2" s="2116"/>
      <c r="P2" s="2116"/>
      <c r="Q2" s="2116"/>
      <c r="R2" s="2116"/>
      <c r="S2" s="2116"/>
      <c r="T2" s="2116"/>
      <c r="U2" s="2116"/>
      <c r="V2" s="2116"/>
      <c r="W2" s="2116"/>
      <c r="X2" s="2116"/>
      <c r="Y2" s="2116"/>
      <c r="Z2" s="2116"/>
      <c r="AA2" s="2116"/>
      <c r="AB2" s="2116"/>
      <c r="AC2" s="2116"/>
      <c r="AD2" s="2116"/>
      <c r="AE2" s="2116"/>
      <c r="AF2" s="2116"/>
      <c r="AG2" s="2116"/>
      <c r="AH2" s="2116"/>
      <c r="AI2" s="2116"/>
      <c r="AJ2" s="2116"/>
      <c r="AK2" s="2116"/>
      <c r="AL2" s="2116"/>
      <c r="AM2" s="21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6" t="s">
        <v>1414</v>
      </c>
      <c r="AF7" s="1926"/>
      <c r="AG7" s="1926"/>
      <c r="AH7" s="1926"/>
      <c r="AI7" s="1926"/>
      <c r="AJ7" s="1926"/>
      <c r="AK7" s="1926"/>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9" t="s">
        <v>599</v>
      </c>
      <c r="C13" s="2109"/>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7"/>
      <c r="AH13" s="2117"/>
      <c r="AI13" s="2117"/>
      <c r="AJ13" s="21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9" t="s">
        <v>599</v>
      </c>
      <c r="C16" s="2109"/>
      <c r="D16" s="581"/>
      <c r="E16" s="2101" t="s">
        <v>1416</v>
      </c>
      <c r="F16" s="2102"/>
      <c r="G16" s="2102"/>
      <c r="H16" s="2102"/>
      <c r="I16" s="2102"/>
      <c r="J16" s="2102"/>
      <c r="K16" s="2102"/>
      <c r="L16" s="2102"/>
      <c r="M16" s="2102"/>
      <c r="N16" s="2102"/>
      <c r="O16" s="2102"/>
      <c r="P16" s="2102"/>
      <c r="Q16" s="2102"/>
      <c r="R16" s="2102"/>
      <c r="S16" s="2102"/>
      <c r="T16" s="2102"/>
      <c r="U16" s="2102"/>
      <c r="V16" s="2102"/>
      <c r="W16" s="2102"/>
      <c r="X16" s="2102"/>
      <c r="Y16" s="2102"/>
      <c r="Z16" s="2102"/>
      <c r="AA16" s="2102"/>
      <c r="AB16" s="2102"/>
      <c r="AC16" s="2102"/>
      <c r="AD16" s="2102"/>
      <c r="AE16" s="2102"/>
      <c r="AF16" s="2102"/>
      <c r="AG16" s="2102"/>
      <c r="AH16" s="2102"/>
      <c r="AI16" s="2102"/>
      <c r="AJ16" s="2103"/>
      <c r="AK16" s="574"/>
      <c r="AL16" s="574"/>
      <c r="AM16" s="574"/>
      <c r="AN16" s="569"/>
      <c r="AO16" s="584">
        <f>IF($B25="yes",20,0)</f>
        <v>0</v>
      </c>
      <c r="AP16" s="14"/>
    </row>
    <row r="17" spans="1:42" s="570" customFormat="1" ht="12.75" customHeight="1">
      <c r="A17" s="574"/>
      <c r="B17" s="574"/>
      <c r="C17" s="574"/>
      <c r="D17" s="585"/>
      <c r="E17" s="2104"/>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6"/>
      <c r="AK17" s="574"/>
      <c r="AL17" s="574"/>
      <c r="AM17" s="574"/>
      <c r="AN17" s="569"/>
      <c r="AO17" s="570">
        <f>IF(SUM(AO13:AO16)&gt;20,20,(SUM(AO13:AO16)))</f>
        <v>0</v>
      </c>
      <c r="AP17" s="570" t="s">
        <v>1417</v>
      </c>
    </row>
    <row r="18" spans="1:42" s="570" customFormat="1" ht="12.75" customHeight="1">
      <c r="A18" s="574"/>
      <c r="B18" s="574"/>
      <c r="C18" s="574"/>
      <c r="D18" s="585"/>
      <c r="E18" s="2104"/>
      <c r="F18" s="2105"/>
      <c r="G18" s="2105"/>
      <c r="H18" s="2105"/>
      <c r="I18" s="2105"/>
      <c r="J18" s="2105"/>
      <c r="K18" s="2105"/>
      <c r="L18" s="2105"/>
      <c r="M18" s="2105"/>
      <c r="N18" s="2105"/>
      <c r="O18" s="2105"/>
      <c r="P18" s="2105"/>
      <c r="Q18" s="2105"/>
      <c r="R18" s="2105"/>
      <c r="S18" s="2105"/>
      <c r="T18" s="2105"/>
      <c r="U18" s="2105"/>
      <c r="V18" s="2105"/>
      <c r="W18" s="2105"/>
      <c r="X18" s="2105"/>
      <c r="Y18" s="2105"/>
      <c r="Z18" s="2105"/>
      <c r="AA18" s="2105"/>
      <c r="AB18" s="2105"/>
      <c r="AC18" s="2105"/>
      <c r="AD18" s="2105"/>
      <c r="AE18" s="2105"/>
      <c r="AF18" s="2105"/>
      <c r="AG18" s="2105"/>
      <c r="AH18" s="2105"/>
      <c r="AI18" s="2105"/>
      <c r="AJ18" s="2106"/>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5"/>
      <c r="F20" s="2126"/>
      <c r="G20" s="2126"/>
      <c r="H20" s="2126"/>
      <c r="I20" s="2126"/>
      <c r="J20" s="2126"/>
      <c r="K20" s="2126"/>
      <c r="L20" s="2126"/>
      <c r="M20" s="2126"/>
      <c r="N20" s="2126"/>
      <c r="O20" s="2126"/>
      <c r="P20" s="2126"/>
      <c r="Q20" s="2126"/>
      <c r="R20" s="2126"/>
      <c r="S20" s="2126"/>
      <c r="T20" s="2126"/>
      <c r="U20" s="2126"/>
      <c r="V20" s="2126"/>
      <c r="W20" s="2126"/>
      <c r="X20" s="2126"/>
      <c r="Y20" s="2126"/>
      <c r="Z20" s="2126"/>
      <c r="AA20" s="2126"/>
      <c r="AB20" s="2126"/>
      <c r="AC20" s="2126"/>
      <c r="AD20" s="2126"/>
      <c r="AE20" s="2126"/>
      <c r="AF20" s="2126"/>
      <c r="AG20" s="2126"/>
      <c r="AH20" s="2126"/>
      <c r="AI20" s="2126"/>
      <c r="AJ20" s="21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9" t="s">
        <v>599</v>
      </c>
      <c r="C22" s="2109"/>
      <c r="D22" s="581"/>
      <c r="E22" s="2119" t="s">
        <v>1419</v>
      </c>
      <c r="F22" s="2120"/>
      <c r="G22" s="2120"/>
      <c r="H22" s="2120"/>
      <c r="I22" s="2120"/>
      <c r="J22" s="2120"/>
      <c r="K22" s="2120"/>
      <c r="L22" s="2120"/>
      <c r="M22" s="2120"/>
      <c r="N22" s="2120"/>
      <c r="O22" s="2120"/>
      <c r="P22" s="2120"/>
      <c r="Q22" s="2120"/>
      <c r="R22" s="2120"/>
      <c r="S22" s="2120"/>
      <c r="T22" s="2120"/>
      <c r="U22" s="2120"/>
      <c r="V22" s="2120"/>
      <c r="W22" s="2120"/>
      <c r="X22" s="2120"/>
      <c r="Y22" s="2120"/>
      <c r="Z22" s="2120"/>
      <c r="AA22" s="2120"/>
      <c r="AB22" s="2120"/>
      <c r="AC22" s="2120"/>
      <c r="AD22" s="2120"/>
      <c r="AE22" s="2120"/>
      <c r="AF22" s="2120"/>
      <c r="AG22" s="2120"/>
      <c r="AH22" s="2120"/>
      <c r="AI22" s="2120"/>
      <c r="AJ22" s="2121"/>
      <c r="AK22" s="574"/>
      <c r="AL22" s="574"/>
      <c r="AM22" s="574"/>
      <c r="AN22" s="569"/>
      <c r="AO22" s="570">
        <f>IF(SUM(AO20:AO21)&gt;14,14,SUM(AO20:AO21))</f>
        <v>0</v>
      </c>
      <c r="AP22" s="570" t="s">
        <v>1417</v>
      </c>
    </row>
    <row r="23" spans="1:42" s="570" customFormat="1" ht="12.75" customHeight="1">
      <c r="A23" s="574"/>
      <c r="B23" s="574"/>
      <c r="C23" s="574"/>
      <c r="D23" s="584"/>
      <c r="E23" s="2122"/>
      <c r="F23" s="2123"/>
      <c r="G23" s="2123"/>
      <c r="H23" s="2123"/>
      <c r="I23" s="2123"/>
      <c r="J23" s="2123"/>
      <c r="K23" s="2123"/>
      <c r="L23" s="2123"/>
      <c r="M23" s="2123"/>
      <c r="N23" s="2123"/>
      <c r="O23" s="2123"/>
      <c r="P23" s="2123"/>
      <c r="Q23" s="2123"/>
      <c r="R23" s="2123"/>
      <c r="S23" s="2123"/>
      <c r="T23" s="2123"/>
      <c r="U23" s="2123"/>
      <c r="V23" s="2123"/>
      <c r="W23" s="2123"/>
      <c r="X23" s="2123"/>
      <c r="Y23" s="2123"/>
      <c r="Z23" s="2123"/>
      <c r="AA23" s="2123"/>
      <c r="AB23" s="2123"/>
      <c r="AC23" s="2123"/>
      <c r="AD23" s="2123"/>
      <c r="AE23" s="2123"/>
      <c r="AF23" s="2123"/>
      <c r="AG23" s="2123"/>
      <c r="AH23" s="2123"/>
      <c r="AI23" s="2123"/>
      <c r="AJ23" s="21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9" t="s">
        <v>599</v>
      </c>
      <c r="C25" s="2109"/>
      <c r="D25" s="581"/>
      <c r="E25" s="2036" t="s">
        <v>2346</v>
      </c>
      <c r="F25" s="2037"/>
      <c r="G25" s="2037"/>
      <c r="H25" s="2037"/>
      <c r="I25" s="2037"/>
      <c r="J25" s="2037"/>
      <c r="K25" s="2037"/>
      <c r="L25" s="2037"/>
      <c r="M25" s="2037"/>
      <c r="N25" s="2037"/>
      <c r="O25" s="2037"/>
      <c r="P25" s="2037"/>
      <c r="Q25" s="2037"/>
      <c r="R25" s="2037"/>
      <c r="S25" s="2037"/>
      <c r="T25" s="2037"/>
      <c r="U25" s="2037"/>
      <c r="V25" s="2037"/>
      <c r="W25" s="2037"/>
      <c r="X25" s="2037"/>
      <c r="Y25" s="2037"/>
      <c r="Z25" s="2037"/>
      <c r="AA25" s="2037"/>
      <c r="AB25" s="2037"/>
      <c r="AC25" s="2037"/>
      <c r="AD25" s="2037"/>
      <c r="AE25" s="2037"/>
      <c r="AF25" s="2037"/>
      <c r="AG25" s="2037"/>
      <c r="AH25" s="2037"/>
      <c r="AI25" s="2037"/>
      <c r="AJ25" s="2038"/>
      <c r="AK25" s="574"/>
      <c r="AL25" s="574"/>
      <c r="AM25" s="574"/>
      <c r="AN25" s="569"/>
      <c r="AO25" s="570">
        <f>IF(AO24&gt;6,6,AO24)</f>
        <v>0</v>
      </c>
      <c r="AP25" s="570" t="s">
        <v>1417</v>
      </c>
    </row>
    <row r="26" spans="1:42" s="570" customFormat="1" ht="12.75" customHeight="1">
      <c r="A26" s="574"/>
      <c r="B26" s="574"/>
      <c r="C26" s="574"/>
      <c r="D26" s="584"/>
      <c r="E26" s="2061"/>
      <c r="F26" s="2062"/>
      <c r="G26" s="2062"/>
      <c r="H26" s="2062"/>
      <c r="I26" s="2062"/>
      <c r="J26" s="2062"/>
      <c r="K26" s="2062"/>
      <c r="L26" s="2062"/>
      <c r="M26" s="2062"/>
      <c r="N26" s="2062"/>
      <c r="O26" s="2062"/>
      <c r="P26" s="2062"/>
      <c r="Q26" s="2062"/>
      <c r="R26" s="2062"/>
      <c r="S26" s="2062"/>
      <c r="T26" s="2062"/>
      <c r="U26" s="2062"/>
      <c r="V26" s="2062"/>
      <c r="W26" s="2062"/>
      <c r="X26" s="2062"/>
      <c r="Y26" s="2062"/>
      <c r="Z26" s="2062"/>
      <c r="AA26" s="2062"/>
      <c r="AB26" s="2062"/>
      <c r="AC26" s="2062"/>
      <c r="AD26" s="2062"/>
      <c r="AE26" s="2062"/>
      <c r="AF26" s="2062"/>
      <c r="AG26" s="2062"/>
      <c r="AH26" s="2062"/>
      <c r="AI26" s="2062"/>
      <c r="AJ26" s="206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9" t="s">
        <v>599</v>
      </c>
      <c r="C30" s="2109"/>
      <c r="D30" s="581"/>
      <c r="E30" s="2119" t="s">
        <v>2318</v>
      </c>
      <c r="F30" s="2120"/>
      <c r="G30" s="2120"/>
      <c r="H30" s="2120"/>
      <c r="I30" s="2120"/>
      <c r="J30" s="2120"/>
      <c r="K30" s="2120"/>
      <c r="L30" s="2120"/>
      <c r="M30" s="2120"/>
      <c r="N30" s="2120"/>
      <c r="O30" s="2120"/>
      <c r="P30" s="2120"/>
      <c r="Q30" s="2120"/>
      <c r="R30" s="2120"/>
      <c r="S30" s="2120"/>
      <c r="T30" s="2120"/>
      <c r="U30" s="2120"/>
      <c r="V30" s="2120"/>
      <c r="W30" s="2120"/>
      <c r="X30" s="2120"/>
      <c r="Y30" s="2120"/>
      <c r="Z30" s="2120"/>
      <c r="AA30" s="2120"/>
      <c r="AB30" s="2120"/>
      <c r="AC30" s="2120"/>
      <c r="AD30" s="2120"/>
      <c r="AE30" s="2120"/>
      <c r="AF30" s="2120"/>
      <c r="AG30" s="2120"/>
      <c r="AH30" s="2120"/>
      <c r="AI30" s="2120"/>
      <c r="AJ30" s="2121"/>
      <c r="AK30" s="574"/>
      <c r="AL30" s="574"/>
      <c r="AM30" s="574"/>
      <c r="AN30" s="569"/>
      <c r="AO30" s="584"/>
    </row>
    <row r="31" spans="1:42" s="570" customFormat="1" ht="12.75" customHeight="1">
      <c r="A31" s="574"/>
      <c r="B31" s="574"/>
      <c r="C31" s="574"/>
      <c r="E31" s="2122"/>
      <c r="F31" s="2123"/>
      <c r="G31" s="2123"/>
      <c r="H31" s="2123"/>
      <c r="I31" s="2123"/>
      <c r="J31" s="2123"/>
      <c r="K31" s="2123"/>
      <c r="L31" s="2123"/>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9" t="s">
        <v>599</v>
      </c>
      <c r="C33" s="2109"/>
      <c r="D33" s="581"/>
      <c r="E33" s="2036" t="s">
        <v>2319</v>
      </c>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2037"/>
      <c r="AB33" s="2037"/>
      <c r="AC33" s="2037"/>
      <c r="AD33" s="2037"/>
      <c r="AE33" s="2037"/>
      <c r="AF33" s="2037"/>
      <c r="AG33" s="2037"/>
      <c r="AH33" s="2037"/>
      <c r="AI33" s="2037"/>
      <c r="AJ33" s="2038"/>
      <c r="AK33" s="574"/>
      <c r="AL33" s="574"/>
      <c r="AM33" s="574"/>
      <c r="AN33" s="569"/>
    </row>
    <row r="34" spans="1:41" s="570" customFormat="1" ht="12.75" customHeight="1">
      <c r="A34" s="574"/>
      <c r="B34" s="574"/>
      <c r="C34" s="574"/>
      <c r="E34" s="2039"/>
      <c r="F34" s="2040"/>
      <c r="G34" s="2040"/>
      <c r="H34" s="2040"/>
      <c r="I34" s="2040"/>
      <c r="J34" s="2040"/>
      <c r="K34" s="2040"/>
      <c r="L34" s="2040"/>
      <c r="M34" s="2040"/>
      <c r="N34" s="2040"/>
      <c r="O34" s="2040"/>
      <c r="P34" s="2040"/>
      <c r="Q34" s="2040"/>
      <c r="R34" s="2040"/>
      <c r="S34" s="2040"/>
      <c r="T34" s="2040"/>
      <c r="U34" s="2040"/>
      <c r="V34" s="2040"/>
      <c r="W34" s="2040"/>
      <c r="X34" s="2040"/>
      <c r="Y34" s="2040"/>
      <c r="Z34" s="2040"/>
      <c r="AA34" s="2040"/>
      <c r="AB34" s="2040"/>
      <c r="AC34" s="2040"/>
      <c r="AD34" s="2040"/>
      <c r="AE34" s="2040"/>
      <c r="AF34" s="2040"/>
      <c r="AG34" s="2040"/>
      <c r="AH34" s="2040"/>
      <c r="AI34" s="2040"/>
      <c r="AJ34" s="2041"/>
      <c r="AK34" s="574"/>
      <c r="AL34" s="574"/>
      <c r="AM34" s="574"/>
      <c r="AN34" s="569"/>
    </row>
    <row r="35" spans="1:41" s="570" customFormat="1" ht="12.75" customHeight="1">
      <c r="A35" s="574"/>
      <c r="B35" s="574"/>
      <c r="C35" s="574"/>
      <c r="E35" s="2061"/>
      <c r="F35" s="2062"/>
      <c r="G35" s="2062"/>
      <c r="H35" s="2062"/>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9" t="s">
        <v>599</v>
      </c>
      <c r="C39" s="2109"/>
      <c r="D39" s="1186"/>
      <c r="E39" s="2036" t="s">
        <v>2320</v>
      </c>
      <c r="F39" s="2037"/>
      <c r="G39" s="2037"/>
      <c r="H39" s="2037"/>
      <c r="I39" s="2037"/>
      <c r="J39" s="2037"/>
      <c r="K39" s="2037"/>
      <c r="L39" s="2037"/>
      <c r="M39" s="2037"/>
      <c r="N39" s="2037"/>
      <c r="O39" s="2037"/>
      <c r="P39" s="2037"/>
      <c r="Q39" s="2037"/>
      <c r="R39" s="2037"/>
      <c r="S39" s="2037"/>
      <c r="T39" s="2037"/>
      <c r="U39" s="2037"/>
      <c r="V39" s="2037"/>
      <c r="W39" s="2037"/>
      <c r="X39" s="2037"/>
      <c r="Y39" s="2037"/>
      <c r="Z39" s="2037"/>
      <c r="AA39" s="2037"/>
      <c r="AB39" s="2037"/>
      <c r="AC39" s="2037"/>
      <c r="AD39" s="2037"/>
      <c r="AE39" s="2037"/>
      <c r="AF39" s="2037"/>
      <c r="AG39" s="2037"/>
      <c r="AH39" s="2037"/>
      <c r="AI39" s="2037"/>
      <c r="AJ39" s="2038"/>
      <c r="AK39" s="1186"/>
      <c r="AL39" s="574"/>
      <c r="AM39" s="574"/>
      <c r="AN39" s="569"/>
    </row>
    <row r="40" spans="1:41" s="570" customFormat="1" ht="12.75" customHeight="1">
      <c r="A40" s="574"/>
      <c r="B40" s="574"/>
      <c r="C40" s="574"/>
      <c r="E40" s="2039"/>
      <c r="F40" s="2040"/>
      <c r="G40" s="2040"/>
      <c r="H40" s="2040"/>
      <c r="I40" s="2040"/>
      <c r="J40" s="2040"/>
      <c r="K40" s="2040"/>
      <c r="L40" s="2040"/>
      <c r="M40" s="2040"/>
      <c r="N40" s="2040"/>
      <c r="O40" s="2040"/>
      <c r="P40" s="2040"/>
      <c r="Q40" s="2040"/>
      <c r="R40" s="2040"/>
      <c r="S40" s="2040"/>
      <c r="T40" s="2040"/>
      <c r="U40" s="2040"/>
      <c r="V40" s="2040"/>
      <c r="W40" s="2040"/>
      <c r="X40" s="2040"/>
      <c r="Y40" s="2040"/>
      <c r="Z40" s="2040"/>
      <c r="AA40" s="2040"/>
      <c r="AB40" s="2040"/>
      <c r="AC40" s="2040"/>
      <c r="AD40" s="2040"/>
      <c r="AE40" s="2040"/>
      <c r="AF40" s="2040"/>
      <c r="AG40" s="2040"/>
      <c r="AH40" s="2040"/>
      <c r="AI40" s="2040"/>
      <c r="AJ40" s="2041"/>
      <c r="AK40" s="574"/>
      <c r="AL40" s="574"/>
      <c r="AM40" s="574"/>
      <c r="AN40" s="569"/>
    </row>
    <row r="41" spans="1:41" s="570" customFormat="1" ht="12.75" customHeight="1">
      <c r="A41" s="574"/>
      <c r="D41" s="581"/>
      <c r="E41" s="2061"/>
      <c r="F41" s="2062"/>
      <c r="G41" s="2062"/>
      <c r="H41" s="2062"/>
      <c r="I41" s="2062"/>
      <c r="J41" s="2062"/>
      <c r="K41" s="2062"/>
      <c r="L41" s="2062"/>
      <c r="M41" s="2062"/>
      <c r="N41" s="2062"/>
      <c r="O41" s="2062"/>
      <c r="P41" s="2062"/>
      <c r="Q41" s="2062"/>
      <c r="R41" s="2062"/>
      <c r="S41" s="2062"/>
      <c r="T41" s="2062"/>
      <c r="U41" s="2062"/>
      <c r="V41" s="2062"/>
      <c r="W41" s="2062"/>
      <c r="X41" s="2062"/>
      <c r="Y41" s="2062"/>
      <c r="Z41" s="2062"/>
      <c r="AA41" s="2062"/>
      <c r="AB41" s="2062"/>
      <c r="AC41" s="2062"/>
      <c r="AD41" s="2062"/>
      <c r="AE41" s="2062"/>
      <c r="AF41" s="2062"/>
      <c r="AG41" s="2062"/>
      <c r="AH41" s="2062"/>
      <c r="AI41" s="2062"/>
      <c r="AJ41" s="206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9" t="s">
        <v>599</v>
      </c>
      <c r="C46" s="2109"/>
      <c r="D46" s="574"/>
      <c r="E46" s="2036" t="s">
        <v>2325</v>
      </c>
      <c r="F46" s="2037"/>
      <c r="G46" s="2037"/>
      <c r="H46" s="2037"/>
      <c r="I46" s="2037"/>
      <c r="J46" s="2037"/>
      <c r="K46" s="2037"/>
      <c r="L46" s="2037"/>
      <c r="M46" s="2037"/>
      <c r="N46" s="2037"/>
      <c r="O46" s="2037"/>
      <c r="P46" s="2037"/>
      <c r="Q46" s="2037"/>
      <c r="R46" s="2037"/>
      <c r="S46" s="2037"/>
      <c r="T46" s="2037"/>
      <c r="U46" s="2037"/>
      <c r="V46" s="2037"/>
      <c r="W46" s="2037"/>
      <c r="X46" s="2037"/>
      <c r="Y46" s="2037"/>
      <c r="Z46" s="2037"/>
      <c r="AA46" s="2037"/>
      <c r="AB46" s="2037"/>
      <c r="AC46" s="2037"/>
      <c r="AD46" s="2037"/>
      <c r="AE46" s="2037"/>
      <c r="AF46" s="2037"/>
      <c r="AG46" s="2037"/>
      <c r="AH46" s="2037"/>
      <c r="AI46" s="2037"/>
      <c r="AJ46" s="2038"/>
      <c r="AK46" s="574"/>
      <c r="AL46" s="574"/>
      <c r="AM46" s="574"/>
      <c r="AN46" s="569"/>
      <c r="AO46" s="593"/>
    </row>
    <row r="47" spans="1:41" s="570" customFormat="1" ht="12.75" customHeight="1">
      <c r="A47" s="574"/>
      <c r="D47" s="581"/>
      <c r="E47" s="2039"/>
      <c r="F47" s="2040"/>
      <c r="G47" s="2040"/>
      <c r="H47" s="2040"/>
      <c r="I47" s="2040"/>
      <c r="J47" s="2040"/>
      <c r="K47" s="2040"/>
      <c r="L47" s="2040"/>
      <c r="M47" s="2040"/>
      <c r="N47" s="2040"/>
      <c r="O47" s="2040"/>
      <c r="P47" s="2040"/>
      <c r="Q47" s="2040"/>
      <c r="R47" s="2040"/>
      <c r="S47" s="2040"/>
      <c r="T47" s="2040"/>
      <c r="U47" s="2040"/>
      <c r="V47" s="2040"/>
      <c r="W47" s="2040"/>
      <c r="X47" s="2040"/>
      <c r="Y47" s="2040"/>
      <c r="Z47" s="2040"/>
      <c r="AA47" s="2040"/>
      <c r="AB47" s="2040"/>
      <c r="AC47" s="2040"/>
      <c r="AD47" s="2040"/>
      <c r="AE47" s="2040"/>
      <c r="AF47" s="2040"/>
      <c r="AG47" s="2040"/>
      <c r="AH47" s="2040"/>
      <c r="AI47" s="2040"/>
      <c r="AJ47" s="2041"/>
      <c r="AK47" s="574"/>
      <c r="AL47" s="574"/>
      <c r="AM47" s="574"/>
      <c r="AN47" s="569"/>
      <c r="AO47" s="593"/>
    </row>
    <row r="48" spans="1:41" s="570" customFormat="1" ht="12.75" customHeight="1">
      <c r="A48" s="574"/>
      <c r="D48" s="574"/>
      <c r="E48" s="2061"/>
      <c r="F48" s="2062"/>
      <c r="G48" s="2062"/>
      <c r="H48" s="2062"/>
      <c r="I48" s="2062"/>
      <c r="J48" s="2062"/>
      <c r="K48" s="2062"/>
      <c r="L48" s="2062"/>
      <c r="M48" s="2062"/>
      <c r="N48" s="2062"/>
      <c r="O48" s="2062"/>
      <c r="P48" s="2062"/>
      <c r="Q48" s="2062"/>
      <c r="R48" s="2062"/>
      <c r="S48" s="2062"/>
      <c r="T48" s="2062"/>
      <c r="U48" s="2062"/>
      <c r="V48" s="2062"/>
      <c r="W48" s="2062"/>
      <c r="X48" s="2062"/>
      <c r="Y48" s="2062"/>
      <c r="Z48" s="2062"/>
      <c r="AA48" s="2062"/>
      <c r="AB48" s="2062"/>
      <c r="AC48" s="2062"/>
      <c r="AD48" s="2062"/>
      <c r="AE48" s="2062"/>
      <c r="AF48" s="2062"/>
      <c r="AG48" s="2062"/>
      <c r="AH48" s="2062"/>
      <c r="AI48" s="2062"/>
      <c r="AJ48" s="206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9" t="s">
        <v>599</v>
      </c>
      <c r="C50" s="2109"/>
      <c r="D50" s="574"/>
      <c r="E50" s="2135" t="s">
        <v>2326</v>
      </c>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9" t="s">
        <v>599</v>
      </c>
      <c r="C52" s="2109"/>
      <c r="D52" s="574"/>
      <c r="E52" s="2036" t="s">
        <v>2327</v>
      </c>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c r="AH52" s="2037"/>
      <c r="AI52" s="2037"/>
      <c r="AJ52" s="2038"/>
      <c r="AK52" s="574"/>
      <c r="AL52" s="574"/>
      <c r="AM52" s="574"/>
      <c r="AN52" s="569"/>
    </row>
    <row r="53" spans="1:50" s="570" customFormat="1" ht="12.75" customHeight="1">
      <c r="A53" s="574"/>
      <c r="B53" s="581"/>
      <c r="C53" s="581"/>
      <c r="D53" s="581"/>
      <c r="E53" s="2061"/>
      <c r="F53" s="2062"/>
      <c r="G53" s="2062"/>
      <c r="H53" s="2062"/>
      <c r="I53" s="2062"/>
      <c r="J53" s="2062"/>
      <c r="K53" s="2062"/>
      <c r="L53" s="2062"/>
      <c r="M53" s="2062"/>
      <c r="N53" s="2062"/>
      <c r="O53" s="2062"/>
      <c r="P53" s="2062"/>
      <c r="Q53" s="2062"/>
      <c r="R53" s="2062"/>
      <c r="S53" s="2062"/>
      <c r="T53" s="2062"/>
      <c r="U53" s="2062"/>
      <c r="V53" s="2062"/>
      <c r="W53" s="2062"/>
      <c r="X53" s="2062"/>
      <c r="Y53" s="2062"/>
      <c r="Z53" s="2062"/>
      <c r="AA53" s="2062"/>
      <c r="AB53" s="2062"/>
      <c r="AC53" s="2062"/>
      <c r="AD53" s="2062"/>
      <c r="AE53" s="2062"/>
      <c r="AF53" s="2062"/>
      <c r="AG53" s="2062"/>
      <c r="AH53" s="2062"/>
      <c r="AI53" s="2062"/>
      <c r="AJ53" s="206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82">
        <f>AO36</f>
        <v>0</v>
      </c>
      <c r="AL56" s="2083"/>
      <c r="AM56" s="208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6" t="s">
        <v>1423</v>
      </c>
      <c r="AF59" s="1926"/>
      <c r="AG59" s="1926"/>
      <c r="AH59" s="1926"/>
      <c r="AI59" s="1926"/>
      <c r="AJ59" s="1926"/>
      <c r="AK59" s="1926"/>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9" t="s">
        <v>553</v>
      </c>
      <c r="C62" s="2109"/>
      <c r="D62" s="581" t="s">
        <v>1424</v>
      </c>
      <c r="E62" s="2101" t="s">
        <v>2328</v>
      </c>
      <c r="F62" s="2102"/>
      <c r="G62" s="2102"/>
      <c r="H62" s="2102"/>
      <c r="I62" s="2102"/>
      <c r="J62" s="2102"/>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3"/>
      <c r="AK62" s="577"/>
      <c r="AL62" s="574"/>
      <c r="AM62" s="574"/>
      <c r="AN62" s="569"/>
      <c r="AO62" s="584">
        <f>IF($B62="yes",10,0)</f>
        <v>10</v>
      </c>
    </row>
    <row r="63" spans="1:50" s="570" customFormat="1" ht="12.75" customHeight="1">
      <c r="A63" s="572"/>
      <c r="B63" s="574"/>
      <c r="C63" s="574"/>
      <c r="D63" s="585"/>
      <c r="E63" s="2104"/>
      <c r="F63" s="2105"/>
      <c r="G63" s="2105"/>
      <c r="H63" s="2105"/>
      <c r="I63" s="2105"/>
      <c r="J63" s="2105"/>
      <c r="K63" s="2105"/>
      <c r="L63" s="2105"/>
      <c r="M63" s="2105"/>
      <c r="N63" s="2105"/>
      <c r="O63" s="2105"/>
      <c r="P63" s="2105"/>
      <c r="Q63" s="2105"/>
      <c r="R63" s="2105"/>
      <c r="S63" s="2105"/>
      <c r="T63" s="2105"/>
      <c r="U63" s="2105"/>
      <c r="V63" s="2105"/>
      <c r="W63" s="2105"/>
      <c r="X63" s="2105"/>
      <c r="Y63" s="2105"/>
      <c r="Z63" s="2105"/>
      <c r="AA63" s="2105"/>
      <c r="AB63" s="2105"/>
      <c r="AC63" s="2105"/>
      <c r="AD63" s="2105"/>
      <c r="AE63" s="2105"/>
      <c r="AF63" s="2105"/>
      <c r="AG63" s="2105"/>
      <c r="AH63" s="2105"/>
      <c r="AI63" s="2105"/>
      <c r="AJ63" s="2106"/>
      <c r="AK63" s="577"/>
      <c r="AL63" s="574"/>
      <c r="AM63" s="574"/>
      <c r="AN63" s="569"/>
      <c r="AO63" s="584">
        <f>IF($B68="yes",10,0)</f>
        <v>0</v>
      </c>
    </row>
    <row r="64" spans="1:50" s="570" customFormat="1" ht="12.75" customHeight="1">
      <c r="A64" s="572"/>
      <c r="B64" s="574"/>
      <c r="C64" s="574"/>
      <c r="D64" s="585"/>
      <c r="E64" s="2104"/>
      <c r="F64" s="2105"/>
      <c r="G64" s="2105"/>
      <c r="H64" s="2105"/>
      <c r="I64" s="2105"/>
      <c r="J64" s="2105"/>
      <c r="K64" s="2105"/>
      <c r="L64" s="2105"/>
      <c r="M64" s="2105"/>
      <c r="N64" s="2105"/>
      <c r="O64" s="2105"/>
      <c r="P64" s="2105"/>
      <c r="Q64" s="2105"/>
      <c r="R64" s="2105"/>
      <c r="S64" s="2105"/>
      <c r="T64" s="2105"/>
      <c r="U64" s="2105"/>
      <c r="V64" s="2105"/>
      <c r="W64" s="2105"/>
      <c r="X64" s="2105"/>
      <c r="Y64" s="2105"/>
      <c r="Z64" s="2105"/>
      <c r="AA64" s="2105"/>
      <c r="AB64" s="2105"/>
      <c r="AC64" s="2105"/>
      <c r="AD64" s="2105"/>
      <c r="AE64" s="2105"/>
      <c r="AF64" s="2105"/>
      <c r="AG64" s="2105"/>
      <c r="AH64" s="2105"/>
      <c r="AI64" s="2105"/>
      <c r="AJ64" s="2106"/>
      <c r="AK64" s="577"/>
      <c r="AL64" s="574"/>
      <c r="AM64" s="574"/>
      <c r="AN64" s="569"/>
      <c r="AO64" s="584">
        <f>IF($B75="yes",10,0)</f>
        <v>10</v>
      </c>
    </row>
    <row r="65" spans="1:42" s="570" customFormat="1" ht="12.75" customHeight="1">
      <c r="A65" s="572"/>
      <c r="B65" s="574"/>
      <c r="C65" s="574"/>
      <c r="D65" s="585"/>
      <c r="E65" s="2104"/>
      <c r="F65" s="2105"/>
      <c r="G65" s="2105"/>
      <c r="H65" s="2105"/>
      <c r="I65" s="2105"/>
      <c r="J65" s="2105"/>
      <c r="K65" s="2105"/>
      <c r="L65" s="2105"/>
      <c r="M65" s="2105"/>
      <c r="N65" s="2105"/>
      <c r="O65" s="2105"/>
      <c r="P65" s="2105"/>
      <c r="Q65" s="2105"/>
      <c r="R65" s="2105"/>
      <c r="S65" s="2105"/>
      <c r="T65" s="2105"/>
      <c r="U65" s="2105"/>
      <c r="V65" s="2105"/>
      <c r="W65" s="2105"/>
      <c r="X65" s="2105"/>
      <c r="Y65" s="2105"/>
      <c r="Z65" s="2105"/>
      <c r="AA65" s="2105"/>
      <c r="AB65" s="2105"/>
      <c r="AC65" s="2105"/>
      <c r="AD65" s="2105"/>
      <c r="AE65" s="2105"/>
      <c r="AF65" s="2105"/>
      <c r="AG65" s="2105"/>
      <c r="AH65" s="2105"/>
      <c r="AI65" s="2105"/>
      <c r="AJ65" s="2106"/>
      <c r="AK65" s="577"/>
      <c r="AL65" s="574"/>
      <c r="AM65" s="574"/>
      <c r="AN65" s="569"/>
      <c r="AO65" s="570">
        <f>IF(SUM(AO62:AO64)&gt;10,10,(SUM(AO62:AO64)))</f>
        <v>10</v>
      </c>
      <c r="AP65" s="608" t="s">
        <v>1425</v>
      </c>
    </row>
    <row r="66" spans="1:42" s="570" customFormat="1" ht="12.75" customHeight="1">
      <c r="A66" s="572"/>
      <c r="B66" s="574"/>
      <c r="C66" s="574"/>
      <c r="D66" s="585"/>
      <c r="E66" s="2131"/>
      <c r="F66" s="2132"/>
      <c r="G66" s="2132"/>
      <c r="H66" s="2132"/>
      <c r="I66" s="2132"/>
      <c r="J66" s="2132"/>
      <c r="K66" s="2132"/>
      <c r="L66" s="2132"/>
      <c r="M66" s="2132"/>
      <c r="N66" s="2132"/>
      <c r="O66" s="2132"/>
      <c r="P66" s="2132"/>
      <c r="Q66" s="2132"/>
      <c r="R66" s="2132"/>
      <c r="S66" s="2132"/>
      <c r="T66" s="2132"/>
      <c r="U66" s="2132"/>
      <c r="V66" s="2132"/>
      <c r="W66" s="2132"/>
      <c r="X66" s="2132"/>
      <c r="Y66" s="2132"/>
      <c r="Z66" s="2132"/>
      <c r="AA66" s="2132"/>
      <c r="AB66" s="2132"/>
      <c r="AC66" s="2132"/>
      <c r="AD66" s="2132"/>
      <c r="AE66" s="2132"/>
      <c r="AF66" s="2132"/>
      <c r="AG66" s="2132"/>
      <c r="AH66" s="2132"/>
      <c r="AI66" s="2132"/>
      <c r="AJ66" s="213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9" t="s">
        <v>599</v>
      </c>
      <c r="C68" s="2109"/>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4" t="s">
        <v>599</v>
      </c>
      <c r="F69" s="2109"/>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9" t="s">
        <v>599</v>
      </c>
      <c r="F70" s="2130"/>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9" t="s">
        <v>599</v>
      </c>
      <c r="F71" s="2130"/>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4" t="s">
        <v>599</v>
      </c>
      <c r="F73" s="2109"/>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9" t="s">
        <v>553</v>
      </c>
      <c r="C75" s="2109"/>
      <c r="D75" s="581" t="s">
        <v>1429</v>
      </c>
      <c r="E75" s="2036" t="s">
        <v>1928</v>
      </c>
      <c r="F75" s="2037"/>
      <c r="G75" s="2037"/>
      <c r="H75" s="2037"/>
      <c r="I75" s="2037"/>
      <c r="J75" s="2037"/>
      <c r="K75" s="2037"/>
      <c r="L75" s="2037"/>
      <c r="M75" s="2037"/>
      <c r="N75" s="2037"/>
      <c r="O75" s="2037"/>
      <c r="P75" s="2037"/>
      <c r="Q75" s="2037"/>
      <c r="R75" s="2037"/>
      <c r="S75" s="2037"/>
      <c r="T75" s="2037"/>
      <c r="U75" s="2037"/>
      <c r="V75" s="2037"/>
      <c r="W75" s="2037"/>
      <c r="X75" s="2037"/>
      <c r="Y75" s="2037"/>
      <c r="Z75" s="2037"/>
      <c r="AA75" s="2037"/>
      <c r="AB75" s="2037"/>
      <c r="AC75" s="2037"/>
      <c r="AD75" s="2037"/>
      <c r="AE75" s="2037"/>
      <c r="AF75" s="2037"/>
      <c r="AG75" s="2037"/>
      <c r="AH75" s="2037"/>
      <c r="AI75" s="2037"/>
      <c r="AJ75" s="2038"/>
      <c r="AK75" s="577"/>
      <c r="AL75" s="574"/>
      <c r="AM75" s="574"/>
      <c r="AN75" s="569"/>
    </row>
    <row r="76" spans="1:42" s="570" customFormat="1" ht="12.75" customHeight="1">
      <c r="A76" s="572"/>
      <c r="B76" s="574"/>
      <c r="C76" s="574"/>
      <c r="D76" s="584"/>
      <c r="E76" s="2061"/>
      <c r="F76" s="2062"/>
      <c r="G76" s="2062"/>
      <c r="H76" s="2062"/>
      <c r="I76" s="2062"/>
      <c r="J76" s="2062"/>
      <c r="K76" s="2062"/>
      <c r="L76" s="2062"/>
      <c r="M76" s="2062"/>
      <c r="N76" s="2062"/>
      <c r="O76" s="2062"/>
      <c r="P76" s="2062"/>
      <c r="Q76" s="2062"/>
      <c r="R76" s="2062"/>
      <c r="S76" s="2062"/>
      <c r="T76" s="2062"/>
      <c r="U76" s="2062"/>
      <c r="V76" s="2062"/>
      <c r="W76" s="2062"/>
      <c r="X76" s="2062"/>
      <c r="Y76" s="2062"/>
      <c r="Z76" s="2062"/>
      <c r="AA76" s="2062"/>
      <c r="AB76" s="2062"/>
      <c r="AC76" s="2062"/>
      <c r="AD76" s="2062"/>
      <c r="AE76" s="2062"/>
      <c r="AF76" s="2062"/>
      <c r="AG76" s="2062"/>
      <c r="AH76" s="2062"/>
      <c r="AI76" s="2062"/>
      <c r="AJ76" s="206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82">
        <f>IF(AK56&gt;0,0,AO65)</f>
        <v>10</v>
      </c>
      <c r="AL78" s="2083"/>
      <c r="AM78" s="208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6" t="s">
        <v>1414</v>
      </c>
      <c r="AF81" s="1926"/>
      <c r="AG81" s="1926"/>
      <c r="AH81" s="1926"/>
      <c r="AI81" s="1926"/>
      <c r="AJ81" s="1926"/>
      <c r="AK81" s="1926"/>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9" t="s">
        <v>553</v>
      </c>
      <c r="C84" s="2109"/>
      <c r="D84" s="581" t="s">
        <v>1424</v>
      </c>
      <c r="E84" s="2101" t="s">
        <v>1434</v>
      </c>
      <c r="F84" s="2102"/>
      <c r="G84" s="2102"/>
      <c r="H84" s="2102"/>
      <c r="I84" s="2102"/>
      <c r="J84" s="2102"/>
      <c r="K84" s="2102"/>
      <c r="L84" s="2102"/>
      <c r="M84" s="2102"/>
      <c r="N84" s="2102"/>
      <c r="O84" s="2102"/>
      <c r="P84" s="2102"/>
      <c r="Q84" s="2102"/>
      <c r="R84" s="2102"/>
      <c r="S84" s="2102"/>
      <c r="T84" s="2102"/>
      <c r="U84" s="2102"/>
      <c r="V84" s="2102"/>
      <c r="W84" s="2102"/>
      <c r="X84" s="2102"/>
      <c r="Y84" s="2102"/>
      <c r="Z84" s="2102"/>
      <c r="AA84" s="2102"/>
      <c r="AB84" s="2102"/>
      <c r="AC84" s="2102"/>
      <c r="AD84" s="2102"/>
      <c r="AE84" s="2102"/>
      <c r="AF84" s="2102"/>
      <c r="AG84" s="2102"/>
      <c r="AH84" s="2102"/>
      <c r="AI84" s="2102"/>
      <c r="AJ84" s="2103"/>
      <c r="AK84" s="577"/>
      <c r="AL84" s="574"/>
      <c r="AM84" s="574"/>
      <c r="AN84" s="569"/>
    </row>
    <row r="85" spans="1:43" s="570" customFormat="1" ht="12.75" customHeight="1">
      <c r="A85" s="572"/>
      <c r="B85" s="573"/>
      <c r="C85" s="573"/>
      <c r="D85" s="573"/>
      <c r="E85" s="2104"/>
      <c r="F85" s="2105"/>
      <c r="G85" s="2105"/>
      <c r="H85" s="2105"/>
      <c r="I85" s="2105"/>
      <c r="J85" s="2105"/>
      <c r="K85" s="2105"/>
      <c r="L85" s="2105"/>
      <c r="M85" s="2105"/>
      <c r="N85" s="2105"/>
      <c r="O85" s="2105"/>
      <c r="P85" s="2105"/>
      <c r="Q85" s="2105"/>
      <c r="R85" s="2105"/>
      <c r="S85" s="2105"/>
      <c r="T85" s="2105"/>
      <c r="U85" s="2105"/>
      <c r="V85" s="2105"/>
      <c r="W85" s="2105"/>
      <c r="X85" s="2105"/>
      <c r="Y85" s="2105"/>
      <c r="Z85" s="2105"/>
      <c r="AA85" s="2105"/>
      <c r="AB85" s="2105"/>
      <c r="AC85" s="2105"/>
      <c r="AD85" s="2105"/>
      <c r="AE85" s="2105"/>
      <c r="AF85" s="2105"/>
      <c r="AG85" s="2105"/>
      <c r="AH85" s="2105"/>
      <c r="AI85" s="2105"/>
      <c r="AJ85" s="21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7">
        <f>Application!AC753</f>
        <v>0.3</v>
      </c>
      <c r="F87" s="2098"/>
      <c r="G87" s="2098"/>
      <c r="H87" s="2098"/>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8">
        <f>0.6-ROUNDUP(E87,2)</f>
        <v>0.3</v>
      </c>
      <c r="F88" s="1900"/>
      <c r="G88" s="1900"/>
      <c r="H88" s="1900"/>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3">
        <f>IF(E88*200&gt;20,20,E88*200)</f>
        <v>20</v>
      </c>
      <c r="F89" s="2114"/>
      <c r="G89" s="2114"/>
      <c r="H89" s="2114"/>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9" t="s">
        <v>599</v>
      </c>
      <c r="C92" s="2109"/>
      <c r="D92" s="581" t="s">
        <v>1426</v>
      </c>
      <c r="E92" s="2101" t="s">
        <v>1913</v>
      </c>
      <c r="F92" s="2102"/>
      <c r="G92" s="2102"/>
      <c r="H92" s="2102"/>
      <c r="I92" s="2102"/>
      <c r="J92" s="2102"/>
      <c r="K92" s="2102"/>
      <c r="L92" s="2102"/>
      <c r="M92" s="2102"/>
      <c r="N92" s="2102"/>
      <c r="O92" s="2102"/>
      <c r="P92" s="2102"/>
      <c r="Q92" s="2102"/>
      <c r="R92" s="2102"/>
      <c r="S92" s="2102"/>
      <c r="T92" s="2102"/>
      <c r="U92" s="2102"/>
      <c r="V92" s="2102"/>
      <c r="W92" s="2102"/>
      <c r="X92" s="2102"/>
      <c r="Y92" s="2102"/>
      <c r="Z92" s="2102"/>
      <c r="AA92" s="2102"/>
      <c r="AB92" s="2102"/>
      <c r="AC92" s="2102"/>
      <c r="AD92" s="2102"/>
      <c r="AE92" s="2102"/>
      <c r="AF92" s="2102"/>
      <c r="AG92" s="2102"/>
      <c r="AH92" s="2102"/>
      <c r="AI92" s="2102"/>
      <c r="AJ92" s="2103"/>
      <c r="AK92" s="577"/>
      <c r="AL92" s="574"/>
      <c r="AM92" s="574"/>
      <c r="AN92" s="569"/>
    </row>
    <row r="93" spans="1:43" s="570" customFormat="1" ht="12.75" customHeight="1">
      <c r="A93" s="572"/>
      <c r="B93" s="573"/>
      <c r="C93" s="573"/>
      <c r="D93" s="573"/>
      <c r="E93" s="2104"/>
      <c r="F93" s="2105"/>
      <c r="G93" s="2105"/>
      <c r="H93" s="2105"/>
      <c r="I93" s="2105"/>
      <c r="J93" s="2105"/>
      <c r="K93" s="2105"/>
      <c r="L93" s="2105"/>
      <c r="M93" s="2105"/>
      <c r="N93" s="2105"/>
      <c r="O93" s="2105"/>
      <c r="P93" s="2105"/>
      <c r="Q93" s="2105"/>
      <c r="R93" s="2105"/>
      <c r="S93" s="2105"/>
      <c r="T93" s="2105"/>
      <c r="U93" s="2105"/>
      <c r="V93" s="2105"/>
      <c r="W93" s="2105"/>
      <c r="X93" s="2105"/>
      <c r="Y93" s="2105"/>
      <c r="Z93" s="2105"/>
      <c r="AA93" s="2105"/>
      <c r="AB93" s="2105"/>
      <c r="AC93" s="2105"/>
      <c r="AD93" s="2105"/>
      <c r="AE93" s="2105"/>
      <c r="AF93" s="2105"/>
      <c r="AG93" s="2105"/>
      <c r="AH93" s="2105"/>
      <c r="AI93" s="2105"/>
      <c r="AJ93" s="2106"/>
      <c r="AK93" s="577"/>
      <c r="AL93" s="574"/>
      <c r="AM93" s="574"/>
      <c r="AN93" s="569"/>
    </row>
    <row r="94" spans="1:43" s="570" customFormat="1" ht="12.75" customHeight="1">
      <c r="A94" s="572"/>
      <c r="B94" s="573"/>
      <c r="C94" s="573"/>
      <c r="D94" s="573"/>
      <c r="E94" s="2104"/>
      <c r="F94" s="2105"/>
      <c r="G94" s="2105"/>
      <c r="H94" s="2105"/>
      <c r="I94" s="2105"/>
      <c r="J94" s="2105"/>
      <c r="K94" s="2105"/>
      <c r="L94" s="2105"/>
      <c r="M94" s="2105"/>
      <c r="N94" s="2105"/>
      <c r="O94" s="2105"/>
      <c r="P94" s="2105"/>
      <c r="Q94" s="2105"/>
      <c r="R94" s="2105"/>
      <c r="S94" s="2105"/>
      <c r="T94" s="2105"/>
      <c r="U94" s="2105"/>
      <c r="V94" s="2105"/>
      <c r="W94" s="2105"/>
      <c r="X94" s="2105"/>
      <c r="Y94" s="2105"/>
      <c r="Z94" s="2105"/>
      <c r="AA94" s="2105"/>
      <c r="AB94" s="2105"/>
      <c r="AC94" s="2105"/>
      <c r="AD94" s="2105"/>
      <c r="AE94" s="2105"/>
      <c r="AF94" s="2105"/>
      <c r="AG94" s="2105"/>
      <c r="AH94" s="2105"/>
      <c r="AI94" s="2105"/>
      <c r="AJ94" s="2106"/>
      <c r="AK94" s="577"/>
      <c r="AL94" s="574"/>
      <c r="AM94" s="574"/>
      <c r="AN94" s="569"/>
    </row>
    <row r="95" spans="1:43" s="570" customFormat="1" ht="12.75" customHeight="1">
      <c r="A95" s="572"/>
      <c r="B95" s="573"/>
      <c r="C95" s="573"/>
      <c r="D95" s="573"/>
      <c r="E95" s="2104"/>
      <c r="F95" s="2105"/>
      <c r="G95" s="2105"/>
      <c r="H95" s="2105"/>
      <c r="I95" s="2105"/>
      <c r="J95" s="2105"/>
      <c r="K95" s="2105"/>
      <c r="L95" s="2105"/>
      <c r="M95" s="2105"/>
      <c r="N95" s="2105"/>
      <c r="O95" s="2105"/>
      <c r="P95" s="2105"/>
      <c r="Q95" s="2105"/>
      <c r="R95" s="2105"/>
      <c r="S95" s="2105"/>
      <c r="T95" s="2105"/>
      <c r="U95" s="2105"/>
      <c r="V95" s="2105"/>
      <c r="W95" s="2105"/>
      <c r="X95" s="2105"/>
      <c r="Y95" s="2105"/>
      <c r="Z95" s="2105"/>
      <c r="AA95" s="2105"/>
      <c r="AB95" s="2105"/>
      <c r="AC95" s="2105"/>
      <c r="AD95" s="2105"/>
      <c r="AE95" s="2105"/>
      <c r="AF95" s="2105"/>
      <c r="AG95" s="2105"/>
      <c r="AH95" s="2105"/>
      <c r="AI95" s="2105"/>
      <c r="AJ95" s="21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7">
        <f>Application!AC753</f>
        <v>0.3</v>
      </c>
      <c r="F97" s="2098"/>
      <c r="G97" s="2098"/>
      <c r="H97" s="2098"/>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7">
        <f ca="1">SUMIF(Application!AC718:AG752,0.2,Application!G718:J752)/Application!G753+SUMIF(Application!AC718:AG752,0.25,Application!G718:J752)/Application!G753+SUMIF(Application!AC718:AG752,0.3,Application!G718:J752)/Application!G753</f>
        <v>1</v>
      </c>
      <c r="F98" s="2098"/>
      <c r="G98" s="2098"/>
      <c r="H98" s="2098"/>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7">
        <f ca="1">SUMIF(Application!AC718:AG752,0.35,Application!G718:J752)/Application!G753+SUMIF(Application!AC718:AG752,0.4,Application!G718:J752)/Application!G753+SUMIF(Application!AC718:AG752,0.45,Application!G718:J752)/Application!G753+SUMIF(Application!AC718:AG752,0.5,Application!G718:J752)/Application!G753</f>
        <v>0</v>
      </c>
      <c r="F99" s="2098"/>
      <c r="G99" s="2098"/>
      <c r="H99" s="2098"/>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5">
        <f ca="1">IF(AND(E97&lt;=0.6,OR(AND(E98&gt;=0.1,E99&gt;=0.1),AND(E98&gt;0.1,(E98+E99)&gt;=0.2))),20,0)</f>
        <v>20</v>
      </c>
      <c r="F100" s="2096"/>
      <c r="G100" s="2096"/>
      <c r="H100" s="2096"/>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82">
        <f>MAX(AP89,AP100)</f>
        <v>20</v>
      </c>
      <c r="AL103" s="2083"/>
      <c r="AM103" s="208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6" t="s">
        <v>1423</v>
      </c>
      <c r="AF106" s="1926"/>
      <c r="AG106" s="1926"/>
      <c r="AH106" s="1926"/>
      <c r="AI106" s="1926"/>
      <c r="AJ106" s="1926"/>
      <c r="AK106" s="1926"/>
      <c r="AL106" s="574"/>
      <c r="AM106" s="574"/>
      <c r="AN106" s="569"/>
      <c r="AO106" s="570" t="str">
        <f>Application!B718</f>
        <v>SRO/Studio</v>
      </c>
      <c r="AQ106" s="570">
        <f>Application!O718</f>
        <v>757</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300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809</v>
      </c>
    </row>
    <row r="109" spans="1:49" s="570" customFormat="1" ht="12.75" customHeight="1">
      <c r="A109" s="574"/>
      <c r="B109" s="2109" t="s">
        <v>553</v>
      </c>
      <c r="C109" s="2109"/>
      <c r="D109" s="581" t="s">
        <v>1424</v>
      </c>
      <c r="E109" s="2101" t="s">
        <v>2047</v>
      </c>
      <c r="F109" s="2102"/>
      <c r="G109" s="2102"/>
      <c r="H109" s="2102"/>
      <c r="I109" s="2102"/>
      <c r="J109" s="2102"/>
      <c r="K109" s="2102"/>
      <c r="L109" s="2102"/>
      <c r="M109" s="2102"/>
      <c r="N109" s="2102"/>
      <c r="O109" s="2102"/>
      <c r="P109" s="2102"/>
      <c r="Q109" s="2102"/>
      <c r="R109" s="2102"/>
      <c r="S109" s="2102"/>
      <c r="T109" s="2102"/>
      <c r="U109" s="2102"/>
      <c r="V109" s="2102"/>
      <c r="W109" s="2102"/>
      <c r="X109" s="2102"/>
      <c r="Y109" s="2102"/>
      <c r="Z109" s="2102"/>
      <c r="AA109" s="2102"/>
      <c r="AB109" s="2102"/>
      <c r="AC109" s="2102"/>
      <c r="AD109" s="2102"/>
      <c r="AE109" s="2102"/>
      <c r="AF109" s="2102"/>
      <c r="AG109" s="2102"/>
      <c r="AH109" s="2102"/>
      <c r="AI109" s="2102"/>
      <c r="AJ109" s="2103"/>
      <c r="AK109" s="574"/>
      <c r="AL109" s="574"/>
      <c r="AM109" s="574"/>
      <c r="AN109" s="569"/>
      <c r="AO109" s="570" t="str">
        <f>Application!B721</f>
        <v>1 Bedroom</v>
      </c>
      <c r="AQ109" s="570">
        <f>Application!O721</f>
        <v>300</v>
      </c>
      <c r="AU109" s="570" t="s">
        <v>2029</v>
      </c>
      <c r="AV109" s="629" t="s">
        <v>2030</v>
      </c>
      <c r="AW109" s="570" t="s">
        <v>2031</v>
      </c>
    </row>
    <row r="110" spans="1:49" s="570" customFormat="1" ht="12.75" customHeight="1">
      <c r="A110" s="574"/>
      <c r="B110" s="573"/>
      <c r="C110" s="573"/>
      <c r="D110" s="573"/>
      <c r="E110" s="2104"/>
      <c r="F110" s="2105"/>
      <c r="G110" s="2105"/>
      <c r="H110" s="2105"/>
      <c r="I110" s="2105"/>
      <c r="J110" s="2105"/>
      <c r="K110" s="2105"/>
      <c r="L110" s="2105"/>
      <c r="M110" s="2105"/>
      <c r="N110" s="2105"/>
      <c r="O110" s="2105"/>
      <c r="P110" s="2105"/>
      <c r="Q110" s="2105"/>
      <c r="R110" s="2105"/>
      <c r="S110" s="2105"/>
      <c r="T110" s="2105"/>
      <c r="U110" s="2105"/>
      <c r="V110" s="2105"/>
      <c r="W110" s="2105"/>
      <c r="X110" s="2105"/>
      <c r="Y110" s="2105"/>
      <c r="Z110" s="2105"/>
      <c r="AA110" s="2105"/>
      <c r="AB110" s="2105"/>
      <c r="AC110" s="2105"/>
      <c r="AD110" s="2105"/>
      <c r="AE110" s="2105"/>
      <c r="AF110" s="2105"/>
      <c r="AG110" s="2105"/>
      <c r="AH110" s="2105"/>
      <c r="AI110" s="2105"/>
      <c r="AJ110" s="2106"/>
      <c r="AK110" s="574"/>
      <c r="AL110" s="574"/>
      <c r="AM110" s="574"/>
      <c r="AN110" s="569"/>
      <c r="AO110" s="570">
        <f>Application!B722</f>
        <v>0</v>
      </c>
      <c r="AQ110" s="570">
        <f>Application!O722</f>
        <v>0</v>
      </c>
      <c r="AU110" s="890" t="str">
        <f>E118</f>
        <v>Studio/SRO</v>
      </c>
      <c r="AV110" s="570">
        <f t="array" ref="AV110">SUM(IF(Application!B718:F752="SRO/Studio",Application!G718:J752))</f>
        <v>25</v>
      </c>
      <c r="AW110" s="1046">
        <f>AV110/AV116</f>
        <v>0.54347826086956519</v>
      </c>
    </row>
    <row r="111" spans="1:49" s="570" customFormat="1" ht="12.75" customHeight="1">
      <c r="A111" s="574"/>
      <c r="B111" s="573"/>
      <c r="C111" s="573"/>
      <c r="D111" s="573"/>
      <c r="E111" s="2104"/>
      <c r="F111" s="2105"/>
      <c r="G111" s="2105"/>
      <c r="H111" s="2105"/>
      <c r="I111" s="2105"/>
      <c r="J111" s="2105"/>
      <c r="K111" s="2105"/>
      <c r="L111" s="2105"/>
      <c r="M111" s="2105"/>
      <c r="N111" s="2105"/>
      <c r="O111" s="2105"/>
      <c r="P111" s="2105"/>
      <c r="Q111" s="2105"/>
      <c r="R111" s="2105"/>
      <c r="S111" s="2105"/>
      <c r="T111" s="2105"/>
      <c r="U111" s="2105"/>
      <c r="V111" s="2105"/>
      <c r="W111" s="2105"/>
      <c r="X111" s="2105"/>
      <c r="Y111" s="2105"/>
      <c r="Z111" s="2105"/>
      <c r="AA111" s="2105"/>
      <c r="AB111" s="2105"/>
      <c r="AC111" s="2105"/>
      <c r="AD111" s="2105"/>
      <c r="AE111" s="2105"/>
      <c r="AF111" s="2105"/>
      <c r="AG111" s="2105"/>
      <c r="AH111" s="2105"/>
      <c r="AI111" s="2105"/>
      <c r="AJ111" s="2106"/>
      <c r="AK111" s="574"/>
      <c r="AL111" s="574"/>
      <c r="AM111" s="574"/>
      <c r="AN111" s="569"/>
      <c r="AO111" s="570">
        <f>Application!B723</f>
        <v>0</v>
      </c>
      <c r="AQ111" s="570">
        <f>Application!O723</f>
        <v>0</v>
      </c>
      <c r="AU111" s="890" t="str">
        <f>J118</f>
        <v>1-bedroom</v>
      </c>
      <c r="AV111" s="570">
        <f t="array" ref="AV111">SUM(IF(Application!B718:F752="1 Bedroom",Application!G718:J752))</f>
        <v>21</v>
      </c>
      <c r="AW111" s="1046">
        <f>AV111/AV116</f>
        <v>0.45652173913043476</v>
      </c>
    </row>
    <row r="112" spans="1:49" s="570" customFormat="1" ht="12.75" customHeight="1">
      <c r="A112" s="574"/>
      <c r="B112" s="573"/>
      <c r="C112" s="573"/>
      <c r="D112" s="573"/>
      <c r="E112" s="2104"/>
      <c r="F112" s="2105"/>
      <c r="G112" s="2105"/>
      <c r="H112" s="2105"/>
      <c r="I112" s="2105"/>
      <c r="J112" s="2105"/>
      <c r="K112" s="2105"/>
      <c r="L112" s="2105"/>
      <c r="M112" s="2105"/>
      <c r="N112" s="2105"/>
      <c r="O112" s="2105"/>
      <c r="P112" s="2105"/>
      <c r="Q112" s="2105"/>
      <c r="R112" s="2105"/>
      <c r="S112" s="2105"/>
      <c r="T112" s="2105"/>
      <c r="U112" s="2105"/>
      <c r="V112" s="2105"/>
      <c r="W112" s="2105"/>
      <c r="X112" s="2105"/>
      <c r="Y112" s="2105"/>
      <c r="Z112" s="2105"/>
      <c r="AA112" s="2105"/>
      <c r="AB112" s="2105"/>
      <c r="AC112" s="2105"/>
      <c r="AD112" s="2105"/>
      <c r="AE112" s="2105"/>
      <c r="AF112" s="2105"/>
      <c r="AG112" s="2105"/>
      <c r="AH112" s="2105"/>
      <c r="AI112" s="2105"/>
      <c r="AJ112" s="2106"/>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04"/>
      <c r="F113" s="2105"/>
      <c r="G113" s="2105"/>
      <c r="H113" s="2105"/>
      <c r="I113" s="2105"/>
      <c r="J113" s="2105"/>
      <c r="K113" s="2105"/>
      <c r="L113" s="2105"/>
      <c r="M113" s="2105"/>
      <c r="N113" s="2105"/>
      <c r="O113" s="2105"/>
      <c r="P113" s="2105"/>
      <c r="Q113" s="2105"/>
      <c r="R113" s="2105"/>
      <c r="S113" s="2105"/>
      <c r="T113" s="2105"/>
      <c r="U113" s="2105"/>
      <c r="V113" s="2105"/>
      <c r="W113" s="2105"/>
      <c r="X113" s="2105"/>
      <c r="Y113" s="2105"/>
      <c r="Z113" s="2105"/>
      <c r="AA113" s="2105"/>
      <c r="AB113" s="2105"/>
      <c r="AC113" s="2105"/>
      <c r="AD113" s="2105"/>
      <c r="AE113" s="2105"/>
      <c r="AF113" s="2105"/>
      <c r="AG113" s="2105"/>
      <c r="AH113" s="2105"/>
      <c r="AI113" s="2105"/>
      <c r="AJ113" s="2106"/>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4"/>
      <c r="F114" s="2105"/>
      <c r="G114" s="2105"/>
      <c r="H114" s="2105"/>
      <c r="I114" s="2105"/>
      <c r="J114" s="2105"/>
      <c r="K114" s="2105"/>
      <c r="L114" s="2105"/>
      <c r="M114" s="2105"/>
      <c r="N114" s="2105"/>
      <c r="O114" s="2105"/>
      <c r="P114" s="2105"/>
      <c r="Q114" s="2105"/>
      <c r="R114" s="2105"/>
      <c r="S114" s="2105"/>
      <c r="T114" s="2105"/>
      <c r="U114" s="2105"/>
      <c r="V114" s="2105"/>
      <c r="W114" s="2105"/>
      <c r="X114" s="2105"/>
      <c r="Y114" s="2105"/>
      <c r="Z114" s="2105"/>
      <c r="AA114" s="2105"/>
      <c r="AB114" s="2105"/>
      <c r="AC114" s="2105"/>
      <c r="AD114" s="2105"/>
      <c r="AE114" s="2105"/>
      <c r="AF114" s="2105"/>
      <c r="AG114" s="2105"/>
      <c r="AH114" s="2105"/>
      <c r="AI114" s="2105"/>
      <c r="AJ114" s="21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4"/>
      <c r="F115" s="2105"/>
      <c r="G115" s="2105"/>
      <c r="H115" s="2105"/>
      <c r="I115" s="2105"/>
      <c r="J115" s="2105"/>
      <c r="K115" s="2105"/>
      <c r="L115" s="2105"/>
      <c r="M115" s="2105"/>
      <c r="N115" s="2105"/>
      <c r="O115" s="2105"/>
      <c r="P115" s="2105"/>
      <c r="Q115" s="2105"/>
      <c r="R115" s="2105"/>
      <c r="S115" s="2105"/>
      <c r="T115" s="2105"/>
      <c r="U115" s="2105"/>
      <c r="V115" s="2105"/>
      <c r="W115" s="2105"/>
      <c r="X115" s="2105"/>
      <c r="Y115" s="2105"/>
      <c r="Z115" s="2105"/>
      <c r="AA115" s="2105"/>
      <c r="AB115" s="2105"/>
      <c r="AC115" s="2105"/>
      <c r="AD115" s="2105"/>
      <c r="AE115" s="2105"/>
      <c r="AF115" s="2105"/>
      <c r="AG115" s="2105"/>
      <c r="AH115" s="2105"/>
      <c r="AI115" s="2105"/>
      <c r="AJ115" s="21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4"/>
      <c r="F116" s="2105"/>
      <c r="G116" s="2105"/>
      <c r="H116" s="2105"/>
      <c r="I116" s="2105"/>
      <c r="J116" s="2105"/>
      <c r="K116" s="2105"/>
      <c r="L116" s="2105"/>
      <c r="M116" s="2105"/>
      <c r="N116" s="2105"/>
      <c r="O116" s="2105"/>
      <c r="P116" s="2105"/>
      <c r="Q116" s="2105"/>
      <c r="R116" s="2105"/>
      <c r="S116" s="2105"/>
      <c r="T116" s="2105"/>
      <c r="U116" s="2105"/>
      <c r="V116" s="2105"/>
      <c r="W116" s="2105"/>
      <c r="X116" s="2105"/>
      <c r="Y116" s="2105"/>
      <c r="Z116" s="2105"/>
      <c r="AA116" s="2105"/>
      <c r="AB116" s="2105"/>
      <c r="AC116" s="2105"/>
      <c r="AD116" s="2105"/>
      <c r="AE116" s="2105"/>
      <c r="AF116" s="2105"/>
      <c r="AG116" s="2105"/>
      <c r="AH116" s="2105"/>
      <c r="AI116" s="2105"/>
      <c r="AJ116" s="2106"/>
      <c r="AK116" s="574"/>
      <c r="AL116" s="574"/>
      <c r="AM116" s="574"/>
      <c r="AN116" s="569"/>
      <c r="AO116" s="570">
        <f>Application!B728</f>
        <v>0</v>
      </c>
      <c r="AQ116" s="570">
        <f>Application!O728</f>
        <v>0</v>
      </c>
      <c r="AV116" s="570">
        <f>SUM(AV110:AV115)</f>
        <v>46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7" t="s">
        <v>1698</v>
      </c>
      <c r="F118" s="2098"/>
      <c r="G118" s="2098"/>
      <c r="H118" s="2098"/>
      <c r="I118" s="611"/>
      <c r="J118" s="2098" t="s">
        <v>1742</v>
      </c>
      <c r="K118" s="2098"/>
      <c r="L118" s="2098"/>
      <c r="M118" s="2098"/>
      <c r="N118" s="611"/>
      <c r="O118" s="2098" t="s">
        <v>1743</v>
      </c>
      <c r="P118" s="2098"/>
      <c r="Q118" s="2098"/>
      <c r="R118" s="2098"/>
      <c r="S118" s="611"/>
      <c r="T118" s="2098" t="s">
        <v>1443</v>
      </c>
      <c r="U118" s="2098"/>
      <c r="V118" s="2098"/>
      <c r="W118" s="2098"/>
      <c r="X118" s="611"/>
      <c r="Y118" s="2098" t="s">
        <v>1744</v>
      </c>
      <c r="Z118" s="2098"/>
      <c r="AA118" s="2098"/>
      <c r="AB118" s="2098"/>
      <c r="AC118" s="611"/>
      <c r="AD118" s="2098" t="s">
        <v>1745</v>
      </c>
      <c r="AE118" s="2098"/>
      <c r="AF118" s="2098"/>
      <c r="AG118" s="209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9">
        <v>2369</v>
      </c>
      <c r="F121" s="2100"/>
      <c r="G121" s="2100"/>
      <c r="H121" s="2100"/>
      <c r="I121" s="898"/>
      <c r="J121" s="2100">
        <v>2783</v>
      </c>
      <c r="K121" s="2100"/>
      <c r="L121" s="2100"/>
      <c r="M121" s="2100"/>
      <c r="N121" s="898"/>
      <c r="O121" s="2100"/>
      <c r="P121" s="2100"/>
      <c r="Q121" s="2100"/>
      <c r="R121" s="2100"/>
      <c r="S121" s="898"/>
      <c r="T121" s="2100"/>
      <c r="U121" s="2100"/>
      <c r="V121" s="2100"/>
      <c r="W121" s="2100"/>
      <c r="X121" s="898"/>
      <c r="Y121" s="2100"/>
      <c r="Z121" s="2100"/>
      <c r="AA121" s="2100"/>
      <c r="AB121" s="2100"/>
      <c r="AC121" s="898"/>
      <c r="AD121" s="2100"/>
      <c r="AE121" s="2100"/>
      <c r="AF121" s="2100"/>
      <c r="AG121" s="210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7">
        <f>Application!DX670</f>
        <v>665.6</v>
      </c>
      <c r="F124" s="2108"/>
      <c r="G124" s="2108"/>
      <c r="H124" s="2108"/>
      <c r="I124" s="898"/>
      <c r="J124" s="2108">
        <f>Application!EC670</f>
        <v>784.76190476190482</v>
      </c>
      <c r="K124" s="2108"/>
      <c r="L124" s="2108"/>
      <c r="M124" s="2108"/>
      <c r="N124" s="898"/>
      <c r="O124" s="2108">
        <f>Application!EH670</f>
        <v>0</v>
      </c>
      <c r="P124" s="2108"/>
      <c r="Q124" s="2108"/>
      <c r="R124" s="2108"/>
      <c r="S124" s="902"/>
      <c r="T124" s="2108">
        <f>Application!EM670</f>
        <v>0</v>
      </c>
      <c r="U124" s="2108"/>
      <c r="V124" s="2108"/>
      <c r="W124" s="2108"/>
      <c r="X124" s="902"/>
      <c r="Y124" s="2108">
        <f>Application!ER670</f>
        <v>0</v>
      </c>
      <c r="Z124" s="2108"/>
      <c r="AA124" s="2108"/>
      <c r="AB124" s="2108"/>
      <c r="AC124" s="902"/>
      <c r="AD124" s="2108">
        <f>Application!EW670</f>
        <v>0</v>
      </c>
      <c r="AE124" s="2108"/>
      <c r="AF124" s="2108"/>
      <c r="AG124" s="210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9">
        <f>(E121-E124)/E121</f>
        <v>0.71903756859434365</v>
      </c>
      <c r="F127" s="1900"/>
      <c r="G127" s="1900"/>
      <c r="H127" s="1901"/>
      <c r="I127" s="611"/>
      <c r="J127" s="1899">
        <f>(J121-J124)/J121</f>
        <v>0.71801584449805789</v>
      </c>
      <c r="K127" s="1900"/>
      <c r="L127" s="1900"/>
      <c r="M127" s="1901"/>
      <c r="N127" s="611"/>
      <c r="O127" s="1899" t="e">
        <f>(O121-O124)/O121</f>
        <v>#DIV/0!</v>
      </c>
      <c r="P127" s="1900"/>
      <c r="Q127" s="1900"/>
      <c r="R127" s="1901"/>
      <c r="S127" s="611"/>
      <c r="T127" s="1899" t="e">
        <f>(T121-T124)/T121</f>
        <v>#DIV/0!</v>
      </c>
      <c r="U127" s="1900"/>
      <c r="V127" s="1900"/>
      <c r="W127" s="1901"/>
      <c r="X127" s="611"/>
      <c r="Y127" s="1899" t="e">
        <f>(Y121-Y124)/Y121</f>
        <v>#DIV/0!</v>
      </c>
      <c r="Z127" s="1900"/>
      <c r="AA127" s="1900"/>
      <c r="AB127" s="1901"/>
      <c r="AC127" s="611"/>
      <c r="AD127" s="1899" t="e">
        <f>(AD121-AD124)/AD121</f>
        <v>#DIV/0!</v>
      </c>
      <c r="AE127" s="1900"/>
      <c r="AF127" s="1900"/>
      <c r="AG127" s="190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0">
        <f>IF(((E127-0.1)*AW110)&gt;0,((E127-0.1)*AW110),0)</f>
        <v>0.33643346119257805</v>
      </c>
      <c r="F130" s="2111"/>
      <c r="G130" s="2111"/>
      <c r="H130" s="2112"/>
      <c r="I130" s="611"/>
      <c r="J130" s="2110">
        <f>IF(((J127-0.1)*AW111)&gt;0,((J127-0.1)*AW111),0)</f>
        <v>0.28213766814041774</v>
      </c>
      <c r="K130" s="2111"/>
      <c r="L130" s="2111"/>
      <c r="M130" s="2112"/>
      <c r="N130" s="611"/>
      <c r="O130" s="2110" t="e">
        <f>IF(((O127-0.1)*AW112)&gt;0,((O127-0.1)*AW112),0)</f>
        <v>#DIV/0!</v>
      </c>
      <c r="P130" s="2111"/>
      <c r="Q130" s="2111"/>
      <c r="R130" s="2112"/>
      <c r="S130" s="611"/>
      <c r="T130" s="2110" t="e">
        <f>IF(((T127-0.1)*AW113)&gt;0,((T127-0.1)*AW113),0)</f>
        <v>#DIV/0!</v>
      </c>
      <c r="U130" s="2111"/>
      <c r="V130" s="2111"/>
      <c r="W130" s="2112"/>
      <c r="X130" s="611"/>
      <c r="Y130" s="2110" t="e">
        <f>IF(((Y127-0.1)*AW114)&gt;0,((Y127-0.1)*AW114),0)</f>
        <v>#DIV/0!</v>
      </c>
      <c r="Z130" s="2111"/>
      <c r="AA130" s="2111"/>
      <c r="AB130" s="2112"/>
      <c r="AC130" s="611"/>
      <c r="AD130" s="2110" t="e">
        <f>IF(((AD127-0.1)*AW115)&gt;0,((AD127-0.1)*AW115),0)</f>
        <v>#DIV/0!</v>
      </c>
      <c r="AE130" s="2111"/>
      <c r="AF130" s="2111"/>
      <c r="AG130" s="211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9">
        <f>ROUNDDOWN(SUMIF(E130:AG130,"&gt;0"),2)</f>
        <v>0.61</v>
      </c>
      <c r="F132" s="1900"/>
      <c r="G132" s="1900"/>
      <c r="H132" s="1901"/>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2">
        <f>IF((E132*100)&gt;10,10,E132*100)</f>
        <v>10</v>
      </c>
      <c r="F133" s="2083"/>
      <c r="G133" s="2083"/>
      <c r="H133" s="2084"/>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82">
        <f>E133</f>
        <v>10</v>
      </c>
      <c r="AL137" s="2083"/>
      <c r="AM137" s="208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6" t="s">
        <v>1423</v>
      </c>
      <c r="AF140" s="1926"/>
      <c r="AG140" s="1926"/>
      <c r="AH140" s="1926"/>
      <c r="AI140" s="1926"/>
      <c r="AJ140" s="1926"/>
      <c r="AK140" s="1926"/>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3" t="s">
        <v>1447</v>
      </c>
      <c r="AG142" s="1993"/>
      <c r="AH142" s="1993"/>
      <c r="AI142" s="1993"/>
      <c r="AJ142" s="1993"/>
      <c r="AK142" s="1993"/>
      <c r="AL142" s="1993"/>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7" t="s">
        <v>2794</v>
      </c>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8" t="s">
        <v>1450</v>
      </c>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M147" s="573"/>
      <c r="AN147" s="569"/>
      <c r="AO147" s="510" t="s">
        <v>1450</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9" t="s">
        <v>599</v>
      </c>
      <c r="AC149" s="202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8" t="s">
        <v>1452</v>
      </c>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3">
        <f>IF($AB$149="N/A",VLOOKUP($B$147,$AO$145:$AP$148,2,FALSE),VLOOKUP($B$152,$AO$150:$AP$152,2,FALSE))</f>
        <v>7</v>
      </c>
      <c r="AK155" s="195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3" t="s">
        <v>1461</v>
      </c>
      <c r="AG157" s="1993"/>
      <c r="AH157" s="1993"/>
      <c r="AI157" s="1993"/>
      <c r="AJ157" s="1993"/>
      <c r="AK157" s="1993"/>
      <c r="AL157" s="1993"/>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8" t="s">
        <v>1459</v>
      </c>
      <c r="D159" s="2088"/>
      <c r="E159" s="2088"/>
      <c r="F159" s="2088"/>
      <c r="G159" s="2088"/>
      <c r="H159" s="2088"/>
      <c r="I159" s="2088"/>
      <c r="J159" s="2088"/>
      <c r="K159" s="2088"/>
      <c r="L159" s="2088"/>
      <c r="M159" s="2088"/>
      <c r="N159" s="2088"/>
      <c r="O159" s="2088"/>
      <c r="P159" s="2088"/>
      <c r="Q159" s="2088"/>
      <c r="R159" s="2088"/>
      <c r="S159" s="2088"/>
      <c r="T159" s="2088"/>
      <c r="U159" s="2088"/>
      <c r="V159" s="2088"/>
      <c r="W159" s="2088"/>
      <c r="X159" s="2088"/>
      <c r="Y159" s="2088"/>
      <c r="Z159" s="2088"/>
      <c r="AA159" s="2088"/>
      <c r="AB159" s="2088"/>
      <c r="AC159" s="2088"/>
      <c r="AD159" s="2088"/>
      <c r="AE159" s="2088"/>
      <c r="AF159" s="2088"/>
      <c r="AG159" s="2088"/>
      <c r="AH159" s="2088"/>
      <c r="AI159" s="2088"/>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9" t="s">
        <v>599</v>
      </c>
      <c r="AG161" s="2029"/>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8" t="s">
        <v>1452</v>
      </c>
      <c r="D163" s="2088"/>
      <c r="E163" s="2088"/>
      <c r="F163" s="2088"/>
      <c r="G163" s="2088"/>
      <c r="H163" s="2088"/>
      <c r="I163" s="2088"/>
      <c r="J163" s="2088"/>
      <c r="K163" s="2088"/>
      <c r="L163" s="2088"/>
      <c r="M163" s="2088"/>
      <c r="N163" s="2088"/>
      <c r="O163" s="2088"/>
      <c r="P163" s="2088"/>
      <c r="Q163" s="2088"/>
      <c r="R163" s="2088"/>
      <c r="S163" s="2088"/>
      <c r="T163" s="2088"/>
      <c r="U163" s="2088"/>
      <c r="V163" s="2088"/>
      <c r="W163" s="2088"/>
      <c r="X163" s="2088"/>
      <c r="Y163" s="2088"/>
      <c r="Z163" s="2088"/>
      <c r="AA163" s="2088"/>
      <c r="AB163" s="2088"/>
      <c r="AC163" s="2088"/>
      <c r="AD163" s="2088"/>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9" t="str">
        <f>Application!AA335</f>
        <v>FPI Management, Inc.</v>
      </c>
      <c r="D167" s="2089"/>
      <c r="E167" s="2089"/>
      <c r="F167" s="2089"/>
      <c r="G167" s="2089"/>
      <c r="H167" s="2089"/>
      <c r="I167" s="2089"/>
      <c r="J167" s="2089"/>
      <c r="K167" s="2089"/>
      <c r="L167" s="2089"/>
      <c r="M167" s="2089"/>
      <c r="N167" s="2089"/>
      <c r="O167" s="2089"/>
      <c r="P167" s="2089"/>
      <c r="Q167" s="2089"/>
      <c r="R167" s="2089"/>
      <c r="S167" s="2089"/>
      <c r="T167" s="2089"/>
      <c r="U167" s="2089"/>
      <c r="V167" s="2089"/>
      <c r="W167" s="2089"/>
      <c r="X167" s="2089"/>
      <c r="Y167" s="2089"/>
      <c r="Z167" s="2089"/>
      <c r="AA167" s="2089"/>
      <c r="AB167" s="2089"/>
      <c r="AC167" s="2089"/>
      <c r="AD167" s="2089"/>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2">
        <f>IF($AF$161="N/A",VLOOKUP($C$159,$AO$159:$AP$162,2,FALSE),VLOOKUP($C$163,$AO$166:$AP$168,2,FALSE))</f>
        <v>3</v>
      </c>
      <c r="AK169" s="195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82">
        <f>$AJ$155+$AJ$169</f>
        <v>10</v>
      </c>
      <c r="AL172" s="2083"/>
      <c r="AM172" s="208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6" t="s">
        <v>1423</v>
      </c>
      <c r="AF175" s="1926"/>
      <c r="AG175" s="1926"/>
      <c r="AH175" s="1926"/>
      <c r="AI175" s="1926"/>
      <c r="AJ175" s="1926"/>
      <c r="AK175" s="1926"/>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5" t="s">
        <v>1067</v>
      </c>
      <c r="C177" s="2085"/>
      <c r="D177" s="2085"/>
      <c r="E177" s="2085"/>
      <c r="F177" s="2085"/>
      <c r="G177" s="2085"/>
      <c r="H177" s="2085"/>
      <c r="I177" s="2085"/>
      <c r="J177" s="2085"/>
      <c r="K177" s="2085"/>
      <c r="L177" s="2085"/>
      <c r="M177" s="2085"/>
      <c r="N177" s="2085"/>
      <c r="O177" s="2085"/>
      <c r="P177" s="2085"/>
      <c r="Q177" s="2085"/>
      <c r="R177" s="2085"/>
      <c r="S177" s="2085"/>
      <c r="T177" s="2085"/>
      <c r="U177" s="2085"/>
      <c r="V177" s="2085"/>
      <c r="W177" s="2085"/>
      <c r="X177" s="2085"/>
      <c r="Y177" s="2085"/>
      <c r="Z177" s="2085"/>
      <c r="AA177" s="2085"/>
      <c r="AB177" s="2085"/>
      <c r="AC177" s="2085"/>
      <c r="AD177" s="570"/>
      <c r="AE177" s="570"/>
      <c r="AF177" s="1993" t="s">
        <v>1472</v>
      </c>
      <c r="AG177" s="1993"/>
      <c r="AH177" s="1993"/>
      <c r="AI177" s="1993"/>
      <c r="AJ177" s="1993"/>
      <c r="AK177" s="1993"/>
      <c r="AL177" s="1993"/>
      <c r="AN177" s="631"/>
      <c r="AP177" s="584" t="s">
        <v>1067</v>
      </c>
      <c r="AQ177" s="584">
        <v>10</v>
      </c>
    </row>
    <row r="178" spans="1:45" s="584" customFormat="1" ht="12.75" customHeight="1">
      <c r="A178" s="570"/>
      <c r="B178" s="2086" t="s">
        <v>1914</v>
      </c>
      <c r="C178" s="2086"/>
      <c r="D178" s="2086"/>
      <c r="E178" s="2086"/>
      <c r="F178" s="2086"/>
      <c r="G178" s="2086"/>
      <c r="H178" s="2086"/>
      <c r="I178" s="2086"/>
      <c r="J178" s="2086"/>
      <c r="K178" s="2086"/>
      <c r="L178" s="2086"/>
      <c r="M178" s="2086"/>
      <c r="N178" s="2086"/>
      <c r="O178" s="2086"/>
      <c r="P178" s="2086"/>
      <c r="Q178" s="2086"/>
      <c r="R178" s="2086"/>
      <c r="S178" s="2086"/>
      <c r="T178" s="2087" t="s">
        <v>599</v>
      </c>
      <c r="U178" s="2087"/>
      <c r="V178" s="2087"/>
      <c r="W178" s="2087"/>
      <c r="X178" s="2087"/>
      <c r="Y178" s="2087"/>
      <c r="Z178" s="2087"/>
      <c r="AA178" s="2087"/>
      <c r="AB178" s="2087"/>
      <c r="AC178" s="2087"/>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20">
        <f>IF(AK78&gt;0,VLOOKUP($B$177,AP174:AQ180,2,FALSE),0)</f>
        <v>10</v>
      </c>
      <c r="AL180" s="1921"/>
      <c r="AM180" s="1922"/>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6" t="s">
        <v>1481</v>
      </c>
      <c r="AF183" s="1926"/>
      <c r="AG183" s="1926"/>
      <c r="AH183" s="1926"/>
      <c r="AI183" s="1926"/>
      <c r="AJ183" s="1926"/>
      <c r="AK183" s="1926"/>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9" t="str">
        <f>Application!C628</f>
        <v>HCD National Housing Trust Fund</v>
      </c>
      <c r="C188" s="2079"/>
      <c r="D188" s="2079"/>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c r="AA188" s="2079"/>
      <c r="AB188" s="2079"/>
      <c r="AC188" s="880"/>
      <c r="AD188" s="2069">
        <f>Application!AO628</f>
        <v>9761541</v>
      </c>
      <c r="AE188" s="2069"/>
      <c r="AF188" s="2069"/>
      <c r="AG188" s="2069"/>
      <c r="AH188" s="2069"/>
      <c r="AI188" s="2069"/>
      <c r="AJ188" s="2069"/>
      <c r="AK188" s="644"/>
    </row>
    <row r="189" spans="1:45">
      <c r="A189" s="639"/>
      <c r="B189" s="2079" t="str">
        <f>Application!C629</f>
        <v>Alameda Affordable Housing Trust Fund</v>
      </c>
      <c r="C189" s="2079"/>
      <c r="D189" s="2079"/>
      <c r="E189" s="2079"/>
      <c r="F189" s="2079"/>
      <c r="G189" s="2079"/>
      <c r="H189" s="2079"/>
      <c r="I189" s="2079"/>
      <c r="J189" s="2079"/>
      <c r="K189" s="2079"/>
      <c r="L189" s="2079"/>
      <c r="M189" s="2079"/>
      <c r="N189" s="2079"/>
      <c r="O189" s="2079"/>
      <c r="P189" s="2079"/>
      <c r="Q189" s="2079"/>
      <c r="R189" s="2079"/>
      <c r="S189" s="2079"/>
      <c r="T189" s="2079"/>
      <c r="U189" s="2079"/>
      <c r="V189" s="2079"/>
      <c r="W189" s="2079"/>
      <c r="X189" s="2079"/>
      <c r="Y189" s="2079"/>
      <c r="Z189" s="2079"/>
      <c r="AA189" s="2079"/>
      <c r="AB189" s="2079"/>
      <c r="AC189" s="880"/>
      <c r="AD189" s="2069">
        <f>Application!AO629</f>
        <v>5000000</v>
      </c>
      <c r="AE189" s="2069"/>
      <c r="AF189" s="2069"/>
      <c r="AG189" s="2069"/>
      <c r="AH189" s="2069"/>
      <c r="AI189" s="2069"/>
      <c r="AJ189" s="2069"/>
      <c r="AK189" s="644"/>
    </row>
    <row r="190" spans="1:45">
      <c r="A190" s="639"/>
      <c r="B190" s="2079" t="str">
        <f>Application!C630</f>
        <v>City of Alameda PLHA</v>
      </c>
      <c r="C190" s="2079"/>
      <c r="D190" s="2079"/>
      <c r="E190" s="2079"/>
      <c r="F190" s="2079"/>
      <c r="G190" s="2079"/>
      <c r="H190" s="2079"/>
      <c r="I190" s="2079"/>
      <c r="J190" s="2079"/>
      <c r="K190" s="2079"/>
      <c r="L190" s="2079"/>
      <c r="M190" s="2079"/>
      <c r="N190" s="2079"/>
      <c r="O190" s="2079"/>
      <c r="P190" s="2079"/>
      <c r="Q190" s="2079"/>
      <c r="R190" s="2079"/>
      <c r="S190" s="2079"/>
      <c r="T190" s="2079"/>
      <c r="U190" s="2079"/>
      <c r="V190" s="2079"/>
      <c r="W190" s="2079"/>
      <c r="X190" s="2079"/>
      <c r="Y190" s="2079"/>
      <c r="Z190" s="2079"/>
      <c r="AA190" s="2079"/>
      <c r="AB190" s="2079"/>
      <c r="AC190" s="880"/>
      <c r="AD190" s="2069">
        <f>Application!AO630</f>
        <v>551582</v>
      </c>
      <c r="AE190" s="2069"/>
      <c r="AF190" s="2069"/>
      <c r="AG190" s="2069"/>
      <c r="AH190" s="2069"/>
      <c r="AI190" s="2069"/>
      <c r="AJ190" s="2069"/>
      <c r="AK190" s="644"/>
    </row>
    <row r="191" spans="1:45">
      <c r="A191" s="639"/>
      <c r="B191" s="2079" t="str">
        <f>Application!C631</f>
        <v>FHLB AHP</v>
      </c>
      <c r="C191" s="2079"/>
      <c r="D191" s="2079"/>
      <c r="E191" s="2079"/>
      <c r="F191" s="2079"/>
      <c r="G191" s="2079"/>
      <c r="H191" s="2079"/>
      <c r="I191" s="2079"/>
      <c r="J191" s="2079"/>
      <c r="K191" s="2079"/>
      <c r="L191" s="2079"/>
      <c r="M191" s="2079"/>
      <c r="N191" s="2079"/>
      <c r="O191" s="2079"/>
      <c r="P191" s="2079"/>
      <c r="Q191" s="2079"/>
      <c r="R191" s="2079"/>
      <c r="S191" s="2079"/>
      <c r="T191" s="2079"/>
      <c r="U191" s="2079"/>
      <c r="V191" s="2079"/>
      <c r="W191" s="2079"/>
      <c r="X191" s="2079"/>
      <c r="Y191" s="2079"/>
      <c r="Z191" s="2079"/>
      <c r="AA191" s="2079"/>
      <c r="AB191" s="2079"/>
      <c r="AC191" s="880"/>
      <c r="AD191" s="2069">
        <f>Application!AO631</f>
        <v>690000</v>
      </c>
      <c r="AE191" s="2069"/>
      <c r="AF191" s="2069"/>
      <c r="AG191" s="2069"/>
      <c r="AH191" s="2069"/>
      <c r="AI191" s="2069"/>
      <c r="AJ191" s="2069"/>
      <c r="AK191" s="644"/>
    </row>
    <row r="192" spans="1:45">
      <c r="A192" s="639"/>
      <c r="B192" s="2079"/>
      <c r="C192" s="2079"/>
      <c r="D192" s="2079"/>
      <c r="E192" s="2079"/>
      <c r="F192" s="2079"/>
      <c r="G192" s="2079"/>
      <c r="H192" s="2079"/>
      <c r="I192" s="2079"/>
      <c r="J192" s="2079"/>
      <c r="K192" s="2079"/>
      <c r="L192" s="2079"/>
      <c r="M192" s="2079"/>
      <c r="N192" s="2079"/>
      <c r="O192" s="2079"/>
      <c r="P192" s="2079"/>
      <c r="Q192" s="2079"/>
      <c r="R192" s="2079"/>
      <c r="S192" s="2079"/>
      <c r="T192" s="2079"/>
      <c r="U192" s="2079"/>
      <c r="V192" s="2079"/>
      <c r="W192" s="2079"/>
      <c r="X192" s="2079"/>
      <c r="Y192" s="2079"/>
      <c r="Z192" s="2079"/>
      <c r="AA192" s="2079"/>
      <c r="AB192" s="2079"/>
      <c r="AC192" s="880"/>
      <c r="AD192" s="2069"/>
      <c r="AE192" s="2069"/>
      <c r="AF192" s="2069"/>
      <c r="AG192" s="2069"/>
      <c r="AH192" s="2069"/>
      <c r="AI192" s="2069"/>
      <c r="AJ192" s="2069"/>
      <c r="AK192" s="644"/>
    </row>
    <row r="193" spans="1:37">
      <c r="A193" s="639"/>
      <c r="B193" s="2079"/>
      <c r="C193" s="2079"/>
      <c r="D193" s="2079"/>
      <c r="E193" s="2079"/>
      <c r="F193" s="2079"/>
      <c r="G193" s="2079"/>
      <c r="H193" s="2079"/>
      <c r="I193" s="2079"/>
      <c r="J193" s="2079"/>
      <c r="K193" s="2079"/>
      <c r="L193" s="2079"/>
      <c r="M193" s="2079"/>
      <c r="N193" s="2079"/>
      <c r="O193" s="2079"/>
      <c r="P193" s="2079"/>
      <c r="Q193" s="2079"/>
      <c r="R193" s="2079"/>
      <c r="S193" s="2079"/>
      <c r="T193" s="2079"/>
      <c r="U193" s="2079"/>
      <c r="V193" s="2079"/>
      <c r="W193" s="2079"/>
      <c r="X193" s="2079"/>
      <c r="Y193" s="2079"/>
      <c r="Z193" s="2079"/>
      <c r="AA193" s="2079"/>
      <c r="AB193" s="2079"/>
      <c r="AC193" s="880"/>
      <c r="AD193" s="2069"/>
      <c r="AE193" s="2069"/>
      <c r="AF193" s="2069"/>
      <c r="AG193" s="2069"/>
      <c r="AH193" s="2069"/>
      <c r="AI193" s="2069"/>
      <c r="AJ193" s="2069"/>
      <c r="AK193" s="644"/>
    </row>
    <row r="194" spans="1:37">
      <c r="A194" s="639"/>
      <c r="B194" s="2079"/>
      <c r="C194" s="2079"/>
      <c r="D194" s="2079"/>
      <c r="E194" s="2079"/>
      <c r="F194" s="2079"/>
      <c r="G194" s="2079"/>
      <c r="H194" s="2079"/>
      <c r="I194" s="2079"/>
      <c r="J194" s="2079"/>
      <c r="K194" s="2079"/>
      <c r="L194" s="2079"/>
      <c r="M194" s="2079"/>
      <c r="N194" s="2079"/>
      <c r="O194" s="2079"/>
      <c r="P194" s="2079"/>
      <c r="Q194" s="2079"/>
      <c r="R194" s="2079"/>
      <c r="S194" s="2079"/>
      <c r="T194" s="2079"/>
      <c r="U194" s="2079"/>
      <c r="V194" s="2079"/>
      <c r="W194" s="2079"/>
      <c r="X194" s="2079"/>
      <c r="Y194" s="2079"/>
      <c r="Z194" s="2079"/>
      <c r="AA194" s="2079"/>
      <c r="AB194" s="2079"/>
      <c r="AC194" s="880"/>
      <c r="AD194" s="2069"/>
      <c r="AE194" s="2069"/>
      <c r="AF194" s="2069"/>
      <c r="AG194" s="2069"/>
      <c r="AH194" s="2069"/>
      <c r="AI194" s="2069"/>
      <c r="AJ194" s="2069"/>
      <c r="AK194" s="644"/>
    </row>
    <row r="195" spans="1:37">
      <c r="A195" s="639"/>
      <c r="B195" s="2079"/>
      <c r="C195" s="2079"/>
      <c r="D195" s="2079"/>
      <c r="E195" s="2079"/>
      <c r="F195" s="2079"/>
      <c r="G195" s="2079"/>
      <c r="H195" s="2079"/>
      <c r="I195" s="2079"/>
      <c r="J195" s="2079"/>
      <c r="K195" s="2079"/>
      <c r="L195" s="2079"/>
      <c r="M195" s="2079"/>
      <c r="N195" s="2079"/>
      <c r="O195" s="2079"/>
      <c r="P195" s="2079"/>
      <c r="Q195" s="2079"/>
      <c r="R195" s="2079"/>
      <c r="S195" s="2079"/>
      <c r="T195" s="2079"/>
      <c r="U195" s="2079"/>
      <c r="V195" s="2079"/>
      <c r="W195" s="2079"/>
      <c r="X195" s="2079"/>
      <c r="Y195" s="2079"/>
      <c r="Z195" s="2079"/>
      <c r="AA195" s="2079"/>
      <c r="AB195" s="2079"/>
      <c r="AC195" s="880"/>
      <c r="AD195" s="2069"/>
      <c r="AE195" s="2069"/>
      <c r="AF195" s="2069"/>
      <c r="AG195" s="2069"/>
      <c r="AH195" s="2069"/>
      <c r="AI195" s="2069"/>
      <c r="AJ195" s="2069"/>
      <c r="AK195" s="644"/>
    </row>
    <row r="196" spans="1:37">
      <c r="A196" s="639"/>
      <c r="B196" s="2079"/>
      <c r="C196" s="2079"/>
      <c r="D196" s="2079"/>
      <c r="E196" s="2079"/>
      <c r="F196" s="2079"/>
      <c r="G196" s="2079"/>
      <c r="H196" s="2079"/>
      <c r="I196" s="2079"/>
      <c r="J196" s="2079"/>
      <c r="K196" s="2079"/>
      <c r="L196" s="2079"/>
      <c r="M196" s="2079"/>
      <c r="N196" s="2079"/>
      <c r="O196" s="2079"/>
      <c r="P196" s="2079"/>
      <c r="Q196" s="2079"/>
      <c r="R196" s="2079"/>
      <c r="S196" s="2079"/>
      <c r="T196" s="2079"/>
      <c r="U196" s="2079"/>
      <c r="V196" s="2079"/>
      <c r="W196" s="2079"/>
      <c r="X196" s="2079"/>
      <c r="Y196" s="2079"/>
      <c r="Z196" s="2079"/>
      <c r="AA196" s="2079"/>
      <c r="AB196" s="2079"/>
      <c r="AC196" s="880"/>
      <c r="AD196" s="2069"/>
      <c r="AE196" s="2069"/>
      <c r="AF196" s="2069"/>
      <c r="AG196" s="2069"/>
      <c r="AH196" s="2069"/>
      <c r="AI196" s="2069"/>
      <c r="AJ196" s="2069"/>
      <c r="AK196" s="644"/>
    </row>
    <row r="197" spans="1:37">
      <c r="A197" s="639"/>
      <c r="B197" s="2079"/>
      <c r="C197" s="2079"/>
      <c r="D197" s="2079"/>
      <c r="E197" s="2079"/>
      <c r="F197" s="2079"/>
      <c r="G197" s="2079"/>
      <c r="H197" s="2079"/>
      <c r="I197" s="2079"/>
      <c r="J197" s="2079"/>
      <c r="K197" s="2079"/>
      <c r="L197" s="2079"/>
      <c r="M197" s="2079"/>
      <c r="N197" s="2079"/>
      <c r="O197" s="2079"/>
      <c r="P197" s="2079"/>
      <c r="Q197" s="2079"/>
      <c r="R197" s="2079"/>
      <c r="S197" s="2079"/>
      <c r="T197" s="2079"/>
      <c r="U197" s="2079"/>
      <c r="V197" s="2079"/>
      <c r="W197" s="2079"/>
      <c r="X197" s="2079"/>
      <c r="Y197" s="2079"/>
      <c r="Z197" s="2079"/>
      <c r="AA197" s="2079"/>
      <c r="AB197" s="2079"/>
      <c r="AC197" s="880"/>
      <c r="AD197" s="2069"/>
      <c r="AE197" s="2069"/>
      <c r="AF197" s="2069"/>
      <c r="AG197" s="2069"/>
      <c r="AH197" s="2069"/>
      <c r="AI197" s="2069"/>
      <c r="AJ197" s="2069"/>
      <c r="AK197" s="644"/>
    </row>
    <row r="198" spans="1:37">
      <c r="A198" s="639"/>
      <c r="B198" s="1940" t="s">
        <v>1737</v>
      </c>
      <c r="C198" s="1940"/>
      <c r="D198" s="1940"/>
      <c r="E198" s="1940"/>
      <c r="F198" s="1940"/>
      <c r="G198" s="1940"/>
      <c r="H198" s="1940"/>
      <c r="I198" s="1940"/>
      <c r="J198" s="1940"/>
      <c r="K198" s="1940"/>
      <c r="L198" s="1940"/>
      <c r="M198" s="1940"/>
      <c r="N198" s="1940"/>
      <c r="O198" s="1940"/>
      <c r="P198" s="1940"/>
      <c r="Q198" s="1940"/>
      <c r="R198" s="1940"/>
      <c r="S198" s="1940"/>
      <c r="T198" s="1940"/>
      <c r="U198" s="1940"/>
      <c r="V198" s="1940"/>
      <c r="W198" s="1940"/>
      <c r="X198" s="1940"/>
      <c r="Y198" s="1940"/>
      <c r="Z198" s="1940"/>
      <c r="AA198" s="1940"/>
      <c r="AB198" s="1940"/>
      <c r="AC198" s="570"/>
      <c r="AD198" s="2067">
        <f>AB249</f>
        <v>6821443.1461467752</v>
      </c>
      <c r="AE198" s="2067"/>
      <c r="AF198" s="2067"/>
      <c r="AG198" s="2067"/>
      <c r="AH198" s="2067"/>
      <c r="AI198" s="2067"/>
      <c r="AJ198" s="2067"/>
      <c r="AK198" s="644"/>
    </row>
    <row r="199" spans="1:37">
      <c r="A199" s="639"/>
      <c r="B199" s="1938" t="s">
        <v>1700</v>
      </c>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c r="AB199" s="1938"/>
      <c r="AC199" s="880"/>
      <c r="AD199" s="2068">
        <f>'Sources and Uses Budget'!B15</f>
        <v>0</v>
      </c>
      <c r="AE199" s="2068"/>
      <c r="AF199" s="2068"/>
      <c r="AG199" s="2068"/>
      <c r="AH199" s="2068"/>
      <c r="AI199" s="2068"/>
      <c r="AJ199" s="2068"/>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3">
        <f>SUM(AD188:AJ198)-AD199</f>
        <v>22824566.146146774</v>
      </c>
      <c r="AE200" s="2073"/>
      <c r="AF200" s="2073"/>
      <c r="AG200" s="2073"/>
      <c r="AH200" s="2073"/>
      <c r="AI200" s="2073"/>
      <c r="AJ200" s="20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3" t="s">
        <v>1717</v>
      </c>
      <c r="J211" s="2093"/>
      <c r="K211" s="2093"/>
      <c r="L211" s="570"/>
      <c r="M211" s="570"/>
      <c r="N211" s="570"/>
      <c r="O211" s="570"/>
      <c r="P211" s="570"/>
      <c r="Q211" s="570"/>
      <c r="R211" s="570"/>
      <c r="S211" s="570"/>
      <c r="T211" s="1904" t="s">
        <v>1711</v>
      </c>
      <c r="U211" s="1904"/>
      <c r="V211" s="1904"/>
      <c r="W211" s="1904"/>
      <c r="X211" s="1904"/>
      <c r="Y211" s="1904"/>
      <c r="Z211" s="883"/>
      <c r="AA211" s="523"/>
      <c r="AB211" s="2090" t="s">
        <v>1712</v>
      </c>
      <c r="AC211" s="2090"/>
      <c r="AD211" s="2090"/>
      <c r="AE211" s="2090"/>
      <c r="AF211" s="2090"/>
      <c r="AG211" s="2090"/>
      <c r="AH211" s="861"/>
      <c r="AI211" s="861"/>
      <c r="AJ211" s="861"/>
      <c r="AK211" s="644"/>
    </row>
    <row r="212" spans="1:37">
      <c r="A212" s="639"/>
      <c r="B212" s="2091" t="s">
        <v>1697</v>
      </c>
      <c r="C212" s="2091"/>
      <c r="D212" s="2091"/>
      <c r="E212" s="2091"/>
      <c r="F212" s="2091"/>
      <c r="G212" s="2091"/>
      <c r="I212" s="2092" t="s">
        <v>1718</v>
      </c>
      <c r="J212" s="2092"/>
      <c r="K212" s="2092"/>
      <c r="L212" s="1043"/>
      <c r="N212" s="1939" t="s">
        <v>1713</v>
      </c>
      <c r="O212" s="1939"/>
      <c r="P212" s="1939"/>
      <c r="Q212" s="1939"/>
      <c r="R212" s="1939"/>
      <c r="T212" s="1939" t="s">
        <v>1714</v>
      </c>
      <c r="U212" s="1939"/>
      <c r="V212" s="1939"/>
      <c r="W212" s="1939"/>
      <c r="X212" s="1939"/>
      <c r="Y212" s="1939"/>
      <c r="Z212" s="884"/>
      <c r="AA212" s="523"/>
      <c r="AB212" s="1942" t="s">
        <v>1715</v>
      </c>
      <c r="AC212" s="1942"/>
      <c r="AD212" s="1942"/>
      <c r="AE212" s="1942"/>
      <c r="AF212" s="1942"/>
      <c r="AG212" s="1942"/>
      <c r="AH212" s="861"/>
      <c r="AI212" s="861"/>
      <c r="AJ212" s="861"/>
      <c r="AK212" s="644"/>
    </row>
    <row r="213" spans="1:37">
      <c r="A213" s="639"/>
      <c r="B213" s="1941" t="s">
        <v>325</v>
      </c>
      <c r="C213" s="1941"/>
      <c r="D213" s="1941"/>
      <c r="E213" s="1941"/>
      <c r="F213" s="1941"/>
      <c r="G213" s="1941"/>
      <c r="H213" s="886"/>
      <c r="I213" s="1909">
        <v>20</v>
      </c>
      <c r="J213" s="1909"/>
      <c r="K213" s="1909"/>
      <c r="L213" s="1043"/>
      <c r="N213" s="1906">
        <v>817</v>
      </c>
      <c r="O213" s="1906"/>
      <c r="P213" s="1906"/>
      <c r="Q213" s="1906"/>
      <c r="R213" s="1906"/>
      <c r="T213" s="1905">
        <v>2190</v>
      </c>
      <c r="U213" s="1905"/>
      <c r="V213" s="1905"/>
      <c r="W213" s="1905"/>
      <c r="X213" s="1905"/>
      <c r="Y213" s="1905"/>
      <c r="Z213" s="885"/>
      <c r="AA213" s="885"/>
      <c r="AB213" s="1903">
        <f t="shared" ref="AB213:AB222" si="0">MAX(($T213-$N213)*$I213*12,0)</f>
        <v>329520</v>
      </c>
      <c r="AC213" s="1903"/>
      <c r="AD213" s="1903"/>
      <c r="AE213" s="1903"/>
      <c r="AF213" s="1903"/>
      <c r="AG213" s="1903"/>
      <c r="AH213" s="861"/>
      <c r="AI213" s="861"/>
      <c r="AJ213" s="861"/>
      <c r="AK213" s="644"/>
    </row>
    <row r="214" spans="1:37">
      <c r="A214" s="639"/>
      <c r="B214" s="1941" t="s">
        <v>2795</v>
      </c>
      <c r="C214" s="1941"/>
      <c r="D214" s="1941"/>
      <c r="E214" s="1941"/>
      <c r="F214" s="1941"/>
      <c r="G214" s="1941"/>
      <c r="I214" s="1909">
        <v>20</v>
      </c>
      <c r="J214" s="1909"/>
      <c r="K214" s="1909"/>
      <c r="L214" s="1043"/>
      <c r="N214" s="1906">
        <v>876</v>
      </c>
      <c r="O214" s="1906"/>
      <c r="P214" s="1906"/>
      <c r="Q214" s="1906"/>
      <c r="R214" s="1906"/>
      <c r="T214" s="1905">
        <v>2557</v>
      </c>
      <c r="U214" s="1905"/>
      <c r="V214" s="1905"/>
      <c r="W214" s="1905"/>
      <c r="X214" s="1905"/>
      <c r="Y214" s="1905"/>
      <c r="Z214" s="885"/>
      <c r="AA214" s="885"/>
      <c r="AB214" s="1903">
        <f t="shared" si="0"/>
        <v>403440</v>
      </c>
      <c r="AC214" s="1903"/>
      <c r="AD214" s="1903"/>
      <c r="AE214" s="1903"/>
      <c r="AF214" s="1903"/>
      <c r="AG214" s="1903"/>
      <c r="AH214" s="861"/>
      <c r="AI214" s="861"/>
      <c r="AJ214" s="861"/>
      <c r="AK214" s="644"/>
    </row>
    <row r="215" spans="1:37">
      <c r="A215" s="639"/>
      <c r="B215" s="1941" t="s">
        <v>1290</v>
      </c>
      <c r="C215" s="1941"/>
      <c r="D215" s="1941"/>
      <c r="E215" s="1941"/>
      <c r="F215" s="1941"/>
      <c r="G215" s="1941"/>
      <c r="I215" s="1909"/>
      <c r="J215" s="1909"/>
      <c r="K215" s="1909"/>
      <c r="L215" s="1043"/>
      <c r="N215" s="1906"/>
      <c r="O215" s="1906"/>
      <c r="P215" s="1906"/>
      <c r="Q215" s="1906"/>
      <c r="R215" s="1906"/>
      <c r="T215" s="1905"/>
      <c r="U215" s="1905"/>
      <c r="V215" s="1905"/>
      <c r="W215" s="1905"/>
      <c r="X215" s="1905"/>
      <c r="Y215" s="1905"/>
      <c r="Z215" s="885"/>
      <c r="AA215" s="885"/>
      <c r="AB215" s="1903">
        <f t="shared" si="0"/>
        <v>0</v>
      </c>
      <c r="AC215" s="1903"/>
      <c r="AD215" s="1903"/>
      <c r="AE215" s="1903"/>
      <c r="AF215" s="1903"/>
      <c r="AG215" s="1903"/>
      <c r="AH215" s="861"/>
      <c r="AI215" s="861"/>
      <c r="AJ215" s="861"/>
      <c r="AK215" s="644"/>
    </row>
    <row r="216" spans="1:37">
      <c r="A216" s="639"/>
      <c r="B216" s="1941" t="s">
        <v>1290</v>
      </c>
      <c r="C216" s="1941"/>
      <c r="D216" s="1941"/>
      <c r="E216" s="1941"/>
      <c r="F216" s="1941"/>
      <c r="G216" s="1941"/>
      <c r="I216" s="1909"/>
      <c r="J216" s="1909"/>
      <c r="K216" s="1909"/>
      <c r="L216" s="1043"/>
      <c r="N216" s="1906"/>
      <c r="O216" s="1906"/>
      <c r="P216" s="1906"/>
      <c r="Q216" s="1906"/>
      <c r="R216" s="1906"/>
      <c r="T216" s="1905"/>
      <c r="U216" s="1905"/>
      <c r="V216" s="1905"/>
      <c r="W216" s="1905"/>
      <c r="X216" s="1905"/>
      <c r="Y216" s="1905"/>
      <c r="Z216" s="885"/>
      <c r="AA216" s="885"/>
      <c r="AB216" s="1903">
        <f t="shared" si="0"/>
        <v>0</v>
      </c>
      <c r="AC216" s="1903"/>
      <c r="AD216" s="1903"/>
      <c r="AE216" s="1903"/>
      <c r="AF216" s="1903"/>
      <c r="AG216" s="1903"/>
      <c r="AH216" s="861"/>
      <c r="AI216" s="861"/>
      <c r="AJ216" s="861"/>
      <c r="AK216" s="644"/>
    </row>
    <row r="217" spans="1:37">
      <c r="A217" s="639"/>
      <c r="B217" s="1941" t="s">
        <v>1290</v>
      </c>
      <c r="C217" s="1941"/>
      <c r="D217" s="1941"/>
      <c r="E217" s="1941"/>
      <c r="F217" s="1941"/>
      <c r="G217" s="1941"/>
      <c r="I217" s="1909"/>
      <c r="J217" s="1909"/>
      <c r="K217" s="1909"/>
      <c r="L217" s="1050"/>
      <c r="N217" s="1906"/>
      <c r="O217" s="1906"/>
      <c r="P217" s="1906"/>
      <c r="Q217" s="1906"/>
      <c r="R217" s="1906"/>
      <c r="T217" s="1905"/>
      <c r="U217" s="1905"/>
      <c r="V217" s="1905"/>
      <c r="W217" s="1905"/>
      <c r="X217" s="1905"/>
      <c r="Y217" s="1905"/>
      <c r="Z217" s="885"/>
      <c r="AA217" s="885"/>
      <c r="AB217" s="1903">
        <f t="shared" si="0"/>
        <v>0</v>
      </c>
      <c r="AC217" s="1903"/>
      <c r="AD217" s="1903"/>
      <c r="AE217" s="1903"/>
      <c r="AF217" s="1903"/>
      <c r="AG217" s="1903"/>
      <c r="AH217" s="861"/>
      <c r="AI217" s="861"/>
      <c r="AJ217" s="861"/>
      <c r="AK217" s="644"/>
    </row>
    <row r="218" spans="1:37">
      <c r="A218" s="639"/>
      <c r="B218" s="1941" t="s">
        <v>1290</v>
      </c>
      <c r="C218" s="1941"/>
      <c r="D218" s="1941"/>
      <c r="E218" s="1941"/>
      <c r="F218" s="1941"/>
      <c r="G218" s="1941"/>
      <c r="I218" s="1909"/>
      <c r="J218" s="1909"/>
      <c r="K218" s="1909"/>
      <c r="L218" s="1050"/>
      <c r="N218" s="1906"/>
      <c r="O218" s="1906"/>
      <c r="P218" s="1906"/>
      <c r="Q218" s="1906"/>
      <c r="R218" s="1906"/>
      <c r="T218" s="1905"/>
      <c r="U218" s="1905"/>
      <c r="V218" s="1905"/>
      <c r="W218" s="1905"/>
      <c r="X218" s="1905"/>
      <c r="Y218" s="1905"/>
      <c r="Z218" s="885"/>
      <c r="AA218" s="885"/>
      <c r="AB218" s="1903">
        <f t="shared" si="0"/>
        <v>0</v>
      </c>
      <c r="AC218" s="1903"/>
      <c r="AD218" s="1903"/>
      <c r="AE218" s="1903"/>
      <c r="AF218" s="1903"/>
      <c r="AG218" s="1903"/>
      <c r="AH218" s="861"/>
      <c r="AI218" s="861"/>
      <c r="AJ218" s="861"/>
      <c r="AK218" s="644"/>
    </row>
    <row r="219" spans="1:37">
      <c r="A219" s="639"/>
      <c r="B219" s="1941" t="s">
        <v>1290</v>
      </c>
      <c r="C219" s="1941"/>
      <c r="D219" s="1941"/>
      <c r="E219" s="1941"/>
      <c r="F219" s="1941"/>
      <c r="G219" s="1941"/>
      <c r="I219" s="1909"/>
      <c r="J219" s="1909"/>
      <c r="K219" s="1909"/>
      <c r="L219" s="1050"/>
      <c r="N219" s="1906"/>
      <c r="O219" s="1906"/>
      <c r="P219" s="1906"/>
      <c r="Q219" s="1906"/>
      <c r="R219" s="1906"/>
      <c r="T219" s="1905"/>
      <c r="U219" s="1905"/>
      <c r="V219" s="1905"/>
      <c r="W219" s="1905"/>
      <c r="X219" s="1905"/>
      <c r="Y219" s="1905"/>
      <c r="Z219" s="885"/>
      <c r="AA219" s="885"/>
      <c r="AB219" s="1903">
        <f t="shared" si="0"/>
        <v>0</v>
      </c>
      <c r="AC219" s="1903"/>
      <c r="AD219" s="1903"/>
      <c r="AE219" s="1903"/>
      <c r="AF219" s="1903"/>
      <c r="AG219" s="1903"/>
      <c r="AH219" s="861"/>
      <c r="AI219" s="861"/>
      <c r="AJ219" s="861"/>
      <c r="AK219" s="644"/>
    </row>
    <row r="220" spans="1:37">
      <c r="A220" s="639"/>
      <c r="B220" s="1941" t="s">
        <v>1290</v>
      </c>
      <c r="C220" s="1941"/>
      <c r="D220" s="1941"/>
      <c r="E220" s="1941"/>
      <c r="F220" s="1941"/>
      <c r="G220" s="1941"/>
      <c r="I220" s="1909"/>
      <c r="J220" s="1909"/>
      <c r="K220" s="1909"/>
      <c r="L220" s="1050"/>
      <c r="N220" s="1906"/>
      <c r="O220" s="1906"/>
      <c r="P220" s="1906"/>
      <c r="Q220" s="1906"/>
      <c r="R220" s="1906"/>
      <c r="T220" s="1905"/>
      <c r="U220" s="1905"/>
      <c r="V220" s="1905"/>
      <c r="W220" s="1905"/>
      <c r="X220" s="1905"/>
      <c r="Y220" s="1905"/>
      <c r="Z220" s="885"/>
      <c r="AA220" s="885"/>
      <c r="AB220" s="1903">
        <f t="shared" si="0"/>
        <v>0</v>
      </c>
      <c r="AC220" s="1903"/>
      <c r="AD220" s="1903"/>
      <c r="AE220" s="1903"/>
      <c r="AF220" s="1903"/>
      <c r="AG220" s="1903"/>
      <c r="AH220" s="861"/>
      <c r="AI220" s="861"/>
      <c r="AJ220" s="861"/>
      <c r="AK220" s="644"/>
    </row>
    <row r="221" spans="1:37">
      <c r="A221" s="639"/>
      <c r="B221" s="1941" t="s">
        <v>1290</v>
      </c>
      <c r="C221" s="1941"/>
      <c r="D221" s="1941"/>
      <c r="E221" s="1941"/>
      <c r="F221" s="1941"/>
      <c r="G221" s="1941"/>
      <c r="I221" s="1909"/>
      <c r="J221" s="1909"/>
      <c r="K221" s="1909"/>
      <c r="L221" s="1050"/>
      <c r="N221" s="1906"/>
      <c r="O221" s="1906"/>
      <c r="P221" s="1906"/>
      <c r="Q221" s="1906"/>
      <c r="R221" s="1906"/>
      <c r="T221" s="1905"/>
      <c r="U221" s="1905"/>
      <c r="V221" s="1905"/>
      <c r="W221" s="1905"/>
      <c r="X221" s="1905"/>
      <c r="Y221" s="1905"/>
      <c r="Z221" s="885"/>
      <c r="AA221" s="885"/>
      <c r="AB221" s="1903">
        <f t="shared" si="0"/>
        <v>0</v>
      </c>
      <c r="AC221" s="1903"/>
      <c r="AD221" s="1903"/>
      <c r="AE221" s="1903"/>
      <c r="AF221" s="1903"/>
      <c r="AG221" s="1903"/>
      <c r="AH221" s="861"/>
      <c r="AI221" s="861"/>
      <c r="AJ221" s="861"/>
      <c r="AK221" s="644"/>
    </row>
    <row r="222" spans="1:37">
      <c r="A222" s="639"/>
      <c r="B222" s="1941" t="s">
        <v>1290</v>
      </c>
      <c r="C222" s="1941"/>
      <c r="D222" s="1941"/>
      <c r="E222" s="1941"/>
      <c r="F222" s="1941"/>
      <c r="G222" s="1941"/>
      <c r="I222" s="2094"/>
      <c r="J222" s="2094"/>
      <c r="K222" s="2094"/>
      <c r="L222" s="1050"/>
      <c r="N222" s="1906"/>
      <c r="O222" s="1906"/>
      <c r="P222" s="1906"/>
      <c r="Q222" s="1906"/>
      <c r="R222" s="1906"/>
      <c r="T222" s="1905"/>
      <c r="U222" s="1905"/>
      <c r="V222" s="1905"/>
      <c r="W222" s="1905"/>
      <c r="X222" s="1905"/>
      <c r="Y222" s="1905"/>
      <c r="Z222" s="885"/>
      <c r="AA222" s="885"/>
      <c r="AB222" s="1910">
        <f t="shared" si="0"/>
        <v>0</v>
      </c>
      <c r="AC222" s="1910"/>
      <c r="AD222" s="1910"/>
      <c r="AE222" s="1910"/>
      <c r="AF222" s="1910"/>
      <c r="AG222" s="19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3">
        <f>SUM(AB213:AB222)</f>
        <v>732960</v>
      </c>
      <c r="AC223" s="1903"/>
      <c r="AD223" s="1903"/>
      <c r="AE223" s="1903"/>
      <c r="AF223" s="1903"/>
      <c r="AG223" s="190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3"/>
      <c r="AC229" s="1943"/>
      <c r="AD229" s="1943"/>
      <c r="AE229" s="1943"/>
      <c r="AF229" s="1943"/>
      <c r="AG229" s="1943"/>
      <c r="AH229" s="644"/>
      <c r="AI229" s="644"/>
      <c r="AJ229" s="644"/>
      <c r="AK229" s="644"/>
    </row>
    <row r="230" spans="1:37" ht="13">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3"/>
      <c r="AC232" s="1943"/>
      <c r="AD232" s="1943"/>
      <c r="AE232" s="1943"/>
      <c r="AF232" s="1943"/>
      <c r="AG232" s="1943"/>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2"/>
      <c r="AC233" s="1902"/>
      <c r="AD233" s="1902"/>
      <c r="AE233" s="1902"/>
      <c r="AF233" s="1902"/>
      <c r="AG233" s="1902"/>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1">
        <f>IFERROR(AB232/AB233,0)</f>
        <v>0</v>
      </c>
      <c r="AC234" s="1911"/>
      <c r="AD234" s="1911"/>
      <c r="AE234" s="1911"/>
      <c r="AF234" s="1911"/>
      <c r="AG234" s="191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0">
        <f>MAX(AB229,AB234)</f>
        <v>0</v>
      </c>
      <c r="AC236" s="1910"/>
      <c r="AD236" s="1910"/>
      <c r="AE236" s="1910"/>
      <c r="AF236" s="1910"/>
      <c r="AG236" s="19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3">
        <f>AB223+AB236</f>
        <v>732960</v>
      </c>
      <c r="AC239" s="1903"/>
      <c r="AD239" s="1903"/>
      <c r="AE239" s="1903"/>
      <c r="AF239" s="1903"/>
      <c r="AG239" s="1903"/>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7">
        <v>0.05</v>
      </c>
      <c r="AC240" s="2077"/>
      <c r="AD240" s="2077"/>
      <c r="AE240" s="2077"/>
      <c r="AF240" s="2077"/>
      <c r="AG240" s="2077"/>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8">
        <f>AB239-(AB239*AB240)</f>
        <v>696312</v>
      </c>
      <c r="AC241" s="2078"/>
      <c r="AD241" s="2078"/>
      <c r="AE241" s="2078"/>
      <c r="AF241" s="2078"/>
      <c r="AG241" s="2078"/>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3">
        <f>AB241/AB247</f>
        <v>605488.69565217395</v>
      </c>
      <c r="AC243" s="1903"/>
      <c r="AD243" s="1903"/>
      <c r="AE243" s="1903"/>
      <c r="AF243" s="1903"/>
      <c r="AG243" s="190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0">
        <v>15</v>
      </c>
      <c r="AC245" s="2090"/>
      <c r="AD245" s="2090"/>
      <c r="AE245" s="2090"/>
      <c r="AF245" s="2090"/>
      <c r="AG245" s="2090"/>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0">
        <v>0.04</v>
      </c>
      <c r="AC246" s="2080"/>
      <c r="AD246" s="2080"/>
      <c r="AE246" s="2080"/>
      <c r="AF246" s="2080"/>
      <c r="AG246" s="2080"/>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1">
        <v>1.1499999999999999</v>
      </c>
      <c r="AC247" s="2081"/>
      <c r="AD247" s="2081"/>
      <c r="AE247" s="2081"/>
      <c r="AF247" s="2081"/>
      <c r="AG247" s="208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0">
        <f>PV(AB246/12,AB245*12,-AB243/12, ,0)</f>
        <v>6821443.1461467752</v>
      </c>
      <c r="AC249" s="2071"/>
      <c r="AD249" s="2071"/>
      <c r="AE249" s="2071"/>
      <c r="AF249" s="2071"/>
      <c r="AG249" s="2072"/>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4">
        <f ca="1">IFERROR(('Sources and Uses Budget'!D105/'Sources and Uses Budget'!B105),0)</f>
        <v>0</v>
      </c>
      <c r="AC255" s="2075"/>
      <c r="AD255" s="2075"/>
      <c r="AE255" s="2075"/>
      <c r="AF255" s="2075"/>
      <c r="AG255" s="20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7">
        <f ca="1">AD200*(1-AB255)</f>
        <v>22824566.146146774</v>
      </c>
      <c r="AH257" s="1917"/>
      <c r="AI257" s="1917"/>
      <c r="AJ257" s="1917"/>
      <c r="AK257" s="1917"/>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7">
        <f ca="1">'Sources and Uses Budget'!C105</f>
        <v>38125451.821293063</v>
      </c>
      <c r="AH258" s="1917"/>
      <c r="AI258" s="1917"/>
      <c r="AJ258" s="1917"/>
      <c r="AK258" s="191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6">
        <f ca="1">ROUNDDOWN(IF(AND(C281="Yes",AK78=10),((AG257*2)/AG258),AG257/AG258),2)</f>
        <v>1.19</v>
      </c>
      <c r="AH259" s="2066"/>
      <c r="AI259" s="2066"/>
      <c r="AJ259" s="2066"/>
      <c r="AK259" s="2066"/>
    </row>
    <row r="260" spans="1:52" ht="13">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5">
        <f ca="1">IFERROR(IF(AG259=0,0,IF((AG259*100)&gt;8,8,(AG259*100))),0)</f>
        <v>8</v>
      </c>
      <c r="AL262" s="2055"/>
      <c r="AM262" s="2056"/>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5" t="s">
        <v>553</v>
      </c>
      <c r="D267" s="1935"/>
      <c r="E267" s="581"/>
      <c r="F267" s="1886" t="s">
        <v>2337</v>
      </c>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8"/>
      <c r="AE267" s="584"/>
      <c r="AF267" s="669"/>
      <c r="AG267" s="2064" t="s">
        <v>1472</v>
      </c>
      <c r="AH267" s="2064"/>
      <c r="AI267" s="2064"/>
      <c r="AJ267" s="2064"/>
      <c r="AK267" s="584"/>
      <c r="AL267" s="584"/>
      <c r="AM267" s="584"/>
      <c r="AO267" s="584"/>
    </row>
    <row r="268" spans="1:52" ht="13.75" customHeight="1">
      <c r="A268" s="584"/>
      <c r="B268" s="630"/>
      <c r="C268" s="670"/>
      <c r="D268" s="584"/>
      <c r="E268" s="581"/>
      <c r="F268" s="1889"/>
      <c r="G268" s="1890"/>
      <c r="H268" s="1890"/>
      <c r="I268" s="1890"/>
      <c r="J268" s="1890"/>
      <c r="K268" s="1890"/>
      <c r="L268" s="1890"/>
      <c r="M268" s="1890"/>
      <c r="N268" s="1890"/>
      <c r="O268" s="1890"/>
      <c r="P268" s="1890"/>
      <c r="Q268" s="1890"/>
      <c r="R268" s="1890"/>
      <c r="S268" s="1890"/>
      <c r="T268" s="1890"/>
      <c r="U268" s="1890"/>
      <c r="V268" s="1890"/>
      <c r="W268" s="1890"/>
      <c r="X268" s="1890"/>
      <c r="Y268" s="1890"/>
      <c r="Z268" s="1890"/>
      <c r="AA268" s="1890"/>
      <c r="AB268" s="1890"/>
      <c r="AC268" s="1890"/>
      <c r="AD268" s="1891"/>
      <c r="AE268" s="584"/>
      <c r="AF268" s="669"/>
      <c r="AG268" s="669"/>
      <c r="AH268" s="669"/>
      <c r="AI268" s="669"/>
      <c r="AJ268" s="584"/>
      <c r="AK268" s="584"/>
      <c r="AL268" s="584"/>
      <c r="AM268" s="584"/>
      <c r="AO268" s="584"/>
    </row>
    <row r="269" spans="1:52">
      <c r="A269" s="584"/>
      <c r="B269" s="630"/>
      <c r="C269" s="670"/>
      <c r="D269" s="584"/>
      <c r="E269" s="581"/>
      <c r="F269" s="1889"/>
      <c r="G269" s="1890"/>
      <c r="H269" s="1890"/>
      <c r="I269" s="1890"/>
      <c r="J269" s="1890"/>
      <c r="K269" s="1890"/>
      <c r="L269" s="1890"/>
      <c r="M269" s="1890"/>
      <c r="N269" s="1890"/>
      <c r="O269" s="1890"/>
      <c r="P269" s="1890"/>
      <c r="Q269" s="1890"/>
      <c r="R269" s="1890"/>
      <c r="S269" s="1890"/>
      <c r="T269" s="1890"/>
      <c r="U269" s="1890"/>
      <c r="V269" s="1890"/>
      <c r="W269" s="1890"/>
      <c r="X269" s="1890"/>
      <c r="Y269" s="1890"/>
      <c r="Z269" s="1890"/>
      <c r="AA269" s="1890"/>
      <c r="AB269" s="1890"/>
      <c r="AC269" s="1890"/>
      <c r="AD269" s="1891"/>
      <c r="AE269" s="584"/>
      <c r="AF269" s="669"/>
      <c r="AG269" s="669"/>
      <c r="AH269" s="669"/>
      <c r="AI269" s="669"/>
      <c r="AJ269" s="584"/>
      <c r="AK269" s="584"/>
      <c r="AL269" s="584"/>
      <c r="AM269" s="584"/>
      <c r="AO269" s="584"/>
      <c r="AP269" s="671"/>
    </row>
    <row r="270" spans="1:52">
      <c r="A270" s="584"/>
      <c r="B270" s="630"/>
      <c r="C270" s="670"/>
      <c r="D270" s="584"/>
      <c r="E270" s="581"/>
      <c r="F270" s="1889"/>
      <c r="G270" s="1890"/>
      <c r="H270" s="1890"/>
      <c r="I270" s="1890"/>
      <c r="J270" s="1890"/>
      <c r="K270" s="1890"/>
      <c r="L270" s="1890"/>
      <c r="M270" s="1890"/>
      <c r="N270" s="1890"/>
      <c r="O270" s="1890"/>
      <c r="P270" s="1890"/>
      <c r="Q270" s="1890"/>
      <c r="R270" s="1890"/>
      <c r="S270" s="1890"/>
      <c r="T270" s="1890"/>
      <c r="U270" s="1890"/>
      <c r="V270" s="1890"/>
      <c r="W270" s="1890"/>
      <c r="X270" s="1890"/>
      <c r="Y270" s="1890"/>
      <c r="Z270" s="1890"/>
      <c r="AA270" s="1890"/>
      <c r="AB270" s="1890"/>
      <c r="AC270" s="1890"/>
      <c r="AD270" s="1891"/>
      <c r="AE270" s="584"/>
      <c r="AF270" s="669"/>
      <c r="AG270" s="669"/>
      <c r="AH270" s="669"/>
      <c r="AI270" s="669"/>
      <c r="AJ270" s="584"/>
      <c r="AK270" s="584"/>
      <c r="AL270" s="584"/>
      <c r="AM270" s="584"/>
      <c r="AO270" s="584"/>
      <c r="AP270" s="671"/>
    </row>
    <row r="271" spans="1:52" ht="13.75" customHeight="1">
      <c r="A271" s="584"/>
      <c r="B271" s="630"/>
      <c r="C271" s="2065"/>
      <c r="D271" s="2065"/>
      <c r="E271" s="581"/>
      <c r="F271" s="1892"/>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c r="AB271" s="1893"/>
      <c r="AC271" s="1893"/>
      <c r="AD271" s="1894"/>
      <c r="AE271" s="584"/>
      <c r="AF271" s="669"/>
      <c r="AG271" s="2064"/>
      <c r="AH271" s="2064"/>
      <c r="AI271" s="2064"/>
      <c r="AJ271" s="206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5">
        <f>IF($C$267="yes",10,0)</f>
        <v>10</v>
      </c>
      <c r="AL274" s="2055"/>
      <c r="AM274" s="2056"/>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1489</v>
      </c>
      <c r="B277" s="572" t="s">
        <v>2043</v>
      </c>
      <c r="AH277" s="625" t="s">
        <v>1423</v>
      </c>
    </row>
    <row r="278" spans="1:49" ht="15" customHeight="1">
      <c r="B278" s="573"/>
    </row>
    <row r="279" spans="1:49" ht="15" customHeight="1">
      <c r="B279" s="573" t="s">
        <v>1916</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5" t="s">
        <v>1491</v>
      </c>
      <c r="B281" s="1615"/>
      <c r="C281" s="2029" t="s">
        <v>553</v>
      </c>
      <c r="D281" s="1935"/>
      <c r="E281" s="581"/>
      <c r="F281" s="2057" t="s">
        <v>1492</v>
      </c>
      <c r="G281" s="2058"/>
      <c r="H281" s="2058"/>
      <c r="I281" s="2058"/>
      <c r="J281" s="2058"/>
      <c r="K281" s="2058"/>
      <c r="L281" s="2058"/>
      <c r="M281" s="2058"/>
      <c r="N281" s="2058"/>
      <c r="O281" s="2058"/>
      <c r="P281" s="2058"/>
      <c r="Q281" s="2058"/>
      <c r="R281" s="2058"/>
      <c r="S281" s="2058"/>
      <c r="T281" s="2058"/>
      <c r="U281" s="2058"/>
      <c r="V281" s="2058"/>
      <c r="W281" s="2058"/>
      <c r="X281" s="2058"/>
      <c r="Y281" s="2058"/>
      <c r="Z281" s="2058"/>
      <c r="AA281" s="2058"/>
      <c r="AB281" s="2058"/>
      <c r="AC281" s="2058"/>
      <c r="AD281" s="2059"/>
      <c r="AE281" s="676"/>
      <c r="AF281" s="584"/>
      <c r="AG281" s="2060" t="s">
        <v>2330</v>
      </c>
      <c r="AH281" s="2060"/>
      <c r="AI281" s="2060"/>
      <c r="AJ281" s="2060"/>
      <c r="AK281" s="2060"/>
      <c r="AL281" s="584"/>
      <c r="AM281" s="584"/>
      <c r="AN281" s="73"/>
      <c r="AO281" s="14"/>
      <c r="AP281" s="30"/>
      <c r="AS281" s="604"/>
      <c r="AT281" s="604"/>
      <c r="AU281" s="604"/>
      <c r="AV281" s="32"/>
      <c r="AW281" s="32"/>
    </row>
    <row r="282" spans="1:49" ht="13">
      <c r="A282" s="674"/>
      <c r="B282" s="630"/>
      <c r="F282" s="1912"/>
      <c r="G282" s="1913"/>
      <c r="H282" s="1913"/>
      <c r="I282" s="1913"/>
      <c r="J282" s="1913"/>
      <c r="K282" s="1913"/>
      <c r="L282" s="1913"/>
      <c r="M282" s="1913"/>
      <c r="N282" s="1913"/>
      <c r="O282" s="1913"/>
      <c r="P282" s="1913"/>
      <c r="Q282" s="1913"/>
      <c r="R282" s="1913"/>
      <c r="S282" s="1913"/>
      <c r="T282" s="1913"/>
      <c r="U282" s="1913"/>
      <c r="V282" s="1913"/>
      <c r="W282" s="1913"/>
      <c r="X282" s="1913"/>
      <c r="Y282" s="1913"/>
      <c r="Z282" s="1913"/>
      <c r="AA282" s="1913"/>
      <c r="AB282" s="1913"/>
      <c r="AC282" s="1913"/>
      <c r="AD282" s="1914"/>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2"/>
      <c r="G283" s="1913"/>
      <c r="H283" s="1913"/>
      <c r="I283" s="1913"/>
      <c r="J283" s="1913"/>
      <c r="K283" s="1913"/>
      <c r="L283" s="1913"/>
      <c r="M283" s="1913"/>
      <c r="N283" s="1913"/>
      <c r="O283" s="1913"/>
      <c r="P283" s="1913"/>
      <c r="Q283" s="1913"/>
      <c r="R283" s="1913"/>
      <c r="S283" s="1913"/>
      <c r="T283" s="1913"/>
      <c r="U283" s="1913"/>
      <c r="V283" s="1913"/>
      <c r="W283" s="1913"/>
      <c r="X283" s="1913"/>
      <c r="Y283" s="1913"/>
      <c r="Z283" s="1913"/>
      <c r="AA283" s="1913"/>
      <c r="AB283" s="1913"/>
      <c r="AC283" s="1913"/>
      <c r="AD283" s="1914"/>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2" t="s">
        <v>2338</v>
      </c>
      <c r="G284" s="1913"/>
      <c r="H284" s="1913"/>
      <c r="I284" s="1913"/>
      <c r="J284" s="1913"/>
      <c r="K284" s="1913"/>
      <c r="L284" s="1913"/>
      <c r="M284" s="1913"/>
      <c r="N284" s="1913"/>
      <c r="O284" s="1913"/>
      <c r="P284" s="1913"/>
      <c r="Q284" s="1913"/>
      <c r="R284" s="1913"/>
      <c r="S284" s="1913"/>
      <c r="T284" s="1913"/>
      <c r="U284" s="1913"/>
      <c r="V284" s="1913"/>
      <c r="W284" s="1913"/>
      <c r="X284" s="1913"/>
      <c r="Y284" s="1913"/>
      <c r="Z284" s="1913"/>
      <c r="AA284" s="1913"/>
      <c r="AB284" s="1913"/>
      <c r="AC284" s="1913"/>
      <c r="AD284" s="1914"/>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ht="13">
      <c r="A285" s="674"/>
      <c r="B285" s="630"/>
      <c r="F285" s="1912"/>
      <c r="G285" s="1913"/>
      <c r="H285" s="1913"/>
      <c r="I285" s="1913"/>
      <c r="J285" s="1913"/>
      <c r="K285" s="1913"/>
      <c r="L285" s="1913"/>
      <c r="M285" s="1913"/>
      <c r="N285" s="1913"/>
      <c r="O285" s="1913"/>
      <c r="P285" s="1913"/>
      <c r="Q285" s="1913"/>
      <c r="R285" s="1913"/>
      <c r="S285" s="1913"/>
      <c r="T285" s="1913"/>
      <c r="U285" s="1913"/>
      <c r="V285" s="1913"/>
      <c r="W285" s="1913"/>
      <c r="X285" s="1913"/>
      <c r="Y285" s="1913"/>
      <c r="Z285" s="1913"/>
      <c r="AA285" s="1913"/>
      <c r="AB285" s="1913"/>
      <c r="AC285" s="1913"/>
      <c r="AD285" s="191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2" t="s">
        <v>1493</v>
      </c>
      <c r="G286" s="1913"/>
      <c r="H286" s="1913"/>
      <c r="I286" s="1913"/>
      <c r="J286" s="1913"/>
      <c r="K286" s="1913"/>
      <c r="L286" s="1913"/>
      <c r="M286" s="1913"/>
      <c r="N286" s="1913"/>
      <c r="O286" s="1913"/>
      <c r="P286" s="1913"/>
      <c r="Q286" s="1913"/>
      <c r="R286" s="1913"/>
      <c r="S286" s="1913"/>
      <c r="T286" s="1913"/>
      <c r="U286" s="1913"/>
      <c r="V286" s="1913"/>
      <c r="W286" s="1913"/>
      <c r="X286" s="1913"/>
      <c r="Y286" s="1913"/>
      <c r="Z286" s="1913"/>
      <c r="AA286" s="1913"/>
      <c r="AB286" s="1913"/>
      <c r="AC286" s="1913"/>
      <c r="AD286" s="191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2"/>
      <c r="G287" s="1913"/>
      <c r="H287" s="1913"/>
      <c r="I287" s="1913"/>
      <c r="J287" s="1913"/>
      <c r="K287" s="1913"/>
      <c r="L287" s="1913"/>
      <c r="M287" s="1913"/>
      <c r="N287" s="1913"/>
      <c r="O287" s="1913"/>
      <c r="P287" s="1913"/>
      <c r="Q287" s="1913"/>
      <c r="R287" s="1913"/>
      <c r="S287" s="1913"/>
      <c r="T287" s="1913"/>
      <c r="U287" s="1913"/>
      <c r="V287" s="1913"/>
      <c r="W287" s="1913"/>
      <c r="X287" s="1913"/>
      <c r="Y287" s="1913"/>
      <c r="Z287" s="1913"/>
      <c r="AA287" s="1913"/>
      <c r="AB287" s="1913"/>
      <c r="AC287" s="1913"/>
      <c r="AD287" s="191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2" t="s">
        <v>1494</v>
      </c>
      <c r="G288" s="1913"/>
      <c r="H288" s="1913"/>
      <c r="I288" s="1913"/>
      <c r="J288" s="1913"/>
      <c r="K288" s="1913"/>
      <c r="L288" s="1913"/>
      <c r="M288" s="1913"/>
      <c r="N288" s="1913"/>
      <c r="O288" s="1913"/>
      <c r="P288" s="1913"/>
      <c r="Q288" s="1913"/>
      <c r="R288" s="1913"/>
      <c r="S288" s="1913"/>
      <c r="T288" s="1913"/>
      <c r="U288" s="1913"/>
      <c r="V288" s="1913"/>
      <c r="W288" s="1913"/>
      <c r="X288" s="1913"/>
      <c r="Y288" s="1913"/>
      <c r="Z288" s="1913"/>
      <c r="AA288" s="1913"/>
      <c r="AB288" s="1913"/>
      <c r="AC288" s="1913"/>
      <c r="AD288" s="191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5"/>
      <c r="G289" s="1916"/>
      <c r="H289" s="1916"/>
      <c r="I289" s="1916"/>
      <c r="J289" s="1916"/>
      <c r="K289" s="1916"/>
      <c r="L289" s="1916"/>
      <c r="M289" s="1916"/>
      <c r="N289" s="1916"/>
      <c r="O289" s="1916"/>
      <c r="P289" s="1916"/>
      <c r="Q289" s="1916"/>
      <c r="R289" s="1916"/>
      <c r="S289" s="1916"/>
      <c r="T289" s="1916"/>
      <c r="U289" s="1916"/>
      <c r="V289" s="1916"/>
      <c r="W289" s="1916"/>
      <c r="X289" s="1916"/>
      <c r="Y289" s="1916"/>
      <c r="Z289" s="1916"/>
      <c r="AA289" s="1916"/>
      <c r="AB289" s="1916"/>
      <c r="AC289" s="1916"/>
      <c r="AD289" s="205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5" t="s">
        <v>1495</v>
      </c>
      <c r="B291" s="1615"/>
      <c r="C291" s="1935" t="s">
        <v>553</v>
      </c>
      <c r="D291" s="1935"/>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9" t="s">
        <v>2332</v>
      </c>
      <c r="G292" s="2040"/>
      <c r="H292" s="2040"/>
      <c r="I292" s="2040"/>
      <c r="J292" s="2040"/>
      <c r="K292" s="2040"/>
      <c r="L292" s="2040"/>
      <c r="M292" s="2040"/>
      <c r="N292" s="2040"/>
      <c r="O292" s="2040"/>
      <c r="P292" s="2040"/>
      <c r="Q292" s="2040"/>
      <c r="R292" s="2040"/>
      <c r="S292" s="2040"/>
      <c r="T292" s="2040"/>
      <c r="U292" s="2040"/>
      <c r="V292" s="2040"/>
      <c r="W292" s="2040"/>
      <c r="X292" s="2040"/>
      <c r="Y292" s="2040"/>
      <c r="Z292" s="2040"/>
      <c r="AA292" s="2040"/>
      <c r="AB292" s="2040"/>
      <c r="AC292" s="2040"/>
      <c r="AD292" s="2041"/>
      <c r="AE292" s="585"/>
      <c r="AF292" s="585"/>
      <c r="AG292" s="585"/>
      <c r="AH292" s="585"/>
      <c r="AI292" s="585"/>
      <c r="AJ292" s="584"/>
      <c r="AK292" s="584"/>
      <c r="AL292" s="584"/>
      <c r="AM292" s="584"/>
      <c r="AR292" s="682"/>
    </row>
    <row r="293" spans="1:49" ht="15" customHeight="1">
      <c r="A293" s="584"/>
      <c r="B293" s="585"/>
      <c r="C293" s="584"/>
      <c r="D293" s="585"/>
      <c r="E293" s="584"/>
      <c r="F293" s="2039"/>
      <c r="G293" s="2040"/>
      <c r="H293" s="2040"/>
      <c r="I293" s="2040"/>
      <c r="J293" s="2040"/>
      <c r="K293" s="2040"/>
      <c r="L293" s="2040"/>
      <c r="M293" s="2040"/>
      <c r="N293" s="2040"/>
      <c r="O293" s="2040"/>
      <c r="P293" s="2040"/>
      <c r="Q293" s="2040"/>
      <c r="R293" s="2040"/>
      <c r="S293" s="2040"/>
      <c r="T293" s="2040"/>
      <c r="U293" s="2040"/>
      <c r="V293" s="2040"/>
      <c r="W293" s="2040"/>
      <c r="X293" s="2040"/>
      <c r="Y293" s="2040"/>
      <c r="Z293" s="2040"/>
      <c r="AA293" s="2040"/>
      <c r="AB293" s="2040"/>
      <c r="AC293" s="2040"/>
      <c r="AD293" s="2041"/>
      <c r="AE293" s="585"/>
      <c r="AF293" s="585"/>
      <c r="AG293" s="585"/>
      <c r="AH293" s="585"/>
      <c r="AI293" s="585"/>
      <c r="AJ293" s="584"/>
      <c r="AK293" s="584"/>
      <c r="AL293" s="584"/>
      <c r="AM293" s="584"/>
      <c r="AR293" s="682"/>
    </row>
    <row r="294" spans="1:49">
      <c r="A294" s="584"/>
      <c r="B294" s="585"/>
      <c r="C294" s="584"/>
      <c r="D294" s="585"/>
      <c r="E294" s="584"/>
      <c r="F294" s="2039"/>
      <c r="G294" s="2040"/>
      <c r="H294" s="2040"/>
      <c r="I294" s="2040"/>
      <c r="J294" s="2040"/>
      <c r="K294" s="2040"/>
      <c r="L294" s="2040"/>
      <c r="M294" s="2040"/>
      <c r="N294" s="2040"/>
      <c r="O294" s="2040"/>
      <c r="P294" s="2040"/>
      <c r="Q294" s="2040"/>
      <c r="R294" s="2040"/>
      <c r="S294" s="2040"/>
      <c r="T294" s="2040"/>
      <c r="U294" s="2040"/>
      <c r="V294" s="2040"/>
      <c r="W294" s="2040"/>
      <c r="X294" s="2040"/>
      <c r="Y294" s="2040"/>
      <c r="Z294" s="2040"/>
      <c r="AA294" s="2040"/>
      <c r="AB294" s="2040"/>
      <c r="AC294" s="2040"/>
      <c r="AD294" s="204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1"/>
      <c r="G295" s="2062"/>
      <c r="H295" s="2062"/>
      <c r="I295" s="2062"/>
      <c r="J295" s="2062"/>
      <c r="K295" s="2062"/>
      <c r="L295" s="2062"/>
      <c r="M295" s="2062"/>
      <c r="N295" s="2062"/>
      <c r="O295" s="2062"/>
      <c r="P295" s="2062"/>
      <c r="Q295" s="2062"/>
      <c r="R295" s="2062"/>
      <c r="S295" s="2062"/>
      <c r="T295" s="2062"/>
      <c r="U295" s="2062"/>
      <c r="V295" s="2062"/>
      <c r="W295" s="2062"/>
      <c r="X295" s="2062"/>
      <c r="Y295" s="2062"/>
      <c r="Z295" s="2062"/>
      <c r="AA295" s="2062"/>
      <c r="AB295" s="2062"/>
      <c r="AC295" s="2062"/>
      <c r="AD295" s="206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5" t="s">
        <v>1498</v>
      </c>
      <c r="B299" s="1615"/>
      <c r="C299" s="1935" t="s">
        <v>599</v>
      </c>
      <c r="D299" s="1935"/>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t="13" hidden="1">
      <c r="A300" s="89"/>
      <c r="B300" s="89"/>
      <c r="C300" s="764"/>
      <c r="D300" s="764"/>
      <c r="E300" s="581"/>
      <c r="F300" s="1912" t="s">
        <v>2339</v>
      </c>
      <c r="G300" s="1913"/>
      <c r="H300" s="1913"/>
      <c r="I300" s="1913"/>
      <c r="J300" s="1913"/>
      <c r="K300" s="1913"/>
      <c r="L300" s="1913"/>
      <c r="M300" s="1913"/>
      <c r="N300" s="1913"/>
      <c r="O300" s="1913"/>
      <c r="P300" s="1913"/>
      <c r="Q300" s="1913"/>
      <c r="R300" s="1913"/>
      <c r="S300" s="1913"/>
      <c r="T300" s="1913"/>
      <c r="U300" s="1913"/>
      <c r="V300" s="1913"/>
      <c r="W300" s="1913"/>
      <c r="X300" s="1913"/>
      <c r="Y300" s="1913"/>
      <c r="Z300" s="1913"/>
      <c r="AA300" s="1913"/>
      <c r="AB300" s="1913"/>
      <c r="AC300" s="1913"/>
      <c r="AD300" s="1914"/>
      <c r="AE300" s="585"/>
      <c r="AF300" s="585"/>
      <c r="AG300" s="573"/>
      <c r="AH300" s="585"/>
      <c r="AI300" s="585"/>
      <c r="AJ300" s="584"/>
      <c r="AK300" s="584"/>
      <c r="AL300" s="584"/>
      <c r="AM300" s="584"/>
      <c r="AN300" s="73"/>
      <c r="AO300" s="14"/>
      <c r="AP300" s="591" t="s">
        <v>1290</v>
      </c>
    </row>
    <row r="301" spans="1:49" hidden="1">
      <c r="F301" s="1912"/>
      <c r="G301" s="1913"/>
      <c r="H301" s="1913"/>
      <c r="I301" s="1913"/>
      <c r="J301" s="1913"/>
      <c r="K301" s="1913"/>
      <c r="L301" s="1913"/>
      <c r="M301" s="1913"/>
      <c r="N301" s="1913"/>
      <c r="O301" s="1913"/>
      <c r="P301" s="1913"/>
      <c r="Q301" s="1913"/>
      <c r="R301" s="1913"/>
      <c r="S301" s="1913"/>
      <c r="T301" s="1913"/>
      <c r="U301" s="1913"/>
      <c r="V301" s="1913"/>
      <c r="W301" s="1913"/>
      <c r="X301" s="1913"/>
      <c r="Y301" s="1913"/>
      <c r="Z301" s="1913"/>
      <c r="AA301" s="1913"/>
      <c r="AB301" s="1913"/>
      <c r="AC301" s="1913"/>
      <c r="AD301" s="1914"/>
      <c r="AE301" s="585"/>
      <c r="AF301" s="585"/>
      <c r="AH301" s="585"/>
      <c r="AI301" s="585"/>
      <c r="AJ301" s="584"/>
      <c r="AK301" s="584"/>
      <c r="AL301" s="584"/>
      <c r="AM301" s="584"/>
      <c r="AN301" s="73"/>
      <c r="AO301" s="14"/>
      <c r="AP301" s="591" t="s">
        <v>1918</v>
      </c>
    </row>
    <row r="302" spans="1:49" ht="13"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2" t="s">
        <v>1290</v>
      </c>
      <c r="G305" s="2043"/>
      <c r="H305" s="2043"/>
      <c r="I305" s="2043"/>
      <c r="J305" s="2043"/>
      <c r="K305" s="2043"/>
      <c r="L305" s="2043"/>
      <c r="M305" s="2043"/>
      <c r="N305" s="2043"/>
      <c r="O305" s="2043"/>
      <c r="P305" s="2043"/>
      <c r="Q305" s="2043"/>
      <c r="R305" s="2043"/>
      <c r="S305" s="2043"/>
      <c r="T305" s="2043"/>
      <c r="U305" s="2043"/>
      <c r="V305" s="2043"/>
      <c r="W305" s="2043"/>
      <c r="X305" s="2043"/>
      <c r="Y305" s="2043"/>
      <c r="Z305" s="2043"/>
      <c r="AA305" s="2043"/>
      <c r="AB305" s="2043"/>
      <c r="AC305" s="2043"/>
      <c r="AD305" s="2044"/>
      <c r="AE305" s="676"/>
      <c r="AF305" s="676"/>
      <c r="AG305" s="676"/>
      <c r="AH305" s="676"/>
      <c r="AI305" s="676"/>
      <c r="AJ305" s="676"/>
      <c r="AK305" s="676"/>
      <c r="AL305" s="584"/>
      <c r="AM305" s="584"/>
      <c r="AN305" s="73"/>
      <c r="AO305" s="14"/>
      <c r="AP305" s="30"/>
    </row>
    <row r="306" spans="1:42" ht="13" hidden="1">
      <c r="A306" s="584"/>
      <c r="B306" s="585"/>
      <c r="C306" s="764"/>
      <c r="D306" s="764"/>
      <c r="E306" s="581"/>
      <c r="F306" s="2042"/>
      <c r="G306" s="2043"/>
      <c r="H306" s="2043"/>
      <c r="I306" s="2043"/>
      <c r="J306" s="2043"/>
      <c r="K306" s="2043"/>
      <c r="L306" s="2043"/>
      <c r="M306" s="2043"/>
      <c r="N306" s="2043"/>
      <c r="O306" s="2043"/>
      <c r="P306" s="2043"/>
      <c r="Q306" s="2043"/>
      <c r="R306" s="2043"/>
      <c r="S306" s="2043"/>
      <c r="T306" s="2043"/>
      <c r="U306" s="2043"/>
      <c r="V306" s="2043"/>
      <c r="W306" s="2043"/>
      <c r="X306" s="2043"/>
      <c r="Y306" s="2043"/>
      <c r="Z306" s="2043"/>
      <c r="AA306" s="2043"/>
      <c r="AB306" s="2043"/>
      <c r="AC306" s="2043"/>
      <c r="AD306" s="2044"/>
      <c r="AE306" s="585"/>
      <c r="AF306" s="585"/>
      <c r="AG306" s="573"/>
      <c r="AH306" s="585"/>
      <c r="AI306" s="585"/>
      <c r="AJ306" s="584"/>
      <c r="AK306" s="584"/>
      <c r="AL306" s="584"/>
      <c r="AM306" s="584"/>
      <c r="AN306" s="73"/>
      <c r="AO306" s="14"/>
      <c r="AP306" s="30"/>
    </row>
    <row r="307" spans="1:42" ht="13" hidden="1">
      <c r="A307" s="584"/>
      <c r="B307" s="585"/>
      <c r="C307" s="764"/>
      <c r="D307" s="764"/>
      <c r="E307" s="581"/>
      <c r="F307" s="2042"/>
      <c r="G307" s="2043"/>
      <c r="H307" s="2043"/>
      <c r="I307" s="2043"/>
      <c r="J307" s="2043"/>
      <c r="K307" s="2043"/>
      <c r="L307" s="2043"/>
      <c r="M307" s="2043"/>
      <c r="N307" s="2043"/>
      <c r="O307" s="2043"/>
      <c r="P307" s="2043"/>
      <c r="Q307" s="2043"/>
      <c r="R307" s="2043"/>
      <c r="S307" s="2043"/>
      <c r="T307" s="2043"/>
      <c r="U307" s="2043"/>
      <c r="V307" s="2043"/>
      <c r="W307" s="2043"/>
      <c r="X307" s="2043"/>
      <c r="Y307" s="2043"/>
      <c r="Z307" s="2043"/>
      <c r="AA307" s="2043"/>
      <c r="AB307" s="2043"/>
      <c r="AC307" s="2043"/>
      <c r="AD307" s="2044"/>
      <c r="AE307" s="585"/>
      <c r="AF307" s="585"/>
      <c r="AG307" s="573"/>
      <c r="AH307" s="585"/>
      <c r="AI307" s="585"/>
      <c r="AJ307" s="584"/>
      <c r="AK307" s="584"/>
      <c r="AL307" s="584"/>
      <c r="AM307" s="584"/>
      <c r="AN307" s="73"/>
      <c r="AO307" s="14"/>
      <c r="AP307" s="30"/>
    </row>
    <row r="308" spans="1:42" ht="13" hidden="1">
      <c r="A308" s="584"/>
      <c r="B308" s="585"/>
      <c r="C308" s="764"/>
      <c r="D308" s="764"/>
      <c r="E308" s="581"/>
      <c r="F308" s="2042"/>
      <c r="G308" s="2043"/>
      <c r="H308" s="2043"/>
      <c r="I308" s="2043"/>
      <c r="J308" s="2043"/>
      <c r="K308" s="2043"/>
      <c r="L308" s="2043"/>
      <c r="M308" s="2043"/>
      <c r="N308" s="2043"/>
      <c r="O308" s="2043"/>
      <c r="P308" s="2043"/>
      <c r="Q308" s="2043"/>
      <c r="R308" s="2043"/>
      <c r="S308" s="2043"/>
      <c r="T308" s="2043"/>
      <c r="U308" s="2043"/>
      <c r="V308" s="2043"/>
      <c r="W308" s="2043"/>
      <c r="X308" s="2043"/>
      <c r="Y308" s="2043"/>
      <c r="Z308" s="2043"/>
      <c r="AA308" s="2043"/>
      <c r="AB308" s="2043"/>
      <c r="AC308" s="2043"/>
      <c r="AD308" s="2044"/>
      <c r="AE308" s="585"/>
      <c r="AF308" s="585"/>
      <c r="AG308" s="573"/>
      <c r="AH308" s="585"/>
      <c r="AI308" s="585"/>
      <c r="AJ308" s="584"/>
      <c r="AK308" s="584"/>
      <c r="AL308" s="584"/>
      <c r="AM308" s="584"/>
      <c r="AN308" s="73"/>
      <c r="AO308" s="14"/>
      <c r="AP308" s="30"/>
    </row>
    <row r="309" spans="1:42" ht="13" hidden="1">
      <c r="A309" s="584"/>
      <c r="B309" s="585"/>
      <c r="C309" s="764"/>
      <c r="D309" s="764"/>
      <c r="E309" s="581"/>
      <c r="F309" s="2045"/>
      <c r="G309" s="2046"/>
      <c r="H309" s="2046"/>
      <c r="I309" s="2046"/>
      <c r="J309" s="2046"/>
      <c r="K309" s="2046"/>
      <c r="L309" s="2046"/>
      <c r="M309" s="2046"/>
      <c r="N309" s="2046"/>
      <c r="O309" s="2046"/>
      <c r="P309" s="2046"/>
      <c r="Q309" s="2046"/>
      <c r="R309" s="2046"/>
      <c r="S309" s="2046"/>
      <c r="T309" s="2046"/>
      <c r="U309" s="2046"/>
      <c r="V309" s="2046"/>
      <c r="W309" s="2046"/>
      <c r="X309" s="2046"/>
      <c r="Y309" s="2046"/>
      <c r="Z309" s="2046"/>
      <c r="AA309" s="2046"/>
      <c r="AB309" s="2046"/>
      <c r="AC309" s="2046"/>
      <c r="AD309" s="2047"/>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8" t="s">
        <v>1290</v>
      </c>
      <c r="J313" s="2048"/>
      <c r="K313" s="2048"/>
      <c r="L313" s="2048"/>
      <c r="M313" s="2048"/>
      <c r="N313" s="2048"/>
      <c r="O313" s="2048"/>
      <c r="P313" s="2048"/>
      <c r="Q313" s="2048"/>
      <c r="R313" s="2048"/>
      <c r="S313" s="2048"/>
      <c r="T313" s="2048"/>
      <c r="U313" s="2048"/>
      <c r="V313" s="2048"/>
      <c r="W313" s="2048"/>
      <c r="X313" s="2048"/>
      <c r="Y313" s="2048"/>
      <c r="Z313" s="2048"/>
      <c r="AA313" s="2048"/>
      <c r="AB313" s="2048"/>
      <c r="AC313" s="2048"/>
      <c r="AD313" s="2049"/>
      <c r="AE313" s="585"/>
      <c r="AF313" s="585"/>
      <c r="AG313" s="573"/>
      <c r="AH313" s="585"/>
      <c r="AI313" s="585"/>
      <c r="AJ313" s="584"/>
      <c r="AK313" s="584"/>
      <c r="AL313" s="584"/>
      <c r="AM313" s="584"/>
      <c r="AN313" s="73"/>
      <c r="AO313" s="14"/>
      <c r="AP313" s="591" t="s">
        <v>1748</v>
      </c>
    </row>
    <row r="314" spans="1:42" ht="13" hidden="1">
      <c r="A314" s="584"/>
      <c r="B314" s="585"/>
      <c r="C314" s="764"/>
      <c r="D314" s="764"/>
      <c r="E314" s="581"/>
      <c r="F314" s="690"/>
      <c r="G314" s="609"/>
      <c r="H314" s="609"/>
      <c r="I314" s="2048"/>
      <c r="J314" s="2048"/>
      <c r="K314" s="2048"/>
      <c r="L314" s="2048"/>
      <c r="M314" s="2048"/>
      <c r="N314" s="2048"/>
      <c r="O314" s="2048"/>
      <c r="P314" s="2048"/>
      <c r="Q314" s="2048"/>
      <c r="R314" s="2048"/>
      <c r="S314" s="2048"/>
      <c r="T314" s="2048"/>
      <c r="U314" s="2048"/>
      <c r="V314" s="2048"/>
      <c r="W314" s="2048"/>
      <c r="X314" s="2048"/>
      <c r="Y314" s="2048"/>
      <c r="Z314" s="2048"/>
      <c r="AA314" s="2048"/>
      <c r="AB314" s="2048"/>
      <c r="AC314" s="2048"/>
      <c r="AD314" s="2049"/>
      <c r="AE314" s="585"/>
      <c r="AF314" s="585"/>
      <c r="AG314" s="573"/>
      <c r="AH314" s="585"/>
      <c r="AI314" s="585"/>
      <c r="AJ314" s="584"/>
      <c r="AK314" s="584"/>
      <c r="AL314" s="584"/>
      <c r="AM314" s="584"/>
      <c r="AN314" s="73"/>
      <c r="AO314" s="14"/>
      <c r="AP314" s="591" t="s">
        <v>1921</v>
      </c>
    </row>
    <row r="315" spans="1:42" ht="13" hidden="1">
      <c r="A315" s="584"/>
      <c r="B315" s="585"/>
      <c r="C315" s="685"/>
      <c r="D315" s="685"/>
      <c r="E315" s="581"/>
      <c r="F315" s="690"/>
      <c r="G315" s="609"/>
      <c r="H315" s="609"/>
      <c r="I315" s="2048"/>
      <c r="J315" s="2048"/>
      <c r="K315" s="2048"/>
      <c r="L315" s="2048"/>
      <c r="M315" s="2048"/>
      <c r="N315" s="2048"/>
      <c r="O315" s="2048"/>
      <c r="P315" s="2048"/>
      <c r="Q315" s="2048"/>
      <c r="R315" s="2048"/>
      <c r="S315" s="2048"/>
      <c r="T315" s="2048"/>
      <c r="U315" s="2048"/>
      <c r="V315" s="2048"/>
      <c r="W315" s="2048"/>
      <c r="X315" s="2048"/>
      <c r="Y315" s="2048"/>
      <c r="Z315" s="2048"/>
      <c r="AA315" s="2048"/>
      <c r="AB315" s="2048"/>
      <c r="AC315" s="2048"/>
      <c r="AD315" s="2049"/>
      <c r="AE315" s="585"/>
      <c r="AF315" s="585"/>
      <c r="AG315" s="573"/>
      <c r="AH315" s="585"/>
      <c r="AI315" s="585"/>
      <c r="AJ315" s="584"/>
      <c r="AK315" s="584"/>
      <c r="AL315" s="584"/>
      <c r="AM315" s="584"/>
      <c r="AN315" s="73"/>
      <c r="AO315" s="14"/>
      <c r="AP315" s="591" t="s">
        <v>1923</v>
      </c>
    </row>
    <row r="316" spans="1:42" ht="13" hidden="1">
      <c r="A316" s="584"/>
      <c r="B316" s="585"/>
      <c r="C316" s="685"/>
      <c r="D316" s="685"/>
      <c r="E316" s="581"/>
      <c r="F316" s="688"/>
      <c r="G316" s="585"/>
      <c r="H316" s="585"/>
      <c r="I316" s="2050"/>
      <c r="J316" s="2050"/>
      <c r="K316" s="2050"/>
      <c r="L316" s="2050"/>
      <c r="M316" s="2050"/>
      <c r="N316" s="2050"/>
      <c r="O316" s="2050"/>
      <c r="P316" s="2050"/>
      <c r="Q316" s="2050"/>
      <c r="R316" s="2050"/>
      <c r="S316" s="2050"/>
      <c r="T316" s="2050"/>
      <c r="U316" s="2050"/>
      <c r="V316" s="2050"/>
      <c r="W316" s="2050"/>
      <c r="X316" s="2050"/>
      <c r="Y316" s="2050"/>
      <c r="Z316" s="2050"/>
      <c r="AA316" s="2050"/>
      <c r="AB316" s="2050"/>
      <c r="AC316" s="2050"/>
      <c r="AD316" s="2051"/>
      <c r="AE316" s="585"/>
      <c r="AF316" s="585"/>
      <c r="AG316" s="573"/>
      <c r="AH316" s="585"/>
      <c r="AI316" s="585"/>
      <c r="AJ316" s="584"/>
      <c r="AK316" s="584"/>
      <c r="AL316" s="584"/>
      <c r="AM316" s="584"/>
      <c r="AN316" s="73"/>
      <c r="AO316" s="14"/>
      <c r="AP316" s="591" t="s">
        <v>1922</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517</v>
      </c>
      <c r="H318" s="585"/>
      <c r="I318" s="2048" t="s">
        <v>1290</v>
      </c>
      <c r="J318" s="2048"/>
      <c r="K318" s="2048"/>
      <c r="L318" s="2048"/>
      <c r="M318" s="2048"/>
      <c r="N318" s="2048"/>
      <c r="O318" s="2048"/>
      <c r="P318" s="2048"/>
      <c r="Q318" s="2048"/>
      <c r="R318" s="2048"/>
      <c r="S318" s="2048"/>
      <c r="T318" s="2048"/>
      <c r="U318" s="2048"/>
      <c r="V318" s="2048"/>
      <c r="W318" s="2048"/>
      <c r="X318" s="2048"/>
      <c r="Y318" s="2048"/>
      <c r="Z318" s="2048"/>
      <c r="AA318" s="2048"/>
      <c r="AB318" s="2048"/>
      <c r="AC318" s="2048"/>
      <c r="AD318" s="2049"/>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8"/>
      <c r="J319" s="2048"/>
      <c r="K319" s="2048"/>
      <c r="L319" s="2048"/>
      <c r="M319" s="2048"/>
      <c r="N319" s="2048"/>
      <c r="O319" s="2048"/>
      <c r="P319" s="2048"/>
      <c r="Q319" s="2048"/>
      <c r="R319" s="2048"/>
      <c r="S319" s="2048"/>
      <c r="T319" s="2048"/>
      <c r="U319" s="2048"/>
      <c r="V319" s="2048"/>
      <c r="W319" s="2048"/>
      <c r="X319" s="2048"/>
      <c r="Y319" s="2048"/>
      <c r="Z319" s="2048"/>
      <c r="AA319" s="2048"/>
      <c r="AB319" s="2048"/>
      <c r="AC319" s="2048"/>
      <c r="AD319" s="2049"/>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50"/>
      <c r="J320" s="2050"/>
      <c r="K320" s="2050"/>
      <c r="L320" s="2050"/>
      <c r="M320" s="2050"/>
      <c r="N320" s="2050"/>
      <c r="O320" s="2050"/>
      <c r="P320" s="2050"/>
      <c r="Q320" s="2050"/>
      <c r="R320" s="2050"/>
      <c r="S320" s="2050"/>
      <c r="T320" s="2050"/>
      <c r="U320" s="2050"/>
      <c r="V320" s="2050"/>
      <c r="W320" s="2050"/>
      <c r="X320" s="2050"/>
      <c r="Y320" s="2050"/>
      <c r="Z320" s="2050"/>
      <c r="AA320" s="2050"/>
      <c r="AB320" s="2050"/>
      <c r="AC320" s="2050"/>
      <c r="AD320" s="2051"/>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5" t="s">
        <v>1501</v>
      </c>
      <c r="B322" s="1615"/>
      <c r="C322" s="1935" t="s">
        <v>599</v>
      </c>
      <c r="D322" s="1935"/>
      <c r="E322" s="581"/>
      <c r="F322" s="2036" t="s">
        <v>2340</v>
      </c>
      <c r="G322" s="2037"/>
      <c r="H322" s="2037"/>
      <c r="I322" s="2037"/>
      <c r="J322" s="2037"/>
      <c r="K322" s="2037"/>
      <c r="L322" s="2037"/>
      <c r="M322" s="2037"/>
      <c r="N322" s="2037"/>
      <c r="O322" s="2037"/>
      <c r="P322" s="2037"/>
      <c r="Q322" s="2037"/>
      <c r="R322" s="2037"/>
      <c r="S322" s="2037"/>
      <c r="T322" s="2037"/>
      <c r="U322" s="2037"/>
      <c r="V322" s="2037"/>
      <c r="W322" s="2037"/>
      <c r="X322" s="2037"/>
      <c r="Y322" s="2037"/>
      <c r="Z322" s="2037"/>
      <c r="AA322" s="2037"/>
      <c r="AB322" s="2037"/>
      <c r="AC322" s="2037"/>
      <c r="AD322" s="2038"/>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9"/>
      <c r="G323" s="2040"/>
      <c r="H323" s="2040"/>
      <c r="I323" s="2040"/>
      <c r="J323" s="2040"/>
      <c r="K323" s="2040"/>
      <c r="L323" s="2040"/>
      <c r="M323" s="2040"/>
      <c r="N323" s="2040"/>
      <c r="O323" s="2040"/>
      <c r="P323" s="2040"/>
      <c r="Q323" s="2040"/>
      <c r="R323" s="2040"/>
      <c r="S323" s="2040"/>
      <c r="T323" s="2040"/>
      <c r="U323" s="2040"/>
      <c r="V323" s="2040"/>
      <c r="W323" s="2040"/>
      <c r="X323" s="2040"/>
      <c r="Y323" s="2040"/>
      <c r="Z323" s="2040"/>
      <c r="AA323" s="2040"/>
      <c r="AB323" s="2040"/>
      <c r="AC323" s="2040"/>
      <c r="AD323" s="2041"/>
      <c r="AE323" s="585"/>
      <c r="AF323" s="585"/>
      <c r="AG323" s="585"/>
      <c r="AH323" s="585"/>
      <c r="AI323" s="585"/>
      <c r="AJ323" s="584"/>
      <c r="AK323" s="584"/>
      <c r="AL323" s="584"/>
      <c r="AM323" s="584"/>
      <c r="AN323" s="73"/>
      <c r="AO323" s="14"/>
    </row>
    <row r="324" spans="1:44" ht="15" hidden="1" customHeight="1">
      <c r="A324" s="584"/>
      <c r="B324" s="585"/>
      <c r="C324" s="585"/>
      <c r="D324" s="585"/>
      <c r="E324" s="585"/>
      <c r="F324" s="2039"/>
      <c r="G324" s="2040"/>
      <c r="H324" s="2040"/>
      <c r="I324" s="2040"/>
      <c r="J324" s="2040"/>
      <c r="K324" s="2040"/>
      <c r="L324" s="2040"/>
      <c r="M324" s="2040"/>
      <c r="N324" s="2040"/>
      <c r="O324" s="2040"/>
      <c r="P324" s="2040"/>
      <c r="Q324" s="2040"/>
      <c r="R324" s="2040"/>
      <c r="S324" s="2040"/>
      <c r="T324" s="2040"/>
      <c r="U324" s="2040"/>
      <c r="V324" s="2040"/>
      <c r="W324" s="2040"/>
      <c r="X324" s="2040"/>
      <c r="Y324" s="2040"/>
      <c r="Z324" s="2040"/>
      <c r="AA324" s="2040"/>
      <c r="AB324" s="2040"/>
      <c r="AC324" s="2040"/>
      <c r="AD324" s="2041"/>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20">
        <f>IF(NOT(OR(Application!M355="Yes",Application!M356="Yes")),0,AP284)</f>
        <v>10</v>
      </c>
      <c r="AL327" s="1921"/>
      <c r="AM327" s="192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6" t="s">
        <v>1423</v>
      </c>
      <c r="AF330" s="1926"/>
      <c r="AG330" s="1926"/>
      <c r="AH330" s="1926"/>
      <c r="AI330" s="1926"/>
      <c r="AJ330" s="1926"/>
      <c r="AK330" s="192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0" t="s">
        <v>1563</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637"/>
      <c r="AL332" s="637"/>
      <c r="AM332" s="637"/>
      <c r="AN332" s="631"/>
    </row>
    <row r="333" spans="1:44" s="584" customFormat="1" ht="12.75" customHeight="1">
      <c r="A333" s="637"/>
      <c r="B333" s="645"/>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637"/>
      <c r="AL333" s="637"/>
      <c r="AM333" s="637"/>
      <c r="AN333" s="631"/>
    </row>
    <row r="334" spans="1:44" s="584" customFormat="1" ht="12.75" customHeight="1">
      <c r="A334" s="637"/>
      <c r="B334" s="645"/>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637"/>
      <c r="AL334" s="637"/>
      <c r="AM334" s="637"/>
      <c r="AN334" s="631"/>
      <c r="AQ334" s="604"/>
    </row>
    <row r="335" spans="1:44" s="584" customFormat="1" ht="12.75" customHeight="1">
      <c r="A335" s="637"/>
      <c r="B335" s="645"/>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637"/>
      <c r="AL335" s="637"/>
      <c r="AM335" s="637"/>
      <c r="AN335" s="631"/>
      <c r="AQ335" s="604"/>
    </row>
    <row r="336" spans="1:44" s="584" customFormat="1" ht="12.4" customHeight="1">
      <c r="A336" s="637"/>
      <c r="B336" s="645"/>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637"/>
      <c r="AL336" s="637"/>
      <c r="AM336" s="637"/>
      <c r="AN336" s="631"/>
      <c r="AQ336" s="604"/>
      <c r="AR336" s="604"/>
    </row>
    <row r="337" spans="1:46" s="584" customFormat="1" ht="45.75" customHeight="1">
      <c r="A337" s="637"/>
      <c r="B337" s="645"/>
      <c r="C337" s="1930" t="s">
        <v>2407</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0" t="s">
        <v>2569</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637"/>
      <c r="AL339" s="637"/>
      <c r="AM339" s="637"/>
      <c r="AN339" s="631"/>
      <c r="AQ339" s="604"/>
      <c r="AR339" s="604"/>
    </row>
    <row r="340" spans="1:46" s="584" customFormat="1" ht="30" customHeight="1">
      <c r="A340" s="637"/>
      <c r="B340" s="645"/>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637"/>
      <c r="AL340" s="637"/>
      <c r="AM340" s="637"/>
      <c r="AN340" s="631"/>
      <c r="AR340" s="604"/>
    </row>
    <row r="341" spans="1:46" s="584" customFormat="1" ht="12.75" customHeight="1">
      <c r="A341" s="637"/>
      <c r="B341" s="645"/>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637"/>
      <c r="AL341" s="637"/>
      <c r="AM341" s="637"/>
      <c r="AN341" s="631"/>
      <c r="AR341" s="604"/>
    </row>
    <row r="342" spans="1:46" s="584" customFormat="1" ht="12.75" customHeight="1">
      <c r="A342" s="637"/>
      <c r="B342" s="645"/>
      <c r="C342" s="1930" t="s">
        <v>1564</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637"/>
      <c r="AL342" s="637"/>
      <c r="AM342" s="637"/>
      <c r="AN342" s="631"/>
      <c r="AQ342" s="604"/>
      <c r="AR342" s="604"/>
    </row>
    <row r="343" spans="1:46" s="584" customFormat="1" ht="12.75" customHeight="1">
      <c r="A343" s="637"/>
      <c r="B343" s="645"/>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637"/>
      <c r="AL343" s="637"/>
      <c r="AM343" s="637"/>
      <c r="AN343" s="631"/>
      <c r="AQ343" s="604"/>
      <c r="AR343" s="604"/>
    </row>
    <row r="344" spans="1:46" s="584" customFormat="1" ht="13.15" customHeight="1">
      <c r="A344" s="637"/>
      <c r="B344" s="645"/>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637"/>
      <c r="AL344" s="637"/>
      <c r="AM344" s="637"/>
      <c r="AN344" s="631"/>
      <c r="AQ344" s="604"/>
      <c r="AR344" s="604"/>
    </row>
    <row r="345" spans="1:46" s="584" customFormat="1" ht="12.75" customHeight="1">
      <c r="A345" s="637"/>
      <c r="B345" s="645"/>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637"/>
      <c r="AL345" s="637"/>
      <c r="AM345" s="637"/>
      <c r="AN345" s="631"/>
      <c r="AO345" s="728"/>
      <c r="AP345" s="728"/>
      <c r="AQ345" s="604"/>
    </row>
    <row r="346" spans="1:46" s="584" customFormat="1" ht="11.9" customHeight="1">
      <c r="A346" s="637"/>
      <c r="B346" s="645"/>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637"/>
      <c r="AL346" s="637"/>
      <c r="AM346" s="637"/>
      <c r="AN346" s="631"/>
      <c r="AO346" s="729" t="s">
        <v>112</v>
      </c>
      <c r="AP346" s="730">
        <f>IF(C370="Yes",5,0)</f>
        <v>0</v>
      </c>
      <c r="AS346" s="573" t="s">
        <v>1565</v>
      </c>
    </row>
    <row r="347" spans="1:46" s="584" customFormat="1" ht="12.75" customHeight="1">
      <c r="A347" s="637"/>
      <c r="B347" s="645"/>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637"/>
      <c r="AL347" s="637"/>
      <c r="AM347" s="637"/>
      <c r="AN347" s="631"/>
      <c r="AO347" s="729" t="s">
        <v>113</v>
      </c>
      <c r="AP347" s="730">
        <f>IF(C378="Yes",5,0)</f>
        <v>0</v>
      </c>
      <c r="AS347" s="1895">
        <f>IF(Application!D211="Non-Targeted",(SUM(AQ355+AQ364)),AS351)</f>
        <v>10</v>
      </c>
      <c r="AT347" s="1895"/>
    </row>
    <row r="348" spans="1:46" s="584" customFormat="1" ht="12.75" customHeight="1">
      <c r="A348" s="637"/>
      <c r="B348" s="645"/>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637"/>
      <c r="AL348" s="637"/>
      <c r="AM348" s="637"/>
      <c r="AN348" s="631"/>
      <c r="AO348" s="729" t="s">
        <v>119</v>
      </c>
      <c r="AP348" s="730">
        <f>IF(C386="Yes",7,0)</f>
        <v>0</v>
      </c>
      <c r="AS348" s="573" t="s">
        <v>1566</v>
      </c>
    </row>
    <row r="349" spans="1:46" s="584" customFormat="1" ht="12.75" customHeight="1">
      <c r="A349" s="637"/>
      <c r="B349" s="645"/>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637"/>
      <c r="AL349" s="637"/>
      <c r="AM349" s="637"/>
      <c r="AN349" s="631"/>
      <c r="AO349" s="631"/>
      <c r="AP349" s="730">
        <f>IF(C388="Yes",5,0)</f>
        <v>0</v>
      </c>
      <c r="AS349" s="1895">
        <f>IF(AND(AQ355&gt;0,AQ364&gt;0),(AQ355+AQ364)/2,0)</f>
        <v>0</v>
      </c>
      <c r="AT349" s="1895"/>
    </row>
    <row r="350" spans="1:46" s="584" customFormat="1" ht="12.75" customHeight="1">
      <c r="A350" s="637"/>
      <c r="B350" s="645"/>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637"/>
      <c r="AL350" s="637"/>
      <c r="AM350" s="637"/>
      <c r="AN350" s="631"/>
      <c r="AO350" s="729" t="s">
        <v>589</v>
      </c>
      <c r="AP350" s="730">
        <f>IF(C396="Yes",5,0)</f>
        <v>0</v>
      </c>
      <c r="AS350" s="573" t="s">
        <v>2068</v>
      </c>
    </row>
    <row r="351" spans="1:46" s="584" customFormat="1" ht="12.75" customHeight="1">
      <c r="A351" s="637"/>
      <c r="B351" s="645"/>
      <c r="C351" s="2024" t="s">
        <v>1567</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0</v>
      </c>
      <c r="AS351" s="1895">
        <f>IF(AQ355=0,AQ364,AQ355)</f>
        <v>10</v>
      </c>
      <c r="AT351" s="1895"/>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772</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592</v>
      </c>
      <c r="AP353" s="730">
        <f>IF(C410="Yes",5,0)</f>
        <v>0</v>
      </c>
    </row>
    <row r="354" spans="1:81" s="584" customFormat="1" ht="11.9"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4"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228</v>
      </c>
      <c r="AP355" s="734">
        <f>SUM(AP346:AP354)</f>
        <v>0</v>
      </c>
      <c r="AQ355" s="1933">
        <f>IF(AP355&gt;0,AP355,0)</f>
        <v>0</v>
      </c>
      <c r="AR355" s="1933"/>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1930" t="s">
        <v>1568</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637"/>
      <c r="AL358" s="637"/>
      <c r="AM358" s="637"/>
      <c r="AN358" s="631"/>
      <c r="AO358" s="729" t="s">
        <v>464</v>
      </c>
      <c r="AP358" s="730">
        <f>IF(C431="Yes",5,0)</f>
        <v>5</v>
      </c>
    </row>
    <row r="359" spans="1:81" s="584" customFormat="1" ht="12.75" customHeight="1">
      <c r="A359" s="637"/>
      <c r="B359" s="645"/>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637"/>
      <c r="AL359" s="637"/>
      <c r="AM359" s="637"/>
      <c r="AN359" s="631"/>
      <c r="AO359" s="729" t="s">
        <v>469</v>
      </c>
      <c r="AP359" s="730">
        <f>IF(C438="Yes",5,0)</f>
        <v>0</v>
      </c>
    </row>
    <row r="360" spans="1:81" s="584" customFormat="1" ht="68.150000000000006" customHeight="1">
      <c r="A360" s="637"/>
      <c r="B360" s="645"/>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31">
        <f>Application!CS660-U363</f>
        <v>0</v>
      </c>
      <c r="V362" s="1931"/>
      <c r="W362" s="193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32">
        <f>IF(Application!D211="SRO",Application!CS634,Application!AG756)</f>
        <v>46</v>
      </c>
      <c r="V363" s="1932"/>
      <c r="W363" s="193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33">
        <f>IF(AP364&gt;0,AP364,0)</f>
        <v>10</v>
      </c>
      <c r="AR364" s="1933"/>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4" t="s">
        <v>1570</v>
      </c>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c r="AB366" s="1924"/>
      <c r="AC366" s="1924"/>
      <c r="AD366" s="1924"/>
      <c r="AE366" s="1924"/>
      <c r="AF366" s="192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5"/>
      <c r="G367" s="1925"/>
      <c r="H367" s="1925"/>
      <c r="I367" s="1925"/>
      <c r="J367" s="1925"/>
      <c r="K367" s="1925"/>
      <c r="L367" s="1925"/>
      <c r="M367" s="1925"/>
      <c r="N367" s="1925"/>
      <c r="O367" s="1925"/>
      <c r="P367" s="1925"/>
      <c r="Q367" s="1925"/>
      <c r="R367" s="1925"/>
      <c r="S367" s="1925"/>
      <c r="T367" s="1925"/>
      <c r="U367" s="1925"/>
      <c r="V367" s="1925"/>
      <c r="W367" s="1925"/>
      <c r="X367" s="1925"/>
      <c r="Y367" s="1925"/>
      <c r="Z367" s="1925"/>
      <c r="AA367" s="1925"/>
      <c r="AB367" s="1925"/>
      <c r="AC367" s="1925"/>
      <c r="AD367" s="1925"/>
      <c r="AE367" s="1925"/>
      <c r="AF367" s="192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5"/>
      <c r="G368" s="1925"/>
      <c r="H368" s="1925"/>
      <c r="I368" s="1925"/>
      <c r="J368" s="1925"/>
      <c r="K368" s="1925"/>
      <c r="L368" s="1925"/>
      <c r="M368" s="1925"/>
      <c r="N368" s="1925"/>
      <c r="O368" s="1925"/>
      <c r="P368" s="1925"/>
      <c r="Q368" s="1925"/>
      <c r="R368" s="1925"/>
      <c r="S368" s="1925"/>
      <c r="T368" s="1925"/>
      <c r="U368" s="1925"/>
      <c r="V368" s="1925"/>
      <c r="W368" s="1925"/>
      <c r="X368" s="1925"/>
      <c r="Y368" s="1925"/>
      <c r="Z368" s="1925"/>
      <c r="AA368" s="1925"/>
      <c r="AB368" s="1925"/>
      <c r="AC368" s="1925"/>
      <c r="AD368" s="1925"/>
      <c r="AE368" s="1925"/>
      <c r="AF368" s="192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5"/>
      <c r="G369" s="1925"/>
      <c r="H369" s="1925"/>
      <c r="I369" s="1925"/>
      <c r="J369" s="1925"/>
      <c r="K369" s="1925"/>
      <c r="L369" s="1925"/>
      <c r="M369" s="1925"/>
      <c r="N369" s="1925"/>
      <c r="O369" s="1925"/>
      <c r="P369" s="1925"/>
      <c r="Q369" s="1925"/>
      <c r="R369" s="1925"/>
      <c r="S369" s="1925"/>
      <c r="T369" s="1925"/>
      <c r="U369" s="1925"/>
      <c r="V369" s="1925"/>
      <c r="W369" s="1925"/>
      <c r="X369" s="1925"/>
      <c r="Y369" s="1925"/>
      <c r="Z369" s="1925"/>
      <c r="AA369" s="1925"/>
      <c r="AB369" s="1925"/>
      <c r="AC369" s="1925"/>
      <c r="AD369" s="1925"/>
      <c r="AE369" s="1925"/>
      <c r="AF369" s="192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4" t="s">
        <v>599</v>
      </c>
      <c r="D370" s="1935"/>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3" t="s">
        <v>1572</v>
      </c>
      <c r="AG370" s="1923"/>
      <c r="AH370" s="1923"/>
      <c r="AI370" s="1923"/>
      <c r="AJ370" s="1923"/>
      <c r="AK370" s="1923"/>
      <c r="AL370" s="193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4" t="s">
        <v>1573</v>
      </c>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c r="AB373" s="1924"/>
      <c r="AC373" s="1924"/>
      <c r="AD373" s="1924"/>
      <c r="AE373" s="1924"/>
      <c r="AF373" s="192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5"/>
      <c r="G374" s="1925"/>
      <c r="H374" s="1925"/>
      <c r="I374" s="1925"/>
      <c r="J374" s="1925"/>
      <c r="K374" s="1925"/>
      <c r="L374" s="1925"/>
      <c r="M374" s="1925"/>
      <c r="N374" s="1925"/>
      <c r="O374" s="1925"/>
      <c r="P374" s="1925"/>
      <c r="Q374" s="1925"/>
      <c r="R374" s="1925"/>
      <c r="S374" s="1925"/>
      <c r="T374" s="1925"/>
      <c r="U374" s="1925"/>
      <c r="V374" s="1925"/>
      <c r="W374" s="1925"/>
      <c r="X374" s="1925"/>
      <c r="Y374" s="1925"/>
      <c r="Z374" s="1925"/>
      <c r="AA374" s="1925"/>
      <c r="AB374" s="1925"/>
      <c r="AC374" s="1925"/>
      <c r="AD374" s="1925"/>
      <c r="AE374" s="1925"/>
      <c r="AF374" s="192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5"/>
      <c r="G375" s="1925"/>
      <c r="H375" s="1925"/>
      <c r="I375" s="1925"/>
      <c r="J375" s="1925"/>
      <c r="K375" s="1925"/>
      <c r="L375" s="1925"/>
      <c r="M375" s="1925"/>
      <c r="N375" s="1925"/>
      <c r="O375" s="1925"/>
      <c r="P375" s="1925"/>
      <c r="Q375" s="1925"/>
      <c r="R375" s="1925"/>
      <c r="S375" s="1925"/>
      <c r="T375" s="1925"/>
      <c r="U375" s="1925"/>
      <c r="V375" s="1925"/>
      <c r="W375" s="1925"/>
      <c r="X375" s="1925"/>
      <c r="Y375" s="1925"/>
      <c r="Z375" s="1925"/>
      <c r="AA375" s="1925"/>
      <c r="AB375" s="1925"/>
      <c r="AC375" s="1925"/>
      <c r="AD375" s="1925"/>
      <c r="AE375" s="1925"/>
      <c r="AF375" s="192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5"/>
      <c r="G376" s="1925"/>
      <c r="H376" s="1925"/>
      <c r="I376" s="1925"/>
      <c r="J376" s="1925"/>
      <c r="K376" s="1925"/>
      <c r="L376" s="1925"/>
      <c r="M376" s="1925"/>
      <c r="N376" s="1925"/>
      <c r="O376" s="1925"/>
      <c r="P376" s="1925"/>
      <c r="Q376" s="1925"/>
      <c r="R376" s="1925"/>
      <c r="S376" s="1925"/>
      <c r="T376" s="1925"/>
      <c r="U376" s="1925"/>
      <c r="V376" s="1925"/>
      <c r="W376" s="1925"/>
      <c r="X376" s="1925"/>
      <c r="Y376" s="1925"/>
      <c r="Z376" s="1925"/>
      <c r="AA376" s="1925"/>
      <c r="AB376" s="1925"/>
      <c r="AC376" s="1925"/>
      <c r="AD376" s="1925"/>
      <c r="AE376" s="1925"/>
      <c r="AF376" s="192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5"/>
      <c r="G377" s="1925"/>
      <c r="H377" s="1925"/>
      <c r="I377" s="1925"/>
      <c r="J377" s="1925"/>
      <c r="K377" s="1925"/>
      <c r="L377" s="1925"/>
      <c r="M377" s="1925"/>
      <c r="N377" s="1925"/>
      <c r="O377" s="1925"/>
      <c r="P377" s="1925"/>
      <c r="Q377" s="1925"/>
      <c r="R377" s="1925"/>
      <c r="S377" s="1925"/>
      <c r="T377" s="1925"/>
      <c r="U377" s="1925"/>
      <c r="V377" s="1925"/>
      <c r="W377" s="1925"/>
      <c r="X377" s="1925"/>
      <c r="Y377" s="1925"/>
      <c r="Z377" s="1925"/>
      <c r="AA377" s="1925"/>
      <c r="AB377" s="1925"/>
      <c r="AC377" s="1925"/>
      <c r="AD377" s="1925"/>
      <c r="AE377" s="1925"/>
      <c r="AF377" s="1925"/>
      <c r="AL377" s="766"/>
      <c r="AN377" s="631"/>
      <c r="BS377" s="30"/>
      <c r="BT377" s="30"/>
      <c r="BU377" s="14"/>
      <c r="BV377" s="14"/>
      <c r="BW377" s="14"/>
      <c r="BX377" s="14"/>
      <c r="BY377" s="14"/>
      <c r="BZ377" s="14"/>
      <c r="CA377" s="14"/>
      <c r="CB377" s="14"/>
      <c r="CC377" s="14"/>
    </row>
    <row r="378" spans="1:81" s="584" customFormat="1" ht="12.75" customHeight="1">
      <c r="A378" s="570"/>
      <c r="B378" s="14"/>
      <c r="C378" s="1934" t="s">
        <v>599</v>
      </c>
      <c r="D378" s="1935"/>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3" t="s">
        <v>1572</v>
      </c>
      <c r="AG378" s="1923"/>
      <c r="AH378" s="1923"/>
      <c r="AI378" s="1923"/>
      <c r="AJ378" s="1923"/>
      <c r="AK378" s="1923"/>
      <c r="AL378" s="193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4" t="s">
        <v>1575</v>
      </c>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c r="AB381" s="1924"/>
      <c r="AC381" s="1924"/>
      <c r="AD381" s="1924"/>
      <c r="AE381" s="1924"/>
      <c r="AF381" s="192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5"/>
      <c r="G382" s="1925"/>
      <c r="H382" s="1925"/>
      <c r="I382" s="1925"/>
      <c r="J382" s="1925"/>
      <c r="K382" s="1925"/>
      <c r="L382" s="1925"/>
      <c r="M382" s="1925"/>
      <c r="N382" s="1925"/>
      <c r="O382" s="1925"/>
      <c r="P382" s="1925"/>
      <c r="Q382" s="1925"/>
      <c r="R382" s="1925"/>
      <c r="S382" s="1925"/>
      <c r="T382" s="1925"/>
      <c r="U382" s="1925"/>
      <c r="V382" s="1925"/>
      <c r="W382" s="1925"/>
      <c r="X382" s="1925"/>
      <c r="Y382" s="1925"/>
      <c r="Z382" s="1925"/>
      <c r="AA382" s="1925"/>
      <c r="AB382" s="1925"/>
      <c r="AC382" s="1925"/>
      <c r="AD382" s="1925"/>
      <c r="AE382" s="1925"/>
      <c r="AF382" s="192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5"/>
      <c r="G383" s="1925"/>
      <c r="H383" s="1925"/>
      <c r="I383" s="1925"/>
      <c r="J383" s="1925"/>
      <c r="K383" s="1925"/>
      <c r="L383" s="1925"/>
      <c r="M383" s="1925"/>
      <c r="N383" s="1925"/>
      <c r="O383" s="1925"/>
      <c r="P383" s="1925"/>
      <c r="Q383" s="1925"/>
      <c r="R383" s="1925"/>
      <c r="S383" s="1925"/>
      <c r="T383" s="1925"/>
      <c r="U383" s="1925"/>
      <c r="V383" s="1925"/>
      <c r="W383" s="1925"/>
      <c r="X383" s="1925"/>
      <c r="Y383" s="1925"/>
      <c r="Z383" s="1925"/>
      <c r="AA383" s="1925"/>
      <c r="AB383" s="1925"/>
      <c r="AC383" s="1925"/>
      <c r="AD383" s="1925"/>
      <c r="AE383" s="1925"/>
      <c r="AF383" s="192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5"/>
      <c r="G384" s="1925"/>
      <c r="H384" s="1925"/>
      <c r="I384" s="1925"/>
      <c r="J384" s="1925"/>
      <c r="K384" s="1925"/>
      <c r="L384" s="1925"/>
      <c r="M384" s="1925"/>
      <c r="N384" s="1925"/>
      <c r="O384" s="1925"/>
      <c r="P384" s="1925"/>
      <c r="Q384" s="1925"/>
      <c r="R384" s="1925"/>
      <c r="S384" s="1925"/>
      <c r="T384" s="1925"/>
      <c r="U384" s="1925"/>
      <c r="V384" s="1925"/>
      <c r="W384" s="1925"/>
      <c r="X384" s="1925"/>
      <c r="Y384" s="1925"/>
      <c r="Z384" s="1925"/>
      <c r="AA384" s="1925"/>
      <c r="AB384" s="1925"/>
      <c r="AC384" s="1925"/>
      <c r="AD384" s="1925"/>
      <c r="AE384" s="1925"/>
      <c r="AF384" s="192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5"/>
      <c r="G385" s="1925"/>
      <c r="H385" s="1925"/>
      <c r="I385" s="1925"/>
      <c r="J385" s="1925"/>
      <c r="K385" s="1925"/>
      <c r="L385" s="1925"/>
      <c r="M385" s="1925"/>
      <c r="N385" s="1925"/>
      <c r="O385" s="1925"/>
      <c r="P385" s="1925"/>
      <c r="Q385" s="1925"/>
      <c r="R385" s="1925"/>
      <c r="S385" s="1925"/>
      <c r="T385" s="1925"/>
      <c r="U385" s="1925"/>
      <c r="V385" s="1925"/>
      <c r="W385" s="1925"/>
      <c r="X385" s="1925"/>
      <c r="Y385" s="1925"/>
      <c r="Z385" s="1925"/>
      <c r="AA385" s="1925"/>
      <c r="AB385" s="1925"/>
      <c r="AC385" s="1925"/>
      <c r="AD385" s="1925"/>
      <c r="AE385" s="1925"/>
      <c r="AF385" s="192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4" t="s">
        <v>599</v>
      </c>
      <c r="D386" s="1935"/>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3" t="s">
        <v>1577</v>
      </c>
      <c r="AG386" s="1923"/>
      <c r="AH386" s="1923"/>
      <c r="AI386" s="1923"/>
      <c r="AJ386" s="1923"/>
      <c r="AK386" s="1923"/>
      <c r="AL386" s="193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4" t="s">
        <v>599</v>
      </c>
      <c r="D388" s="1935"/>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3" t="s">
        <v>1572</v>
      </c>
      <c r="AG388" s="1923"/>
      <c r="AH388" s="1923"/>
      <c r="AI388" s="1923"/>
      <c r="AJ388" s="1923"/>
      <c r="AK388" s="1923"/>
      <c r="AL388" s="193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4" t="s">
        <v>1581</v>
      </c>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c r="AB392" s="1924"/>
      <c r="AC392" s="1924"/>
      <c r="AD392" s="1924"/>
      <c r="AE392" s="1924"/>
      <c r="AF392" s="192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5"/>
      <c r="G393" s="1925"/>
      <c r="H393" s="1925"/>
      <c r="I393" s="1925"/>
      <c r="J393" s="1925"/>
      <c r="K393" s="1925"/>
      <c r="L393" s="1925"/>
      <c r="M393" s="1925"/>
      <c r="N393" s="1925"/>
      <c r="O393" s="1925"/>
      <c r="P393" s="1925"/>
      <c r="Q393" s="1925"/>
      <c r="R393" s="1925"/>
      <c r="S393" s="1925"/>
      <c r="T393" s="1925"/>
      <c r="U393" s="1925"/>
      <c r="V393" s="1925"/>
      <c r="W393" s="1925"/>
      <c r="X393" s="1925"/>
      <c r="Y393" s="1925"/>
      <c r="Z393" s="1925"/>
      <c r="AA393" s="1925"/>
      <c r="AB393" s="1925"/>
      <c r="AC393" s="1925"/>
      <c r="AD393" s="1925"/>
      <c r="AE393" s="1925"/>
      <c r="AF393" s="192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5"/>
      <c r="G394" s="1925"/>
      <c r="H394" s="1925"/>
      <c r="I394" s="1925"/>
      <c r="J394" s="1925"/>
      <c r="K394" s="1925"/>
      <c r="L394" s="1925"/>
      <c r="M394" s="1925"/>
      <c r="N394" s="1925"/>
      <c r="O394" s="1925"/>
      <c r="P394" s="1925"/>
      <c r="Q394" s="1925"/>
      <c r="R394" s="1925"/>
      <c r="S394" s="1925"/>
      <c r="T394" s="1925"/>
      <c r="U394" s="1925"/>
      <c r="V394" s="1925"/>
      <c r="W394" s="1925"/>
      <c r="X394" s="1925"/>
      <c r="Y394" s="1925"/>
      <c r="Z394" s="1925"/>
      <c r="AA394" s="1925"/>
      <c r="AB394" s="1925"/>
      <c r="AC394" s="1925"/>
      <c r="AD394" s="1925"/>
      <c r="AE394" s="1925"/>
      <c r="AF394" s="192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5"/>
      <c r="G395" s="1925"/>
      <c r="H395" s="1925"/>
      <c r="I395" s="1925"/>
      <c r="J395" s="1925"/>
      <c r="K395" s="1925"/>
      <c r="L395" s="1925"/>
      <c r="M395" s="1925"/>
      <c r="N395" s="1925"/>
      <c r="O395" s="1925"/>
      <c r="P395" s="1925"/>
      <c r="Q395" s="1925"/>
      <c r="R395" s="1925"/>
      <c r="S395" s="1925"/>
      <c r="T395" s="1925"/>
      <c r="U395" s="1925"/>
      <c r="V395" s="1925"/>
      <c r="W395" s="1925"/>
      <c r="X395" s="1925"/>
      <c r="Y395" s="1925"/>
      <c r="Z395" s="1925"/>
      <c r="AA395" s="1925"/>
      <c r="AB395" s="1925"/>
      <c r="AC395" s="1925"/>
      <c r="AD395" s="1925"/>
      <c r="AE395" s="1925"/>
      <c r="AF395" s="192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4" t="s">
        <v>599</v>
      </c>
      <c r="D396" s="1935"/>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3" t="s">
        <v>1572</v>
      </c>
      <c r="AG396" s="1923"/>
      <c r="AH396" s="1923"/>
      <c r="AI396" s="1923"/>
      <c r="AJ396" s="1923"/>
      <c r="AK396" s="1923"/>
      <c r="AL396" s="193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4" t="s">
        <v>599</v>
      </c>
      <c r="D398" s="1935"/>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3" t="s">
        <v>1584</v>
      </c>
      <c r="AG398" s="1923"/>
      <c r="AH398" s="1923"/>
      <c r="AI398" s="1923"/>
      <c r="AJ398" s="1923"/>
      <c r="AK398" s="1923"/>
      <c r="AL398" s="193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4" t="s">
        <v>599</v>
      </c>
      <c r="D401" s="1935"/>
      <c r="E401" s="749" t="s">
        <v>1585</v>
      </c>
      <c r="F401" s="1924" t="s">
        <v>1586</v>
      </c>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c r="AB401" s="1924"/>
      <c r="AC401" s="1924"/>
      <c r="AD401" s="1924"/>
      <c r="AE401" s="192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5"/>
      <c r="G402" s="1925"/>
      <c r="H402" s="1925"/>
      <c r="I402" s="1925"/>
      <c r="J402" s="1925"/>
      <c r="K402" s="1925"/>
      <c r="L402" s="1925"/>
      <c r="M402" s="1925"/>
      <c r="N402" s="1925"/>
      <c r="O402" s="1925"/>
      <c r="P402" s="1925"/>
      <c r="Q402" s="1925"/>
      <c r="R402" s="1925"/>
      <c r="S402" s="1925"/>
      <c r="T402" s="1925"/>
      <c r="U402" s="1925"/>
      <c r="V402" s="1925"/>
      <c r="W402" s="1925"/>
      <c r="X402" s="1925"/>
      <c r="Y402" s="1925"/>
      <c r="Z402" s="1925"/>
      <c r="AA402" s="1925"/>
      <c r="AB402" s="1925"/>
      <c r="AC402" s="1925"/>
      <c r="AD402" s="1925"/>
      <c r="AE402" s="1925"/>
      <c r="AF402" s="1993" t="s">
        <v>1572</v>
      </c>
      <c r="AG402" s="1993"/>
      <c r="AH402" s="1993"/>
      <c r="AI402" s="1993"/>
      <c r="AJ402" s="1993"/>
      <c r="AK402" s="1993"/>
      <c r="AL402" s="2023"/>
      <c r="AM402" s="604"/>
      <c r="AN402" s="631"/>
      <c r="BS402" s="604"/>
      <c r="BT402" s="604"/>
      <c r="BY402" s="604"/>
      <c r="BZ402" s="604"/>
      <c r="CA402" s="604"/>
      <c r="CB402" s="604"/>
      <c r="CC402" s="604"/>
    </row>
    <row r="403" spans="1:81" s="584" customFormat="1" ht="12.75" customHeight="1">
      <c r="A403" s="570"/>
      <c r="B403" s="14"/>
      <c r="C403" s="765"/>
      <c r="D403" s="14"/>
      <c r="E403" s="725"/>
      <c r="F403" s="1925"/>
      <c r="G403" s="1925"/>
      <c r="H403" s="1925"/>
      <c r="I403" s="1925"/>
      <c r="J403" s="1925"/>
      <c r="K403" s="1925"/>
      <c r="L403" s="1925"/>
      <c r="M403" s="1925"/>
      <c r="N403" s="1925"/>
      <c r="O403" s="1925"/>
      <c r="P403" s="1925"/>
      <c r="Q403" s="1925"/>
      <c r="R403" s="1925"/>
      <c r="S403" s="1925"/>
      <c r="T403" s="1925"/>
      <c r="U403" s="1925"/>
      <c r="V403" s="1925"/>
      <c r="W403" s="1925"/>
      <c r="X403" s="1925"/>
      <c r="Y403" s="1925"/>
      <c r="Z403" s="1925"/>
      <c r="AA403" s="1925"/>
      <c r="AB403" s="1925"/>
      <c r="AC403" s="1925"/>
      <c r="AD403" s="1925"/>
      <c r="AE403" s="192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7"/>
      <c r="G404" s="2007"/>
      <c r="H404" s="2007"/>
      <c r="I404" s="2007"/>
      <c r="J404" s="2007"/>
      <c r="K404" s="2007"/>
      <c r="L404" s="2007"/>
      <c r="M404" s="2007"/>
      <c r="N404" s="2007"/>
      <c r="O404" s="2007"/>
      <c r="P404" s="2007"/>
      <c r="Q404" s="2007"/>
      <c r="R404" s="2007"/>
      <c r="S404" s="2007"/>
      <c r="T404" s="2007"/>
      <c r="U404" s="2007"/>
      <c r="V404" s="2007"/>
      <c r="W404" s="2007"/>
      <c r="X404" s="2007"/>
      <c r="Y404" s="2007"/>
      <c r="Z404" s="2007"/>
      <c r="AA404" s="2007"/>
      <c r="AB404" s="2007"/>
      <c r="AC404" s="2007"/>
      <c r="AD404" s="2007"/>
      <c r="AE404" s="200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4" t="s">
        <v>1588</v>
      </c>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c r="AB406" s="1924"/>
      <c r="AC406" s="1924"/>
      <c r="AD406" s="1924"/>
      <c r="AE406" s="1924"/>
      <c r="AF406" s="781"/>
      <c r="AG406" s="781"/>
      <c r="AH406" s="781"/>
      <c r="AI406" s="781"/>
      <c r="AJ406" s="781"/>
      <c r="AK406" s="781"/>
      <c r="AL406" s="782"/>
      <c r="AM406" s="604"/>
    </row>
    <row r="407" spans="1:81" ht="13">
      <c r="A407" s="570"/>
      <c r="C407" s="765"/>
      <c r="E407" s="725"/>
      <c r="F407" s="1925"/>
      <c r="G407" s="1925"/>
      <c r="H407" s="1925"/>
      <c r="I407" s="1925"/>
      <c r="J407" s="1925"/>
      <c r="K407" s="1925"/>
      <c r="L407" s="1925"/>
      <c r="M407" s="1925"/>
      <c r="N407" s="1925"/>
      <c r="O407" s="1925"/>
      <c r="P407" s="1925"/>
      <c r="Q407" s="1925"/>
      <c r="R407" s="1925"/>
      <c r="S407" s="1925"/>
      <c r="T407" s="1925"/>
      <c r="U407" s="1925"/>
      <c r="V407" s="1925"/>
      <c r="W407" s="1925"/>
      <c r="X407" s="1925"/>
      <c r="Y407" s="1925"/>
      <c r="Z407" s="1925"/>
      <c r="AA407" s="1925"/>
      <c r="AB407" s="1925"/>
      <c r="AC407" s="1925"/>
      <c r="AD407" s="1925"/>
      <c r="AE407" s="1925"/>
      <c r="AF407" s="573"/>
      <c r="AG407" s="570"/>
      <c r="AH407" s="584"/>
      <c r="AI407" s="584"/>
      <c r="AJ407" s="584"/>
      <c r="AK407" s="584"/>
      <c r="AL407" s="766"/>
      <c r="AM407" s="604"/>
    </row>
    <row r="408" spans="1:81" s="584" customFormat="1" ht="12.75" customHeight="1">
      <c r="A408" s="570"/>
      <c r="B408" s="14"/>
      <c r="C408" s="765"/>
      <c r="D408" s="14"/>
      <c r="E408" s="725"/>
      <c r="F408" s="1925"/>
      <c r="G408" s="1925"/>
      <c r="H408" s="1925"/>
      <c r="I408" s="1925"/>
      <c r="J408" s="1925"/>
      <c r="K408" s="1925"/>
      <c r="L408" s="1925"/>
      <c r="M408" s="1925"/>
      <c r="N408" s="1925"/>
      <c r="O408" s="1925"/>
      <c r="P408" s="1925"/>
      <c r="Q408" s="1925"/>
      <c r="R408" s="1925"/>
      <c r="S408" s="1925"/>
      <c r="T408" s="1925"/>
      <c r="U408" s="1925"/>
      <c r="V408" s="1925"/>
      <c r="W408" s="1925"/>
      <c r="X408" s="1925"/>
      <c r="Y408" s="1925"/>
      <c r="Z408" s="1925"/>
      <c r="AA408" s="1925"/>
      <c r="AB408" s="1925"/>
      <c r="AC408" s="1925"/>
      <c r="AD408" s="1925"/>
      <c r="AE408" s="1925"/>
      <c r="AL408" s="766"/>
      <c r="AM408" s="604"/>
      <c r="AN408" s="631"/>
    </row>
    <row r="409" spans="1:81" s="584" customFormat="1" ht="12.75" customHeight="1">
      <c r="A409" s="570"/>
      <c r="B409" s="14"/>
      <c r="C409" s="773"/>
      <c r="F409" s="1925"/>
      <c r="G409" s="1925"/>
      <c r="H409" s="1925"/>
      <c r="I409" s="1925"/>
      <c r="J409" s="1925"/>
      <c r="K409" s="1925"/>
      <c r="L409" s="1925"/>
      <c r="M409" s="1925"/>
      <c r="N409" s="1925"/>
      <c r="O409" s="1925"/>
      <c r="P409" s="1925"/>
      <c r="Q409" s="1925"/>
      <c r="R409" s="1925"/>
      <c r="S409" s="1925"/>
      <c r="T409" s="1925"/>
      <c r="U409" s="1925"/>
      <c r="V409" s="1925"/>
      <c r="W409" s="1925"/>
      <c r="X409" s="1925"/>
      <c r="Y409" s="1925"/>
      <c r="Z409" s="1925"/>
      <c r="AA409" s="1925"/>
      <c r="AB409" s="1925"/>
      <c r="AC409" s="1925"/>
      <c r="AD409" s="1925"/>
      <c r="AE409" s="1925"/>
      <c r="AL409" s="766"/>
      <c r="AM409" s="604"/>
      <c r="AN409" s="631"/>
    </row>
    <row r="410" spans="1:81" s="584" customFormat="1" ht="12.75" customHeight="1">
      <c r="A410" s="570"/>
      <c r="B410" s="14"/>
      <c r="C410" s="1934" t="s">
        <v>599</v>
      </c>
      <c r="D410" s="1935"/>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3" t="s">
        <v>1572</v>
      </c>
      <c r="AG410" s="1993"/>
      <c r="AH410" s="1993"/>
      <c r="AI410" s="1993"/>
      <c r="AJ410" s="1993"/>
      <c r="AK410" s="1993"/>
      <c r="AL410" s="2023"/>
      <c r="AM410" s="604"/>
      <c r="AN410" s="631"/>
    </row>
    <row r="411" spans="1:81" s="584" customFormat="1" ht="12.75" customHeight="1">
      <c r="A411" s="570"/>
      <c r="B411" s="14"/>
      <c r="C411" s="773"/>
      <c r="AL411" s="766"/>
      <c r="AM411" s="604"/>
      <c r="AN411" s="631"/>
    </row>
    <row r="412" spans="1:81" s="584" customFormat="1" ht="12.75" customHeight="1">
      <c r="A412" s="570"/>
      <c r="B412" s="14"/>
      <c r="C412" s="1934" t="s">
        <v>599</v>
      </c>
      <c r="D412" s="1935"/>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3" t="s">
        <v>1584</v>
      </c>
      <c r="AG412" s="1993"/>
      <c r="AH412" s="1993"/>
      <c r="AI412" s="1993"/>
      <c r="AJ412" s="1993"/>
      <c r="AK412" s="1993"/>
      <c r="AL412" s="202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4" t="s">
        <v>1592</v>
      </c>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c r="AB416" s="1924"/>
      <c r="AC416" s="1924"/>
      <c r="AD416" s="1924"/>
      <c r="AE416" s="1924"/>
      <c r="AF416" s="748"/>
      <c r="AG416" s="748"/>
      <c r="AH416" s="748"/>
      <c r="AI416" s="748"/>
      <c r="AJ416" s="748"/>
      <c r="AK416" s="748"/>
      <c r="AL416" s="779"/>
      <c r="AM416" s="604"/>
      <c r="AN416" s="631"/>
    </row>
    <row r="417" spans="1:60" s="584" customFormat="1" ht="12.75" customHeight="1">
      <c r="A417" s="570"/>
      <c r="B417" s="14"/>
      <c r="C417" s="765"/>
      <c r="D417" s="14"/>
      <c r="E417" s="725"/>
      <c r="F417" s="1925"/>
      <c r="G417" s="1925"/>
      <c r="H417" s="1925"/>
      <c r="I417" s="1925"/>
      <c r="J417" s="1925"/>
      <c r="K417" s="1925"/>
      <c r="L417" s="1925"/>
      <c r="M417" s="1925"/>
      <c r="N417" s="1925"/>
      <c r="O417" s="1925"/>
      <c r="P417" s="1925"/>
      <c r="Q417" s="1925"/>
      <c r="R417" s="1925"/>
      <c r="S417" s="1925"/>
      <c r="T417" s="1925"/>
      <c r="U417" s="1925"/>
      <c r="V417" s="1925"/>
      <c r="W417" s="1925"/>
      <c r="X417" s="1925"/>
      <c r="Y417" s="1925"/>
      <c r="Z417" s="1925"/>
      <c r="AA417" s="1925"/>
      <c r="AB417" s="1925"/>
      <c r="AC417" s="1925"/>
      <c r="AD417" s="1925"/>
      <c r="AE417" s="1925"/>
      <c r="AF417" s="573"/>
      <c r="AG417" s="570"/>
      <c r="AL417" s="766"/>
      <c r="AM417" s="604"/>
      <c r="AN417" s="631"/>
    </row>
    <row r="418" spans="1:60" s="584" customFormat="1" ht="12.4" customHeight="1">
      <c r="A418" s="570"/>
      <c r="B418" s="14"/>
      <c r="C418" s="765"/>
      <c r="D418" s="14"/>
      <c r="E418" s="725"/>
      <c r="F418" s="1925"/>
      <c r="G418" s="1925"/>
      <c r="H418" s="1925"/>
      <c r="I418" s="1925"/>
      <c r="J418" s="1925"/>
      <c r="K418" s="1925"/>
      <c r="L418" s="1925"/>
      <c r="M418" s="1925"/>
      <c r="N418" s="1925"/>
      <c r="O418" s="1925"/>
      <c r="P418" s="1925"/>
      <c r="Q418" s="1925"/>
      <c r="R418" s="1925"/>
      <c r="S418" s="1925"/>
      <c r="T418" s="1925"/>
      <c r="U418" s="1925"/>
      <c r="V418" s="1925"/>
      <c r="W418" s="1925"/>
      <c r="X418" s="1925"/>
      <c r="Y418" s="1925"/>
      <c r="Z418" s="1925"/>
      <c r="AA418" s="1925"/>
      <c r="AB418" s="1925"/>
      <c r="AC418" s="1925"/>
      <c r="AD418" s="1925"/>
      <c r="AE418" s="1925"/>
      <c r="AL418" s="766"/>
      <c r="AM418" s="604"/>
      <c r="AN418" s="631"/>
    </row>
    <row r="419" spans="1:60" s="584" customFormat="1" ht="12.75" customHeight="1">
      <c r="A419" s="570"/>
      <c r="B419" s="14"/>
      <c r="C419" s="1934" t="s">
        <v>553</v>
      </c>
      <c r="D419" s="1935"/>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3" t="s">
        <v>1572</v>
      </c>
      <c r="AG419" s="1993"/>
      <c r="AH419" s="1993"/>
      <c r="AI419" s="1993"/>
      <c r="AJ419" s="1993"/>
      <c r="AK419" s="1993"/>
      <c r="AL419" s="202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24" t="s">
        <v>1595</v>
      </c>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c r="AB422" s="1924"/>
      <c r="AC422" s="1924"/>
      <c r="AD422" s="1924"/>
      <c r="AE422" s="1924"/>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5"/>
      <c r="G423" s="1925"/>
      <c r="H423" s="1925"/>
      <c r="I423" s="1925"/>
      <c r="J423" s="1925"/>
      <c r="K423" s="1925"/>
      <c r="L423" s="1925"/>
      <c r="M423" s="1925"/>
      <c r="N423" s="1925"/>
      <c r="O423" s="1925"/>
      <c r="P423" s="1925"/>
      <c r="Q423" s="1925"/>
      <c r="R423" s="1925"/>
      <c r="S423" s="1925"/>
      <c r="T423" s="1925"/>
      <c r="U423" s="1925"/>
      <c r="V423" s="1925"/>
      <c r="W423" s="1925"/>
      <c r="X423" s="1925"/>
      <c r="Y423" s="1925"/>
      <c r="Z423" s="1925"/>
      <c r="AA423" s="1925"/>
      <c r="AB423" s="1925"/>
      <c r="AC423" s="1925"/>
      <c r="AD423" s="1925"/>
      <c r="AE423" s="1925"/>
      <c r="AF423" s="628"/>
      <c r="AG423" s="628"/>
      <c r="AH423" s="628"/>
      <c r="AI423" s="628"/>
      <c r="AJ423" s="628"/>
      <c r="AK423" s="628"/>
      <c r="AL423" s="784"/>
      <c r="AM423" s="604"/>
      <c r="AO423" s="584"/>
      <c r="AP423" s="584"/>
    </row>
    <row r="424" spans="1:60" s="584" customFormat="1" ht="12.75" customHeight="1">
      <c r="A424" s="570"/>
      <c r="B424" s="14"/>
      <c r="C424" s="765"/>
      <c r="D424" s="14"/>
      <c r="E424" s="725"/>
      <c r="F424" s="1925"/>
      <c r="G424" s="1925"/>
      <c r="H424" s="1925"/>
      <c r="I424" s="1925"/>
      <c r="J424" s="1925"/>
      <c r="K424" s="1925"/>
      <c r="L424" s="1925"/>
      <c r="M424" s="1925"/>
      <c r="N424" s="1925"/>
      <c r="O424" s="1925"/>
      <c r="P424" s="1925"/>
      <c r="Q424" s="1925"/>
      <c r="R424" s="1925"/>
      <c r="S424" s="1925"/>
      <c r="T424" s="1925"/>
      <c r="U424" s="1925"/>
      <c r="V424" s="1925"/>
      <c r="W424" s="1925"/>
      <c r="X424" s="1925"/>
      <c r="Y424" s="1925"/>
      <c r="Z424" s="1925"/>
      <c r="AA424" s="1925"/>
      <c r="AB424" s="1925"/>
      <c r="AC424" s="1925"/>
      <c r="AD424" s="1925"/>
      <c r="AE424" s="1925"/>
      <c r="AF424" s="628"/>
      <c r="AG424" s="628"/>
      <c r="AH424" s="628"/>
      <c r="AI424" s="628"/>
      <c r="AJ424" s="628"/>
      <c r="AK424" s="628"/>
      <c r="AL424" s="784"/>
      <c r="AM424" s="604"/>
      <c r="AN424" s="631"/>
    </row>
    <row r="425" spans="1:60" s="584" customFormat="1" ht="12.75" customHeight="1">
      <c r="A425" s="570"/>
      <c r="B425" s="14"/>
      <c r="C425" s="785"/>
      <c r="D425" s="764"/>
      <c r="E425" s="753"/>
      <c r="F425" s="1925"/>
      <c r="G425" s="1925"/>
      <c r="H425" s="1925"/>
      <c r="I425" s="1925"/>
      <c r="J425" s="1925"/>
      <c r="K425" s="1925"/>
      <c r="L425" s="1925"/>
      <c r="M425" s="1925"/>
      <c r="N425" s="1925"/>
      <c r="O425" s="1925"/>
      <c r="P425" s="1925"/>
      <c r="Q425" s="1925"/>
      <c r="R425" s="1925"/>
      <c r="S425" s="1925"/>
      <c r="T425" s="1925"/>
      <c r="U425" s="1925"/>
      <c r="V425" s="1925"/>
      <c r="W425" s="1925"/>
      <c r="X425" s="1925"/>
      <c r="Y425" s="1925"/>
      <c r="Z425" s="1925"/>
      <c r="AA425" s="1925"/>
      <c r="AB425" s="1925"/>
      <c r="AC425" s="1925"/>
      <c r="AD425" s="1925"/>
      <c r="AE425" s="192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5"/>
      <c r="G426" s="1925"/>
      <c r="H426" s="1925"/>
      <c r="I426" s="1925"/>
      <c r="J426" s="1925"/>
      <c r="K426" s="1925"/>
      <c r="L426" s="1925"/>
      <c r="M426" s="1925"/>
      <c r="N426" s="1925"/>
      <c r="O426" s="1925"/>
      <c r="P426" s="1925"/>
      <c r="Q426" s="1925"/>
      <c r="R426" s="1925"/>
      <c r="S426" s="1925"/>
      <c r="T426" s="1925"/>
      <c r="U426" s="1925"/>
      <c r="V426" s="1925"/>
      <c r="W426" s="1925"/>
      <c r="X426" s="1925"/>
      <c r="Y426" s="1925"/>
      <c r="Z426" s="1925"/>
      <c r="AA426" s="1925"/>
      <c r="AB426" s="1925"/>
      <c r="AC426" s="1925"/>
      <c r="AD426" s="1925"/>
      <c r="AE426" s="1925"/>
      <c r="AF426" s="628"/>
      <c r="AG426" s="628"/>
      <c r="AH426" s="628"/>
      <c r="AI426" s="628"/>
      <c r="AJ426" s="628"/>
      <c r="AK426" s="628"/>
      <c r="AL426" s="784"/>
      <c r="AM426" s="604"/>
      <c r="AN426" s="631"/>
    </row>
    <row r="427" spans="1:60" s="584" customFormat="1" ht="12.75" customHeight="1">
      <c r="A427" s="570"/>
      <c r="B427" s="14"/>
      <c r="C427" s="785"/>
      <c r="D427" s="764"/>
      <c r="E427" s="753"/>
      <c r="F427" s="1925"/>
      <c r="G427" s="1925"/>
      <c r="H427" s="1925"/>
      <c r="I427" s="1925"/>
      <c r="J427" s="1925"/>
      <c r="K427" s="1925"/>
      <c r="L427" s="1925"/>
      <c r="M427" s="1925"/>
      <c r="N427" s="1925"/>
      <c r="O427" s="1925"/>
      <c r="P427" s="1925"/>
      <c r="Q427" s="1925"/>
      <c r="R427" s="1925"/>
      <c r="S427" s="1925"/>
      <c r="T427" s="1925"/>
      <c r="U427" s="1925"/>
      <c r="V427" s="1925"/>
      <c r="W427" s="1925"/>
      <c r="X427" s="1925"/>
      <c r="Y427" s="1925"/>
      <c r="Z427" s="1925"/>
      <c r="AA427" s="1925"/>
      <c r="AB427" s="1925"/>
      <c r="AC427" s="1925"/>
      <c r="AD427" s="1925"/>
      <c r="AE427" s="1925"/>
      <c r="AF427" s="628"/>
      <c r="AG427" s="628"/>
      <c r="AH427" s="628"/>
      <c r="AI427" s="628"/>
      <c r="AJ427" s="628"/>
      <c r="AK427" s="628"/>
      <c r="AL427" s="784"/>
      <c r="AM427" s="604"/>
      <c r="AN427" s="631"/>
    </row>
    <row r="428" spans="1:60" s="584" customFormat="1" ht="12.75" customHeight="1">
      <c r="A428" s="570"/>
      <c r="B428" s="14"/>
      <c r="C428" s="785"/>
      <c r="D428" s="764"/>
      <c r="E428" s="753"/>
      <c r="F428" s="1925"/>
      <c r="G428" s="1925"/>
      <c r="H428" s="1925"/>
      <c r="I428" s="1925"/>
      <c r="J428" s="1925"/>
      <c r="K428" s="1925"/>
      <c r="L428" s="1925"/>
      <c r="M428" s="1925"/>
      <c r="N428" s="1925"/>
      <c r="O428" s="1925"/>
      <c r="P428" s="1925"/>
      <c r="Q428" s="1925"/>
      <c r="R428" s="1925"/>
      <c r="S428" s="1925"/>
      <c r="T428" s="1925"/>
      <c r="U428" s="1925"/>
      <c r="V428" s="1925"/>
      <c r="W428" s="1925"/>
      <c r="X428" s="1925"/>
      <c r="Y428" s="1925"/>
      <c r="Z428" s="1925"/>
      <c r="AA428" s="1925"/>
      <c r="AB428" s="1925"/>
      <c r="AC428" s="1925"/>
      <c r="AD428" s="1925"/>
      <c r="AE428" s="1925"/>
      <c r="AF428" s="628"/>
      <c r="AG428" s="628"/>
      <c r="AH428" s="628"/>
      <c r="AI428" s="628"/>
      <c r="AJ428" s="628"/>
      <c r="AK428" s="628"/>
      <c r="AL428" s="784"/>
      <c r="AM428" s="604"/>
      <c r="AN428" s="631"/>
    </row>
    <row r="429" spans="1:60" s="584" customFormat="1" ht="12.75" customHeight="1">
      <c r="A429" s="570"/>
      <c r="B429" s="14"/>
      <c r="C429" s="785"/>
      <c r="D429" s="764"/>
      <c r="E429" s="753"/>
      <c r="F429" s="1925"/>
      <c r="G429" s="1925"/>
      <c r="H429" s="1925"/>
      <c r="I429" s="1925"/>
      <c r="J429" s="1925"/>
      <c r="K429" s="1925"/>
      <c r="L429" s="1925"/>
      <c r="M429" s="1925"/>
      <c r="N429" s="1925"/>
      <c r="O429" s="1925"/>
      <c r="P429" s="1925"/>
      <c r="Q429" s="1925"/>
      <c r="R429" s="1925"/>
      <c r="S429" s="1925"/>
      <c r="T429" s="1925"/>
      <c r="U429" s="1925"/>
      <c r="V429" s="1925"/>
      <c r="W429" s="1925"/>
      <c r="X429" s="1925"/>
      <c r="Y429" s="1925"/>
      <c r="Z429" s="1925"/>
      <c r="AA429" s="1925"/>
      <c r="AB429" s="1925"/>
      <c r="AC429" s="1925"/>
      <c r="AD429" s="1925"/>
      <c r="AE429" s="1925"/>
      <c r="AF429" s="628"/>
      <c r="AG429" s="628"/>
      <c r="AH429" s="628"/>
      <c r="AI429" s="628"/>
      <c r="AJ429" s="628"/>
      <c r="AK429" s="628"/>
      <c r="AL429" s="784"/>
      <c r="AM429" s="604"/>
      <c r="AN429" s="631"/>
    </row>
    <row r="430" spans="1:60" s="584" customFormat="1" ht="17.25" customHeight="1">
      <c r="A430" s="570"/>
      <c r="B430" s="14"/>
      <c r="C430" s="785"/>
      <c r="D430" s="764"/>
      <c r="E430" s="753"/>
      <c r="F430" s="1925"/>
      <c r="G430" s="1925"/>
      <c r="H430" s="1925"/>
      <c r="I430" s="1925"/>
      <c r="J430" s="1925"/>
      <c r="K430" s="1925"/>
      <c r="L430" s="1925"/>
      <c r="M430" s="1925"/>
      <c r="N430" s="1925"/>
      <c r="O430" s="1925"/>
      <c r="P430" s="1925"/>
      <c r="Q430" s="1925"/>
      <c r="R430" s="1925"/>
      <c r="S430" s="1925"/>
      <c r="T430" s="1925"/>
      <c r="U430" s="1925"/>
      <c r="V430" s="1925"/>
      <c r="W430" s="1925"/>
      <c r="X430" s="1925"/>
      <c r="Y430" s="1925"/>
      <c r="Z430" s="1925"/>
      <c r="AA430" s="1925"/>
      <c r="AB430" s="1925"/>
      <c r="AC430" s="1925"/>
      <c r="AD430" s="1925"/>
      <c r="AE430" s="1925"/>
      <c r="AL430" s="766"/>
      <c r="AM430" s="604"/>
      <c r="AN430" s="631"/>
    </row>
    <row r="431" spans="1:60" s="584" customFormat="1" ht="12.75" customHeight="1">
      <c r="A431" s="570"/>
      <c r="B431" s="14"/>
      <c r="C431" s="1934" t="s">
        <v>553</v>
      </c>
      <c r="D431" s="1935"/>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3" t="s">
        <v>1572</v>
      </c>
      <c r="AG431" s="1993"/>
      <c r="AH431" s="1993"/>
      <c r="AI431" s="1993"/>
      <c r="AJ431" s="1993"/>
      <c r="AK431" s="1993"/>
      <c r="AL431" s="202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4" t="s">
        <v>1598</v>
      </c>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c r="AB434" s="1924"/>
      <c r="AC434" s="1924"/>
      <c r="AD434" s="1924"/>
      <c r="AE434" s="1924"/>
      <c r="AF434" s="748"/>
      <c r="AG434" s="748"/>
      <c r="AH434" s="748"/>
      <c r="AI434" s="748"/>
      <c r="AJ434" s="748"/>
      <c r="AK434" s="748"/>
      <c r="AL434" s="779"/>
      <c r="AM434" s="604"/>
      <c r="AN434" s="631"/>
    </row>
    <row r="435" spans="1:40" s="584" customFormat="1" ht="12.75" customHeight="1">
      <c r="A435" s="570"/>
      <c r="B435" s="14"/>
      <c r="C435" s="785"/>
      <c r="D435" s="764"/>
      <c r="E435" s="753"/>
      <c r="F435" s="1925"/>
      <c r="G435" s="1925"/>
      <c r="H435" s="1925"/>
      <c r="I435" s="1925"/>
      <c r="J435" s="1925"/>
      <c r="K435" s="1925"/>
      <c r="L435" s="1925"/>
      <c r="M435" s="1925"/>
      <c r="N435" s="1925"/>
      <c r="O435" s="1925"/>
      <c r="P435" s="1925"/>
      <c r="Q435" s="1925"/>
      <c r="R435" s="1925"/>
      <c r="S435" s="1925"/>
      <c r="T435" s="1925"/>
      <c r="U435" s="1925"/>
      <c r="V435" s="1925"/>
      <c r="W435" s="1925"/>
      <c r="X435" s="1925"/>
      <c r="Y435" s="1925"/>
      <c r="Z435" s="1925"/>
      <c r="AA435" s="1925"/>
      <c r="AB435" s="1925"/>
      <c r="AC435" s="1925"/>
      <c r="AD435" s="1925"/>
      <c r="AE435" s="1925"/>
      <c r="AF435" s="625"/>
      <c r="AG435" s="625"/>
      <c r="AH435" s="625"/>
      <c r="AI435" s="625"/>
      <c r="AJ435" s="625"/>
      <c r="AK435" s="625"/>
      <c r="AL435" s="754"/>
      <c r="AM435" s="604"/>
      <c r="AN435" s="631"/>
    </row>
    <row r="436" spans="1:40" s="584" customFormat="1" ht="12.75" customHeight="1">
      <c r="A436" s="570"/>
      <c r="B436" s="14"/>
      <c r="C436" s="785"/>
      <c r="D436" s="764"/>
      <c r="E436" s="753"/>
      <c r="F436" s="1925"/>
      <c r="G436" s="1925"/>
      <c r="H436" s="1925"/>
      <c r="I436" s="1925"/>
      <c r="J436" s="1925"/>
      <c r="K436" s="1925"/>
      <c r="L436" s="1925"/>
      <c r="M436" s="1925"/>
      <c r="N436" s="1925"/>
      <c r="O436" s="1925"/>
      <c r="P436" s="1925"/>
      <c r="Q436" s="1925"/>
      <c r="R436" s="1925"/>
      <c r="S436" s="1925"/>
      <c r="T436" s="1925"/>
      <c r="U436" s="1925"/>
      <c r="V436" s="1925"/>
      <c r="W436" s="1925"/>
      <c r="X436" s="1925"/>
      <c r="Y436" s="1925"/>
      <c r="Z436" s="1925"/>
      <c r="AA436" s="1925"/>
      <c r="AB436" s="1925"/>
      <c r="AC436" s="1925"/>
      <c r="AD436" s="1925"/>
      <c r="AE436" s="1925"/>
      <c r="AF436" s="625"/>
      <c r="AG436" s="625"/>
      <c r="AH436" s="625"/>
      <c r="AI436" s="625"/>
      <c r="AJ436" s="625"/>
      <c r="AK436" s="625"/>
      <c r="AL436" s="754"/>
      <c r="AM436" s="604"/>
      <c r="AN436" s="631"/>
    </row>
    <row r="437" spans="1:40" s="584" customFormat="1" ht="12.75" customHeight="1">
      <c r="A437" s="570"/>
      <c r="B437" s="14"/>
      <c r="C437" s="785"/>
      <c r="D437" s="764"/>
      <c r="E437" s="753"/>
      <c r="F437" s="1925"/>
      <c r="G437" s="1925"/>
      <c r="H437" s="1925"/>
      <c r="I437" s="1925"/>
      <c r="J437" s="1925"/>
      <c r="K437" s="1925"/>
      <c r="L437" s="1925"/>
      <c r="M437" s="1925"/>
      <c r="N437" s="1925"/>
      <c r="O437" s="1925"/>
      <c r="P437" s="1925"/>
      <c r="Q437" s="1925"/>
      <c r="R437" s="1925"/>
      <c r="S437" s="1925"/>
      <c r="T437" s="1925"/>
      <c r="U437" s="1925"/>
      <c r="V437" s="1925"/>
      <c r="W437" s="1925"/>
      <c r="X437" s="1925"/>
      <c r="Y437" s="1925"/>
      <c r="Z437" s="1925"/>
      <c r="AA437" s="1925"/>
      <c r="AB437" s="1925"/>
      <c r="AC437" s="1925"/>
      <c r="AD437" s="1925"/>
      <c r="AE437" s="1925"/>
      <c r="AL437" s="766"/>
      <c r="AM437" s="604"/>
      <c r="AN437" s="631"/>
    </row>
    <row r="438" spans="1:40" s="584" customFormat="1" ht="12.75" customHeight="1">
      <c r="A438" s="570"/>
      <c r="B438" s="14"/>
      <c r="C438" s="1934" t="s">
        <v>599</v>
      </c>
      <c r="D438" s="1935"/>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3" t="s">
        <v>1572</v>
      </c>
      <c r="AG438" s="1993"/>
      <c r="AH438" s="1993"/>
      <c r="AI438" s="1993"/>
      <c r="AJ438" s="1993"/>
      <c r="AK438" s="1993"/>
      <c r="AL438" s="202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2" t="s">
        <v>599</v>
      </c>
      <c r="D442" s="2053"/>
      <c r="E442" s="749" t="s">
        <v>1607</v>
      </c>
      <c r="F442" s="1924" t="s">
        <v>1608</v>
      </c>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c r="AB442" s="1924"/>
      <c r="AC442" s="1924"/>
      <c r="AD442" s="1924"/>
      <c r="AE442" s="1924"/>
      <c r="AF442" s="2019" t="s">
        <v>1572</v>
      </c>
      <c r="AG442" s="2019"/>
      <c r="AH442" s="2019"/>
      <c r="AI442" s="2019"/>
      <c r="AJ442" s="2019"/>
      <c r="AK442" s="2019"/>
      <c r="AL442" s="2020"/>
      <c r="AM442" s="604"/>
      <c r="AN442" s="787"/>
    </row>
    <row r="443" spans="1:40" s="584" customFormat="1" ht="12.75" customHeight="1">
      <c r="A443" s="570"/>
      <c r="B443" s="14"/>
      <c r="C443" s="785"/>
      <c r="D443" s="764"/>
      <c r="E443" s="753"/>
      <c r="F443" s="1925"/>
      <c r="G443" s="1925"/>
      <c r="H443" s="1925"/>
      <c r="I443" s="1925"/>
      <c r="J443" s="1925"/>
      <c r="K443" s="1925"/>
      <c r="L443" s="1925"/>
      <c r="M443" s="1925"/>
      <c r="N443" s="1925"/>
      <c r="O443" s="1925"/>
      <c r="P443" s="1925"/>
      <c r="Q443" s="1925"/>
      <c r="R443" s="1925"/>
      <c r="S443" s="1925"/>
      <c r="T443" s="1925"/>
      <c r="U443" s="1925"/>
      <c r="V443" s="1925"/>
      <c r="W443" s="1925"/>
      <c r="X443" s="1925"/>
      <c r="Y443" s="1925"/>
      <c r="Z443" s="1925"/>
      <c r="AA443" s="1925"/>
      <c r="AB443" s="1925"/>
      <c r="AC443" s="1925"/>
      <c r="AD443" s="1925"/>
      <c r="AE443" s="1925"/>
      <c r="AF443" s="625"/>
      <c r="AG443" s="625"/>
      <c r="AH443" s="625"/>
      <c r="AI443" s="625"/>
      <c r="AJ443" s="625"/>
      <c r="AK443" s="625"/>
      <c r="AL443" s="754"/>
      <c r="AM443" s="604"/>
      <c r="AN443" s="788"/>
    </row>
    <row r="444" spans="1:40" s="584" customFormat="1" ht="17.649999999999999" customHeight="1">
      <c r="A444" s="570"/>
      <c r="B444" s="14"/>
      <c r="C444" s="790"/>
      <c r="D444" s="757"/>
      <c r="E444" s="758"/>
      <c r="F444" s="2007"/>
      <c r="G444" s="2007"/>
      <c r="H444" s="2007"/>
      <c r="I444" s="2007"/>
      <c r="J444" s="2007"/>
      <c r="K444" s="2007"/>
      <c r="L444" s="2007"/>
      <c r="M444" s="2007"/>
      <c r="N444" s="2007"/>
      <c r="O444" s="2007"/>
      <c r="P444" s="2007"/>
      <c r="Q444" s="2007"/>
      <c r="R444" s="2007"/>
      <c r="S444" s="2007"/>
      <c r="T444" s="2007"/>
      <c r="U444" s="2007"/>
      <c r="V444" s="2007"/>
      <c r="W444" s="2007"/>
      <c r="X444" s="2007"/>
      <c r="Y444" s="2007"/>
      <c r="Z444" s="2007"/>
      <c r="AA444" s="2007"/>
      <c r="AB444" s="2007"/>
      <c r="AC444" s="2007"/>
      <c r="AD444" s="2007"/>
      <c r="AE444" s="200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4" t="s">
        <v>599</v>
      </c>
      <c r="D446" s="1935"/>
      <c r="E446" s="749" t="s">
        <v>1613</v>
      </c>
      <c r="F446" s="1924" t="s">
        <v>1614</v>
      </c>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c r="AB446" s="1924"/>
      <c r="AC446" s="1924"/>
      <c r="AD446" s="1924"/>
      <c r="AE446" s="1924"/>
      <c r="AF446" s="2019" t="s">
        <v>1572</v>
      </c>
      <c r="AG446" s="2019"/>
      <c r="AH446" s="2019"/>
      <c r="AI446" s="2019"/>
      <c r="AJ446" s="2019"/>
      <c r="AK446" s="2019"/>
      <c r="AL446" s="2020"/>
      <c r="AM446" s="604"/>
      <c r="AN446" s="569"/>
    </row>
    <row r="447" spans="1:40" s="584" customFormat="1" ht="12.75" customHeight="1">
      <c r="A447" s="570"/>
      <c r="B447" s="14"/>
      <c r="C447" s="765"/>
      <c r="D447" s="14"/>
      <c r="E447" s="725"/>
      <c r="F447" s="1925"/>
      <c r="G447" s="1925"/>
      <c r="H447" s="1925"/>
      <c r="I447" s="1925"/>
      <c r="J447" s="1925"/>
      <c r="K447" s="1925"/>
      <c r="L447" s="1925"/>
      <c r="M447" s="1925"/>
      <c r="N447" s="1925"/>
      <c r="O447" s="1925"/>
      <c r="P447" s="1925"/>
      <c r="Q447" s="1925"/>
      <c r="R447" s="1925"/>
      <c r="S447" s="1925"/>
      <c r="T447" s="1925"/>
      <c r="U447" s="1925"/>
      <c r="V447" s="1925"/>
      <c r="W447" s="1925"/>
      <c r="X447" s="1925"/>
      <c r="Y447" s="1925"/>
      <c r="Z447" s="1925"/>
      <c r="AA447" s="1925"/>
      <c r="AB447" s="1925"/>
      <c r="AC447" s="1925"/>
      <c r="AD447" s="1925"/>
      <c r="AE447" s="1925"/>
      <c r="AF447" s="573"/>
      <c r="AG447" s="570"/>
      <c r="AL447" s="766"/>
      <c r="AM447" s="604"/>
      <c r="AN447" s="569"/>
    </row>
    <row r="448" spans="1:40" s="584" customFormat="1" ht="12.75" customHeight="1">
      <c r="A448" s="570"/>
      <c r="B448" s="14"/>
      <c r="C448" s="765"/>
      <c r="D448" s="14"/>
      <c r="E448" s="725"/>
      <c r="F448" s="1925"/>
      <c r="G448" s="1925"/>
      <c r="H448" s="1925"/>
      <c r="I448" s="1925"/>
      <c r="J448" s="1925"/>
      <c r="K448" s="1925"/>
      <c r="L448" s="1925"/>
      <c r="M448" s="1925"/>
      <c r="N448" s="1925"/>
      <c r="O448" s="1925"/>
      <c r="P448" s="1925"/>
      <c r="Q448" s="1925"/>
      <c r="R448" s="1925"/>
      <c r="S448" s="1925"/>
      <c r="T448" s="1925"/>
      <c r="U448" s="1925"/>
      <c r="V448" s="1925"/>
      <c r="W448" s="1925"/>
      <c r="X448" s="1925"/>
      <c r="Y448" s="1925"/>
      <c r="Z448" s="1925"/>
      <c r="AA448" s="1925"/>
      <c r="AB448" s="1925"/>
      <c r="AC448" s="1925"/>
      <c r="AD448" s="1925"/>
      <c r="AE448" s="1925"/>
      <c r="AF448" s="573"/>
      <c r="AG448" s="570"/>
      <c r="AL448" s="766"/>
      <c r="AM448" s="604"/>
      <c r="AN448" s="569"/>
    </row>
    <row r="449" spans="1:48" s="584" customFormat="1" ht="12.75" customHeight="1">
      <c r="A449" s="570"/>
      <c r="B449" s="14"/>
      <c r="C449" s="790"/>
      <c r="D449" s="757"/>
      <c r="E449" s="758"/>
      <c r="F449" s="2007"/>
      <c r="G449" s="2007"/>
      <c r="H449" s="2007"/>
      <c r="I449" s="2007"/>
      <c r="J449" s="2007"/>
      <c r="K449" s="2007"/>
      <c r="L449" s="2007"/>
      <c r="M449" s="2007"/>
      <c r="N449" s="2007"/>
      <c r="O449" s="2007"/>
      <c r="P449" s="2007"/>
      <c r="Q449" s="2007"/>
      <c r="R449" s="2007"/>
      <c r="S449" s="2007"/>
      <c r="T449" s="2007"/>
      <c r="U449" s="2007"/>
      <c r="V449" s="2007"/>
      <c r="W449" s="2007"/>
      <c r="X449" s="2007"/>
      <c r="Y449" s="2007"/>
      <c r="Z449" s="2007"/>
      <c r="AA449" s="2007"/>
      <c r="AB449" s="2007"/>
      <c r="AC449" s="2007"/>
      <c r="AD449" s="2007"/>
      <c r="AE449" s="200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4" t="s">
        <v>1617</v>
      </c>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c r="AB451" s="1924"/>
      <c r="AC451" s="1924"/>
      <c r="AD451" s="1924"/>
      <c r="AE451" s="1924"/>
      <c r="AF451" s="1924"/>
      <c r="AG451" s="778"/>
      <c r="AH451" s="748"/>
      <c r="AI451" s="748"/>
      <c r="AJ451" s="748"/>
      <c r="AK451" s="748"/>
      <c r="AL451" s="779"/>
      <c r="AM451" s="604"/>
      <c r="AN451" s="631"/>
    </row>
    <row r="452" spans="1:48" s="584" customFormat="1" ht="12.75" customHeight="1">
      <c r="A452" s="570"/>
      <c r="B452" s="14"/>
      <c r="C452" s="765"/>
      <c r="D452" s="14"/>
      <c r="E452" s="725"/>
      <c r="F452" s="1925"/>
      <c r="G452" s="1925"/>
      <c r="H452" s="1925"/>
      <c r="I452" s="1925"/>
      <c r="J452" s="1925"/>
      <c r="K452" s="1925"/>
      <c r="L452" s="1925"/>
      <c r="M452" s="1925"/>
      <c r="N452" s="1925"/>
      <c r="O452" s="1925"/>
      <c r="P452" s="1925"/>
      <c r="Q452" s="1925"/>
      <c r="R452" s="1925"/>
      <c r="S452" s="1925"/>
      <c r="T452" s="1925"/>
      <c r="U452" s="1925"/>
      <c r="V452" s="1925"/>
      <c r="W452" s="1925"/>
      <c r="X452" s="1925"/>
      <c r="Y452" s="1925"/>
      <c r="Z452" s="1925"/>
      <c r="AA452" s="1925"/>
      <c r="AB452" s="1925"/>
      <c r="AC452" s="1925"/>
      <c r="AD452" s="1925"/>
      <c r="AE452" s="1925"/>
      <c r="AF452" s="1925"/>
      <c r="AL452" s="766"/>
      <c r="AM452" s="604"/>
      <c r="AN452" s="631"/>
    </row>
    <row r="453" spans="1:48" s="584" customFormat="1" ht="12.75" customHeight="1">
      <c r="A453" s="570"/>
      <c r="B453" s="14"/>
      <c r="C453" s="773"/>
      <c r="F453" s="1925"/>
      <c r="G453" s="1925"/>
      <c r="H453" s="1925"/>
      <c r="I453" s="1925"/>
      <c r="J453" s="1925"/>
      <c r="K453" s="1925"/>
      <c r="L453" s="1925"/>
      <c r="M453" s="1925"/>
      <c r="N453" s="1925"/>
      <c r="O453" s="1925"/>
      <c r="P453" s="1925"/>
      <c r="Q453" s="1925"/>
      <c r="R453" s="1925"/>
      <c r="S453" s="1925"/>
      <c r="T453" s="1925"/>
      <c r="U453" s="1925"/>
      <c r="V453" s="1925"/>
      <c r="W453" s="1925"/>
      <c r="X453" s="1925"/>
      <c r="Y453" s="1925"/>
      <c r="Z453" s="1925"/>
      <c r="AA453" s="1925"/>
      <c r="AB453" s="1925"/>
      <c r="AC453" s="1925"/>
      <c r="AD453" s="1925"/>
      <c r="AE453" s="1925"/>
      <c r="AF453" s="1925"/>
      <c r="AL453" s="766"/>
      <c r="AM453" s="604"/>
      <c r="AN453" s="631"/>
    </row>
    <row r="454" spans="1:48" s="584" customFormat="1" ht="12.75" customHeight="1">
      <c r="A454" s="570"/>
      <c r="B454" s="14"/>
      <c r="C454" s="773"/>
      <c r="F454" s="1925"/>
      <c r="G454" s="1925"/>
      <c r="H454" s="1925"/>
      <c r="I454" s="1925"/>
      <c r="J454" s="1925"/>
      <c r="K454" s="1925"/>
      <c r="L454" s="1925"/>
      <c r="M454" s="1925"/>
      <c r="N454" s="1925"/>
      <c r="O454" s="1925"/>
      <c r="P454" s="1925"/>
      <c r="Q454" s="1925"/>
      <c r="R454" s="1925"/>
      <c r="S454" s="1925"/>
      <c r="T454" s="1925"/>
      <c r="U454" s="1925"/>
      <c r="V454" s="1925"/>
      <c r="W454" s="1925"/>
      <c r="X454" s="1925"/>
      <c r="Y454" s="1925"/>
      <c r="Z454" s="1925"/>
      <c r="AA454" s="1925"/>
      <c r="AB454" s="1925"/>
      <c r="AC454" s="1925"/>
      <c r="AD454" s="1925"/>
      <c r="AE454" s="1925"/>
      <c r="AF454" s="1925"/>
      <c r="AL454" s="766"/>
      <c r="AM454" s="604"/>
      <c r="AN454" s="631"/>
    </row>
    <row r="455" spans="1:48" s="584" customFormat="1" ht="12.75" customHeight="1">
      <c r="A455" s="570"/>
      <c r="B455" s="14"/>
      <c r="C455" s="1934" t="s">
        <v>599</v>
      </c>
      <c r="D455" s="1935"/>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3" t="s">
        <v>1572</v>
      </c>
      <c r="AG455" s="1923"/>
      <c r="AH455" s="1923"/>
      <c r="AI455" s="1923"/>
      <c r="AJ455" s="1923"/>
      <c r="AK455" s="1923"/>
      <c r="AL455" s="193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20">
        <f>IF(Application!D214="N/A",AS347,AS349)</f>
        <v>10</v>
      </c>
      <c r="AL458" s="1921"/>
      <c r="AM458" s="192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3" t="s">
        <v>1621</v>
      </c>
      <c r="AF461" s="1923"/>
      <c r="AG461" s="1923"/>
      <c r="AH461" s="1923"/>
      <c r="AI461" s="1923"/>
      <c r="AJ461" s="1923"/>
      <c r="AK461" s="1923"/>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00" t="s">
        <v>599</v>
      </c>
      <c r="D467" s="2001"/>
      <c r="E467" s="795" t="s">
        <v>515</v>
      </c>
      <c r="F467" s="2021" t="s">
        <v>1627</v>
      </c>
      <c r="G467" s="2021"/>
      <c r="H467" s="2021"/>
      <c r="I467" s="2021"/>
      <c r="J467" s="2021"/>
      <c r="K467" s="2021"/>
      <c r="L467" s="2021"/>
      <c r="M467" s="2021"/>
      <c r="N467" s="2021"/>
      <c r="O467" s="2021"/>
      <c r="P467" s="2021"/>
      <c r="Q467" s="2021"/>
      <c r="R467" s="2021"/>
      <c r="S467" s="2021"/>
      <c r="T467" s="2021"/>
      <c r="U467" s="2021"/>
      <c r="V467" s="2021"/>
      <c r="W467" s="2021"/>
      <c r="X467" s="2021"/>
      <c r="Y467" s="2021"/>
      <c r="Z467" s="2021"/>
      <c r="AA467" s="2021"/>
      <c r="AB467" s="2021"/>
      <c r="AC467" s="2021"/>
      <c r="AD467" s="2021"/>
      <c r="AE467" s="2021"/>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c r="AE468" s="2022"/>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6" t="s">
        <v>599</v>
      </c>
      <c r="G469" s="2016"/>
      <c r="H469" s="2016"/>
      <c r="I469" s="2016"/>
      <c r="J469" s="2016"/>
      <c r="K469" s="2016"/>
      <c r="L469" s="2016"/>
      <c r="M469" s="2016"/>
      <c r="N469" s="2016"/>
      <c r="O469" s="2016"/>
      <c r="P469" s="2016"/>
      <c r="Q469" s="2016"/>
      <c r="R469" s="2016"/>
      <c r="S469" s="2016"/>
      <c r="T469" s="2016"/>
      <c r="U469" s="2016"/>
      <c r="V469" s="2016"/>
      <c r="W469" s="2016"/>
      <c r="X469" s="2016"/>
      <c r="Y469" s="2016"/>
      <c r="Z469" s="2016"/>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7" t="s">
        <v>553</v>
      </c>
      <c r="D471" s="2018"/>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9" t="s">
        <v>599</v>
      </c>
      <c r="W474" s="1929"/>
      <c r="X474" s="1929"/>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9" t="s">
        <v>599</v>
      </c>
      <c r="W476" s="1929"/>
      <c r="X476" s="1929"/>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9" t="s">
        <v>599</v>
      </c>
      <c r="W481" s="1929"/>
      <c r="X481" s="1929"/>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3"/>
      <c r="E484" s="2003"/>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9" t="s">
        <v>599</v>
      </c>
      <c r="W485" s="1929"/>
      <c r="X485" s="1929"/>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9" t="s">
        <v>599</v>
      </c>
      <c r="W487" s="1929"/>
      <c r="X487" s="1929"/>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0" t="s">
        <v>599</v>
      </c>
      <c r="D490" s="2001"/>
      <c r="E490" s="795" t="s">
        <v>515</v>
      </c>
      <c r="F490" s="2021" t="s">
        <v>1627</v>
      </c>
      <c r="G490" s="2021"/>
      <c r="H490" s="2021"/>
      <c r="I490" s="2021"/>
      <c r="J490" s="2021"/>
      <c r="K490" s="2021"/>
      <c r="L490" s="2021"/>
      <c r="M490" s="2021"/>
      <c r="N490" s="2021"/>
      <c r="O490" s="2021"/>
      <c r="P490" s="2021"/>
      <c r="Q490" s="2021"/>
      <c r="R490" s="2021"/>
      <c r="S490" s="2021"/>
      <c r="T490" s="2021"/>
      <c r="U490" s="2021"/>
      <c r="V490" s="2021"/>
      <c r="W490" s="2021"/>
      <c r="X490" s="2021"/>
      <c r="Y490" s="2021"/>
      <c r="Z490" s="2021"/>
      <c r="AA490" s="2021"/>
      <c r="AB490" s="2021"/>
      <c r="AC490" s="2021"/>
      <c r="AD490" s="2021"/>
      <c r="AE490" s="202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c r="AE491" s="202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8" t="s">
        <v>599</v>
      </c>
      <c r="G492" s="2008"/>
      <c r="H492" s="2008"/>
      <c r="I492" s="2008"/>
      <c r="J492" s="2008"/>
      <c r="K492" s="2008"/>
      <c r="L492" s="2008"/>
      <c r="M492" s="2008"/>
      <c r="N492" s="2008"/>
      <c r="O492" s="2008"/>
      <c r="P492" s="2008"/>
      <c r="Q492" s="2008"/>
      <c r="R492" s="2008"/>
      <c r="S492" s="2008"/>
      <c r="T492" s="2008"/>
      <c r="U492" s="2008"/>
      <c r="V492" s="2008"/>
      <c r="W492" s="2008"/>
      <c r="X492" s="2008"/>
      <c r="Y492" s="2008"/>
      <c r="Z492" s="2008"/>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0" t="s">
        <v>599</v>
      </c>
      <c r="D494" s="2001"/>
      <c r="E494" s="795" t="s">
        <v>766</v>
      </c>
      <c r="F494" s="2009" t="s">
        <v>1649</v>
      </c>
      <c r="G494" s="2009"/>
      <c r="H494" s="2009"/>
      <c r="I494" s="2009"/>
      <c r="J494" s="2009"/>
      <c r="K494" s="2009"/>
      <c r="L494" s="2009"/>
      <c r="M494" s="2009"/>
      <c r="N494" s="2009"/>
      <c r="O494" s="2009"/>
      <c r="P494" s="2009"/>
      <c r="Q494" s="2009"/>
      <c r="R494" s="2009"/>
      <c r="S494" s="2009"/>
      <c r="T494" s="2009"/>
      <c r="U494" s="2009"/>
      <c r="V494" s="2009"/>
      <c r="W494" s="2009"/>
      <c r="X494" s="2009"/>
      <c r="Y494" s="2009"/>
      <c r="Z494" s="2009"/>
      <c r="AA494" s="2009"/>
      <c r="AB494" s="2009"/>
      <c r="AC494" s="2009"/>
      <c r="AD494" s="2009"/>
      <c r="AE494" s="200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0"/>
      <c r="G495" s="2010"/>
      <c r="H495" s="2010"/>
      <c r="I495" s="2010"/>
      <c r="J495" s="2010"/>
      <c r="K495" s="2010"/>
      <c r="L495" s="2010"/>
      <c r="M495" s="2010"/>
      <c r="N495" s="2010"/>
      <c r="O495" s="2010"/>
      <c r="P495" s="2010"/>
      <c r="Q495" s="2010"/>
      <c r="R495" s="2010"/>
      <c r="S495" s="2010"/>
      <c r="T495" s="2010"/>
      <c r="U495" s="2010"/>
      <c r="V495" s="2010"/>
      <c r="W495" s="2010"/>
      <c r="X495" s="2010"/>
      <c r="Y495" s="2010"/>
      <c r="Z495" s="2010"/>
      <c r="AA495" s="2010"/>
      <c r="AB495" s="2010"/>
      <c r="AC495" s="2010"/>
      <c r="AD495" s="2010"/>
      <c r="AE495" s="201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1" t="s">
        <v>599</v>
      </c>
      <c r="G497" s="2011"/>
      <c r="H497" s="201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00" t="s">
        <v>599</v>
      </c>
      <c r="D499" s="2001"/>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2"/>
      <c r="D501" s="2003"/>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4" t="s">
        <v>599</v>
      </c>
      <c r="H502" s="2004"/>
      <c r="I502" s="2004"/>
      <c r="J502" s="2004"/>
      <c r="K502" s="2004"/>
      <c r="L502" s="2004"/>
      <c r="M502" s="2004"/>
      <c r="N502" s="2004"/>
      <c r="O502" s="2004"/>
      <c r="P502" s="2004"/>
      <c r="Q502" s="2004"/>
      <c r="R502" s="2004"/>
      <c r="S502" s="2004"/>
      <c r="T502" s="2004"/>
      <c r="U502" s="2004"/>
      <c r="V502" s="2004"/>
      <c r="W502" s="2004"/>
      <c r="X502" s="2004"/>
      <c r="Y502" s="2004"/>
      <c r="Z502" s="2004"/>
      <c r="AA502" s="2004"/>
      <c r="AB502" s="2004"/>
      <c r="AC502" s="2004"/>
      <c r="AD502" s="2004"/>
      <c r="AE502" s="2004"/>
      <c r="AF502" s="200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5" t="s">
        <v>599</v>
      </c>
      <c r="D504" s="2006"/>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5" t="s">
        <v>599</v>
      </c>
      <c r="D508" s="2006"/>
      <c r="F508" s="829" t="s">
        <v>1657</v>
      </c>
      <c r="G508" s="1925" t="s">
        <v>1658</v>
      </c>
      <c r="H508" s="1925"/>
      <c r="I508" s="1925"/>
      <c r="J508" s="1925"/>
      <c r="K508" s="1925"/>
      <c r="L508" s="1925"/>
      <c r="M508" s="1925"/>
      <c r="N508" s="1925"/>
      <c r="O508" s="1925"/>
      <c r="P508" s="1925"/>
      <c r="Q508" s="1925"/>
      <c r="R508" s="1925"/>
      <c r="S508" s="1925"/>
      <c r="T508" s="1925"/>
      <c r="U508" s="1925"/>
      <c r="V508" s="1925"/>
      <c r="W508" s="1925"/>
      <c r="X508" s="1925"/>
      <c r="Y508" s="1925"/>
      <c r="Z508" s="1925"/>
      <c r="AA508" s="1925"/>
      <c r="AB508" s="1925"/>
      <c r="AC508" s="1925"/>
      <c r="AD508" s="1925"/>
      <c r="AE508" s="1925"/>
      <c r="AF508" s="1925"/>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7"/>
      <c r="H509" s="2007"/>
      <c r="I509" s="2007"/>
      <c r="J509" s="2007"/>
      <c r="K509" s="2007"/>
      <c r="L509" s="2007"/>
      <c r="M509" s="2007"/>
      <c r="N509" s="2007"/>
      <c r="O509" s="2007"/>
      <c r="P509" s="2007"/>
      <c r="Q509" s="2007"/>
      <c r="R509" s="2007"/>
      <c r="S509" s="2007"/>
      <c r="T509" s="2007"/>
      <c r="U509" s="2007"/>
      <c r="V509" s="2007"/>
      <c r="W509" s="2007"/>
      <c r="X509" s="2007"/>
      <c r="Y509" s="2007"/>
      <c r="Z509" s="2007"/>
      <c r="AA509" s="2007"/>
      <c r="AB509" s="2007"/>
      <c r="AC509" s="2007"/>
      <c r="AD509" s="2007"/>
      <c r="AE509" s="2007"/>
      <c r="AF509" s="200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2" t="s">
        <v>599</v>
      </c>
      <c r="D512" s="2013"/>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4" t="s">
        <v>599</v>
      </c>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c r="AF513" s="201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5"/>
      <c r="G514" s="2015"/>
      <c r="H514" s="2015"/>
      <c r="I514" s="2015"/>
      <c r="J514" s="2015"/>
      <c r="K514" s="2015"/>
      <c r="L514" s="2015"/>
      <c r="M514" s="2015"/>
      <c r="N514" s="2015"/>
      <c r="O514" s="2015"/>
      <c r="P514" s="2015"/>
      <c r="Q514" s="2015"/>
      <c r="R514" s="2015"/>
      <c r="S514" s="2015"/>
      <c r="T514" s="2015"/>
      <c r="U514" s="2015"/>
      <c r="V514" s="2015"/>
      <c r="W514" s="2015"/>
      <c r="X514" s="2015"/>
      <c r="Y514" s="2015"/>
      <c r="Z514" s="2015"/>
      <c r="AA514" s="2015"/>
      <c r="AB514" s="2015"/>
      <c r="AC514" s="2015"/>
      <c r="AD514" s="2015"/>
      <c r="AE514" s="2015"/>
      <c r="AF514" s="201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20">
        <f>SUM(AG468:AG513)</f>
        <v>0</v>
      </c>
      <c r="AL524" s="1921"/>
      <c r="AM524" s="192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6" t="s">
        <v>1670</v>
      </c>
      <c r="AF527" s="1926"/>
      <c r="AG527" s="1926"/>
      <c r="AH527" s="1926"/>
      <c r="AI527" s="1926"/>
      <c r="AJ527" s="1926"/>
      <c r="AK527" s="1926"/>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5" t="s">
        <v>553</v>
      </c>
      <c r="D530" s="1935"/>
      <c r="E530" s="585"/>
      <c r="F530" s="1994" t="s">
        <v>1671</v>
      </c>
      <c r="G530" s="1995"/>
      <c r="H530" s="1995"/>
      <c r="I530" s="1995"/>
      <c r="J530" s="1995"/>
      <c r="K530" s="1995"/>
      <c r="L530" s="1995"/>
      <c r="M530" s="1995"/>
      <c r="N530" s="1995"/>
      <c r="O530" s="1995"/>
      <c r="P530" s="1995"/>
      <c r="Q530" s="1995"/>
      <c r="R530" s="1995"/>
      <c r="S530" s="1995"/>
      <c r="T530" s="1995"/>
      <c r="U530" s="1995"/>
      <c r="V530" s="1995"/>
      <c r="W530" s="1995"/>
      <c r="X530" s="1995"/>
      <c r="Y530" s="1995"/>
      <c r="Z530" s="1995"/>
      <c r="AA530" s="1995"/>
      <c r="AB530" s="1995"/>
      <c r="AC530" s="1995"/>
      <c r="AD530" s="1995"/>
      <c r="AE530" s="1995"/>
      <c r="AF530" s="1995"/>
      <c r="AG530" s="1995"/>
      <c r="AH530" s="1995"/>
      <c r="AI530" s="1995"/>
      <c r="AJ530" s="1995"/>
      <c r="AK530" s="1995"/>
      <c r="AL530" s="1996"/>
      <c r="AM530" s="629"/>
      <c r="AN530" s="631"/>
    </row>
    <row r="531" spans="1:49" s="584" customFormat="1" ht="12.75" customHeight="1">
      <c r="A531" s="573"/>
      <c r="B531" s="573"/>
      <c r="C531" s="585"/>
      <c r="D531" s="585"/>
      <c r="E531" s="585"/>
      <c r="F531" s="1997"/>
      <c r="G531" s="1998"/>
      <c r="H531" s="1998"/>
      <c r="I531" s="1998"/>
      <c r="J531" s="1998"/>
      <c r="K531" s="1998"/>
      <c r="L531" s="1998"/>
      <c r="M531" s="1998"/>
      <c r="N531" s="1998"/>
      <c r="O531" s="1998"/>
      <c r="P531" s="1998"/>
      <c r="Q531" s="1998"/>
      <c r="R531" s="1998"/>
      <c r="S531" s="1998"/>
      <c r="T531" s="1998"/>
      <c r="U531" s="1998"/>
      <c r="V531" s="1998"/>
      <c r="W531" s="1998"/>
      <c r="X531" s="1998"/>
      <c r="Y531" s="1998"/>
      <c r="Z531" s="1998"/>
      <c r="AA531" s="1998"/>
      <c r="AB531" s="1998"/>
      <c r="AC531" s="1998"/>
      <c r="AD531" s="1998"/>
      <c r="AE531" s="1998"/>
      <c r="AF531" s="1998"/>
      <c r="AG531" s="1998"/>
      <c r="AH531" s="1998"/>
      <c r="AI531" s="1998"/>
      <c r="AJ531" s="1998"/>
      <c r="AK531" s="1998"/>
      <c r="AL531" s="199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5" t="s">
        <v>599</v>
      </c>
      <c r="D533" s="1935"/>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2" t="s">
        <v>1673</v>
      </c>
      <c r="G534" s="1913"/>
      <c r="H534" s="1913"/>
      <c r="I534" s="1913"/>
      <c r="J534" s="1913"/>
      <c r="K534" s="1913"/>
      <c r="L534" s="1913"/>
      <c r="M534" s="1913"/>
      <c r="N534" s="1913"/>
      <c r="O534" s="1913"/>
      <c r="P534" s="1913"/>
      <c r="Q534" s="1913"/>
      <c r="R534" s="1913"/>
      <c r="S534" s="1913"/>
      <c r="T534" s="1913"/>
      <c r="U534" s="1913"/>
      <c r="V534" s="1913"/>
      <c r="W534" s="1913"/>
      <c r="X534" s="1913"/>
      <c r="Y534" s="1913"/>
      <c r="Z534" s="1913"/>
      <c r="AA534" s="1913"/>
      <c r="AB534" s="1913"/>
      <c r="AC534" s="1913"/>
      <c r="AD534" s="1913"/>
      <c r="AE534" s="1913"/>
      <c r="AF534" s="1913"/>
      <c r="AG534" s="1913"/>
      <c r="AH534" s="1913"/>
      <c r="AI534" s="1913"/>
      <c r="AJ534" s="1913"/>
      <c r="AK534" s="1913"/>
      <c r="AL534" s="1914"/>
      <c r="AM534" s="629"/>
      <c r="AN534" s="631"/>
      <c r="AS534" s="904"/>
      <c r="AT534" s="904"/>
      <c r="AU534" s="904"/>
      <c r="AV534" s="904"/>
      <c r="AW534" s="904"/>
    </row>
    <row r="535" spans="1:49" s="584" customFormat="1" ht="12.75" customHeight="1">
      <c r="B535" s="840"/>
      <c r="C535" s="840"/>
      <c r="D535" s="840"/>
      <c r="E535" s="840"/>
      <c r="F535" s="1912"/>
      <c r="G535" s="1913"/>
      <c r="H535" s="1913"/>
      <c r="I535" s="1913"/>
      <c r="J535" s="1913"/>
      <c r="K535" s="1913"/>
      <c r="L535" s="1913"/>
      <c r="M535" s="1913"/>
      <c r="N535" s="1913"/>
      <c r="O535" s="1913"/>
      <c r="P535" s="1913"/>
      <c r="Q535" s="1913"/>
      <c r="R535" s="1913"/>
      <c r="S535" s="1913"/>
      <c r="T535" s="1913"/>
      <c r="U535" s="1913"/>
      <c r="V535" s="1913"/>
      <c r="W535" s="1913"/>
      <c r="X535" s="1913"/>
      <c r="Y535" s="1913"/>
      <c r="Z535" s="1913"/>
      <c r="AA535" s="1913"/>
      <c r="AB535" s="1913"/>
      <c r="AC535" s="1913"/>
      <c r="AD535" s="1913"/>
      <c r="AE535" s="1913"/>
      <c r="AF535" s="1913"/>
      <c r="AG535" s="1913"/>
      <c r="AH535" s="1913"/>
      <c r="AI535" s="1913"/>
      <c r="AJ535" s="1913"/>
      <c r="AK535" s="1913"/>
      <c r="AL535" s="1914"/>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2" t="s">
        <v>1674</v>
      </c>
      <c r="G537" s="1913"/>
      <c r="H537" s="1913"/>
      <c r="I537" s="1913"/>
      <c r="J537" s="1913"/>
      <c r="K537" s="1913"/>
      <c r="L537" s="1913"/>
      <c r="M537" s="1913"/>
      <c r="N537" s="1913"/>
      <c r="O537" s="1913"/>
      <c r="P537" s="1913"/>
      <c r="Q537" s="1913"/>
      <c r="R537" s="1913"/>
      <c r="S537" s="1913"/>
      <c r="T537" s="1913"/>
      <c r="U537" s="1913"/>
      <c r="V537" s="1913"/>
      <c r="W537" s="1913"/>
      <c r="X537" s="1913"/>
      <c r="Y537" s="1913"/>
      <c r="Z537" s="1913"/>
      <c r="AA537" s="1913"/>
      <c r="AB537" s="1913"/>
      <c r="AC537" s="1913"/>
      <c r="AD537" s="1913"/>
      <c r="AE537" s="1913"/>
      <c r="AF537" s="1913"/>
      <c r="AG537" s="1913"/>
      <c r="AH537" s="1913"/>
      <c r="AI537" s="1913"/>
      <c r="AJ537" s="1913"/>
      <c r="AK537" s="1913"/>
      <c r="AL537" s="847"/>
      <c r="AM537" s="629"/>
      <c r="AN537" s="631"/>
    </row>
    <row r="538" spans="1:49" s="584" customFormat="1" ht="12.75" customHeight="1">
      <c r="B538" s="840"/>
      <c r="C538" s="840"/>
      <c r="D538" s="840"/>
      <c r="E538" s="840"/>
      <c r="F538" s="1915"/>
      <c r="G538" s="1916"/>
      <c r="H538" s="1916"/>
      <c r="I538" s="1916"/>
      <c r="J538" s="1916"/>
      <c r="K538" s="1916"/>
      <c r="L538" s="1916"/>
      <c r="M538" s="1916"/>
      <c r="N538" s="1916"/>
      <c r="O538" s="1916"/>
      <c r="P538" s="1916"/>
      <c r="Q538" s="1916"/>
      <c r="R538" s="1916"/>
      <c r="S538" s="1916"/>
      <c r="T538" s="1916"/>
      <c r="U538" s="1916"/>
      <c r="V538" s="1916"/>
      <c r="W538" s="1916"/>
      <c r="X538" s="1916"/>
      <c r="Y538" s="1916"/>
      <c r="Z538" s="1916"/>
      <c r="AA538" s="1916"/>
      <c r="AB538" s="1916"/>
      <c r="AC538" s="1916"/>
      <c r="AD538" s="1916"/>
      <c r="AE538" s="1916"/>
      <c r="AF538" s="1916"/>
      <c r="AG538" s="1916"/>
      <c r="AH538" s="1916"/>
      <c r="AI538" s="1916"/>
      <c r="AJ538" s="1916"/>
      <c r="AK538" s="191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7">
        <f>Application!AJ991</f>
        <v>23296844</v>
      </c>
      <c r="AQ539" s="1907"/>
      <c r="AR539" s="1907"/>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7">
        <f ca="1">'Sources and Uses Budget'!S107+'Sources and Uses Budget'!T107</f>
        <v>34569658.941176198</v>
      </c>
      <c r="AG540" s="1917"/>
      <c r="AH540" s="1917"/>
      <c r="AI540" s="1917"/>
      <c r="AJ540" s="1917"/>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8">
        <f>IFERROR(AP548,0)</f>
        <v>50530301.200000003</v>
      </c>
      <c r="AG541" s="1918"/>
      <c r="AH541" s="1918"/>
      <c r="AI541" s="1918"/>
      <c r="AJ541" s="1918"/>
      <c r="AK541" s="629"/>
      <c r="AL541" s="629"/>
      <c r="AM541" s="629"/>
      <c r="AN541" s="631"/>
      <c r="AP541" s="1907">
        <f>Application!AJ1044</f>
        <v>0</v>
      </c>
      <c r="AQ541" s="1907"/>
      <c r="AR541" s="1907"/>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9">
        <f ca="1">IFERROR(ROUNDDOWN(IF(C533="YES",((1-(AF540/AF541))*2),(1-(AF540/AF541))),2),0)</f>
        <v>0.31</v>
      </c>
      <c r="AG542" s="1919"/>
      <c r="AH542" s="1919"/>
      <c r="AI542" s="1919"/>
      <c r="AJ542" s="1919"/>
      <c r="AK542" s="629"/>
      <c r="AL542" s="629"/>
      <c r="AM542" s="629"/>
      <c r="AN542" s="631"/>
      <c r="AP542" s="1908">
        <f>Application!AJ1048</f>
        <v>46593688</v>
      </c>
      <c r="AQ542" s="1908"/>
      <c r="AR542" s="1908"/>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7">
        <f>IF(((AP541+AP542)/AP539)&gt;0.8,0.8,((AP541+AP542)/AP539))</f>
        <v>0.8</v>
      </c>
      <c r="AQ543" s="1927"/>
      <c r="AR543" s="1927"/>
      <c r="AS543" s="584" t="s">
        <v>2532</v>
      </c>
    </row>
    <row r="544" spans="1:49" s="584" customFormat="1" ht="12.75" customHeight="1">
      <c r="A544" s="658"/>
      <c r="B544" s="1973" t="s">
        <v>2344</v>
      </c>
      <c r="C544" s="1974"/>
      <c r="D544" s="1974"/>
      <c r="E544" s="1974"/>
      <c r="F544" s="1974"/>
      <c r="G544" s="1974"/>
      <c r="H544" s="1974"/>
      <c r="I544" s="1974"/>
      <c r="J544" s="1974"/>
      <c r="K544" s="1974"/>
      <c r="L544" s="1974"/>
      <c r="M544" s="1974"/>
      <c r="N544" s="1974"/>
      <c r="O544" s="1974"/>
      <c r="P544" s="1974"/>
      <c r="Q544" s="1974"/>
      <c r="R544" s="1974"/>
      <c r="S544" s="1974"/>
      <c r="T544" s="1974"/>
      <c r="U544" s="1974"/>
      <c r="V544" s="1974"/>
      <c r="W544" s="1974"/>
      <c r="X544" s="1974"/>
      <c r="Y544" s="1974"/>
      <c r="Z544" s="1974"/>
      <c r="AA544" s="1974"/>
      <c r="AB544" s="1974"/>
      <c r="AC544" s="1974"/>
      <c r="AD544" s="1974"/>
      <c r="AE544" s="1974"/>
      <c r="AF544" s="1974"/>
      <c r="AG544" s="1974"/>
      <c r="AH544" s="1974"/>
      <c r="AI544" s="1974"/>
      <c r="AJ544" s="1975"/>
      <c r="AK544" s="629"/>
      <c r="AL544" s="629"/>
      <c r="AM544" s="629"/>
      <c r="AN544" s="631"/>
    </row>
    <row r="545" spans="1:45" s="584" customFormat="1" ht="12.75" customHeight="1">
      <c r="A545" s="658"/>
      <c r="B545" s="1976"/>
      <c r="C545" s="1977"/>
      <c r="D545" s="1977"/>
      <c r="E545" s="1977"/>
      <c r="F545" s="1977"/>
      <c r="G545" s="1977"/>
      <c r="H545" s="1977"/>
      <c r="I545" s="1977"/>
      <c r="J545" s="1977"/>
      <c r="K545" s="1977"/>
      <c r="L545" s="1977"/>
      <c r="M545" s="1977"/>
      <c r="N545" s="1977"/>
      <c r="O545" s="1977"/>
      <c r="P545" s="1977"/>
      <c r="Q545" s="1977"/>
      <c r="R545" s="1977"/>
      <c r="S545" s="1977"/>
      <c r="T545" s="1977"/>
      <c r="U545" s="1977"/>
      <c r="V545" s="1977"/>
      <c r="W545" s="1977"/>
      <c r="X545" s="1977"/>
      <c r="Y545" s="1977"/>
      <c r="Z545" s="1977"/>
      <c r="AA545" s="1977"/>
      <c r="AB545" s="1977"/>
      <c r="AC545" s="1977"/>
      <c r="AD545" s="1977"/>
      <c r="AE545" s="1977"/>
      <c r="AF545" s="1977"/>
      <c r="AG545" s="1977"/>
      <c r="AH545" s="1977"/>
      <c r="AI545" s="1977"/>
      <c r="AJ545" s="1978"/>
      <c r="AK545" s="629"/>
      <c r="AL545" s="629"/>
      <c r="AM545" s="629"/>
      <c r="AN545" s="631"/>
      <c r="AP545" s="1907">
        <f>AP546-AP541-AP542</f>
        <v>31892826</v>
      </c>
      <c r="AQ545" s="1928"/>
      <c r="AR545" s="1928"/>
      <c r="AS545" s="584" t="s">
        <v>2534</v>
      </c>
    </row>
    <row r="546" spans="1:45" s="584" customFormat="1" ht="12.75" customHeight="1">
      <c r="A546" s="658"/>
      <c r="B546" s="1979"/>
      <c r="C546" s="1980"/>
      <c r="D546" s="1980"/>
      <c r="E546" s="1980"/>
      <c r="F546" s="1980"/>
      <c r="G546" s="1980"/>
      <c r="H546" s="1980"/>
      <c r="I546" s="1980"/>
      <c r="J546" s="1980"/>
      <c r="K546" s="1980"/>
      <c r="L546" s="1980"/>
      <c r="M546" s="1980"/>
      <c r="N546" s="1980"/>
      <c r="O546" s="1980"/>
      <c r="P546" s="1980"/>
      <c r="Q546" s="1980"/>
      <c r="R546" s="1980"/>
      <c r="S546" s="1980"/>
      <c r="T546" s="1980"/>
      <c r="U546" s="1980"/>
      <c r="V546" s="1980"/>
      <c r="W546" s="1980"/>
      <c r="X546" s="1980"/>
      <c r="Y546" s="1980"/>
      <c r="Z546" s="1980"/>
      <c r="AA546" s="1980"/>
      <c r="AB546" s="1980"/>
      <c r="AC546" s="1980"/>
      <c r="AD546" s="1980"/>
      <c r="AE546" s="1980"/>
      <c r="AF546" s="1980"/>
      <c r="AG546" s="1980"/>
      <c r="AH546" s="1980"/>
      <c r="AI546" s="1980"/>
      <c r="AJ546" s="1981"/>
      <c r="AK546" s="629"/>
      <c r="AL546" s="629"/>
      <c r="AM546" s="629"/>
      <c r="AN546" s="631"/>
      <c r="AP546" s="1907">
        <f>Application!AJ1052</f>
        <v>78486514</v>
      </c>
      <c r="AQ546" s="1907"/>
      <c r="AR546" s="1907"/>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82">
        <f ca="1">IFERROR(IF(AND(C530="N/A",C533="N/A"),0,IF(AF542=0,0,IF((AF542*100)&gt;12,12,(AF542*100)))),0)</f>
        <v>12</v>
      </c>
      <c r="AL548" s="1982"/>
      <c r="AM548" s="1983"/>
      <c r="AN548" s="631"/>
      <c r="AP548" s="1896">
        <f>AP545+(AP539*AP543)</f>
        <v>50530301.200000003</v>
      </c>
      <c r="AQ548" s="1897"/>
      <c r="AR548" s="189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6" t="s">
        <v>1423</v>
      </c>
      <c r="AF551" s="1926"/>
      <c r="AG551" s="1926"/>
      <c r="AH551" s="1926"/>
      <c r="AI551" s="1926"/>
      <c r="AJ551" s="1926"/>
      <c r="AK551" s="192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3" t="s">
        <v>2335</v>
      </c>
      <c r="C553" s="1913"/>
      <c r="D553" s="1913"/>
      <c r="E553" s="1913"/>
      <c r="F553" s="1913"/>
      <c r="G553" s="1913"/>
      <c r="H553" s="1913"/>
      <c r="I553" s="1913"/>
      <c r="J553" s="1913"/>
      <c r="K553" s="1913"/>
      <c r="L553" s="1913"/>
      <c r="M553" s="1913"/>
      <c r="N553" s="1913"/>
      <c r="O553" s="1913"/>
      <c r="P553" s="1913"/>
      <c r="Q553" s="1913"/>
      <c r="R553" s="1913"/>
      <c r="S553" s="1913"/>
      <c r="T553" s="1913"/>
      <c r="U553" s="1913"/>
      <c r="V553" s="1913"/>
      <c r="W553" s="1913"/>
      <c r="X553" s="1913"/>
      <c r="Y553" s="1913"/>
      <c r="Z553" s="1913"/>
      <c r="AA553" s="1913"/>
      <c r="AB553" s="1913"/>
      <c r="AC553" s="1913"/>
      <c r="AD553" s="1913"/>
      <c r="AE553" s="1913"/>
      <c r="AF553" s="1913"/>
      <c r="AG553" s="1913"/>
      <c r="AH553" s="1913"/>
      <c r="AI553" s="1913"/>
      <c r="AJ553" s="1913"/>
      <c r="AK553" s="676"/>
      <c r="AL553" s="607"/>
      <c r="AM553" s="637"/>
      <c r="AN553" s="631"/>
    </row>
    <row r="554" spans="1:45" s="584" customFormat="1" ht="12.75" customHeight="1">
      <c r="A554" s="637"/>
      <c r="B554" s="1913"/>
      <c r="C554" s="1913"/>
      <c r="D554" s="1913"/>
      <c r="E554" s="1913"/>
      <c r="F554" s="1913"/>
      <c r="G554" s="1913"/>
      <c r="H554" s="1913"/>
      <c r="I554" s="1913"/>
      <c r="J554" s="1913"/>
      <c r="K554" s="1913"/>
      <c r="L554" s="1913"/>
      <c r="M554" s="1913"/>
      <c r="N554" s="1913"/>
      <c r="O554" s="1913"/>
      <c r="P554" s="1913"/>
      <c r="Q554" s="1913"/>
      <c r="R554" s="1913"/>
      <c r="S554" s="1913"/>
      <c r="T554" s="1913"/>
      <c r="U554" s="1913"/>
      <c r="V554" s="1913"/>
      <c r="W554" s="1913"/>
      <c r="X554" s="1913"/>
      <c r="Y554" s="1913"/>
      <c r="Z554" s="1913"/>
      <c r="AA554" s="1913"/>
      <c r="AB554" s="1913"/>
      <c r="AC554" s="1913"/>
      <c r="AD554" s="1913"/>
      <c r="AE554" s="1913"/>
      <c r="AF554" s="1913"/>
      <c r="AG554" s="1913"/>
      <c r="AH554" s="1913"/>
      <c r="AI554" s="1913"/>
      <c r="AJ554" s="1913"/>
      <c r="AK554" s="676"/>
      <c r="AL554" s="607"/>
      <c r="AM554" s="637"/>
      <c r="AN554" s="631"/>
    </row>
    <row r="555" spans="1:45" s="584" customFormat="1" ht="12.75" customHeight="1">
      <c r="A555" s="637"/>
      <c r="B555" s="1913"/>
      <c r="C555" s="1913"/>
      <c r="D555" s="1913"/>
      <c r="E555" s="1913"/>
      <c r="F555" s="1913"/>
      <c r="G555" s="1913"/>
      <c r="H555" s="1913"/>
      <c r="I555" s="1913"/>
      <c r="J555" s="1913"/>
      <c r="K555" s="1913"/>
      <c r="L555" s="1913"/>
      <c r="M555" s="1913"/>
      <c r="N555" s="1913"/>
      <c r="O555" s="1913"/>
      <c r="P555" s="1913"/>
      <c r="Q555" s="1913"/>
      <c r="R555" s="1913"/>
      <c r="S555" s="1913"/>
      <c r="T555" s="1913"/>
      <c r="U555" s="1913"/>
      <c r="V555" s="1913"/>
      <c r="W555" s="1913"/>
      <c r="X555" s="1913"/>
      <c r="Y555" s="1913"/>
      <c r="Z555" s="1913"/>
      <c r="AA555" s="1913"/>
      <c r="AB555" s="1913"/>
      <c r="AC555" s="1913"/>
      <c r="AD555" s="1913"/>
      <c r="AE555" s="1913"/>
      <c r="AF555" s="1913"/>
      <c r="AG555" s="1913"/>
      <c r="AH555" s="1913"/>
      <c r="AI555" s="1913"/>
      <c r="AJ555" s="1913"/>
      <c r="AK555" s="676"/>
      <c r="AL555" s="607"/>
      <c r="AM555" s="637"/>
      <c r="AN555" s="631"/>
    </row>
    <row r="556" spans="1:45" s="584" customFormat="1" ht="12.75" customHeight="1">
      <c r="A556" s="637"/>
      <c r="B556" s="1913"/>
      <c r="C556" s="1913"/>
      <c r="D556" s="1913"/>
      <c r="E556" s="1913"/>
      <c r="F556" s="1913"/>
      <c r="G556" s="1913"/>
      <c r="H556" s="1913"/>
      <c r="I556" s="1913"/>
      <c r="J556" s="1913"/>
      <c r="K556" s="1913"/>
      <c r="L556" s="1913"/>
      <c r="M556" s="1913"/>
      <c r="N556" s="1913"/>
      <c r="O556" s="1913"/>
      <c r="P556" s="1913"/>
      <c r="Q556" s="1913"/>
      <c r="R556" s="1913"/>
      <c r="S556" s="1913"/>
      <c r="T556" s="1913"/>
      <c r="U556" s="1913"/>
      <c r="V556" s="1913"/>
      <c r="W556" s="1913"/>
      <c r="X556" s="1913"/>
      <c r="Y556" s="1913"/>
      <c r="Z556" s="1913"/>
      <c r="AA556" s="1913"/>
      <c r="AB556" s="1913"/>
      <c r="AC556" s="1913"/>
      <c r="AD556" s="1913"/>
      <c r="AE556" s="1913"/>
      <c r="AF556" s="1913"/>
      <c r="AG556" s="1913"/>
      <c r="AH556" s="1913"/>
      <c r="AI556" s="1913"/>
      <c r="AJ556" s="1913"/>
      <c r="AK556" s="676"/>
      <c r="AL556" s="607"/>
      <c r="AM556" s="637"/>
      <c r="AN556" s="631"/>
    </row>
    <row r="557" spans="1:45" s="584" customFormat="1" ht="12.75" customHeight="1">
      <c r="A557" s="637"/>
      <c r="B557" s="1913"/>
      <c r="C557" s="1913"/>
      <c r="D557" s="1913"/>
      <c r="E557" s="1913"/>
      <c r="F557" s="1913"/>
      <c r="G557" s="1913"/>
      <c r="H557" s="1913"/>
      <c r="I557" s="1913"/>
      <c r="J557" s="1913"/>
      <c r="K557" s="1913"/>
      <c r="L557" s="1913"/>
      <c r="M557" s="1913"/>
      <c r="N557" s="1913"/>
      <c r="O557" s="1913"/>
      <c r="P557" s="1913"/>
      <c r="Q557" s="1913"/>
      <c r="R557" s="1913"/>
      <c r="S557" s="1913"/>
      <c r="T557" s="1913"/>
      <c r="U557" s="1913"/>
      <c r="V557" s="1913"/>
      <c r="W557" s="1913"/>
      <c r="X557" s="1913"/>
      <c r="Y557" s="1913"/>
      <c r="Z557" s="1913"/>
      <c r="AA557" s="1913"/>
      <c r="AB557" s="1913"/>
      <c r="AC557" s="1913"/>
      <c r="AD557" s="1913"/>
      <c r="AE557" s="1913"/>
      <c r="AF557" s="1913"/>
      <c r="AG557" s="1913"/>
      <c r="AH557" s="1913"/>
      <c r="AI557" s="1913"/>
      <c r="AJ557" s="1913"/>
      <c r="AK557" s="676"/>
      <c r="AL557" s="607"/>
      <c r="AM557" s="637"/>
      <c r="AN557" s="631"/>
    </row>
    <row r="558" spans="1:45" s="584" customFormat="1" ht="12.75" customHeight="1">
      <c r="A558" s="637"/>
      <c r="B558" s="1913"/>
      <c r="C558" s="1913"/>
      <c r="D558" s="1913"/>
      <c r="E558" s="1913"/>
      <c r="F558" s="1913"/>
      <c r="G558" s="1913"/>
      <c r="H558" s="1913"/>
      <c r="I558" s="1913"/>
      <c r="J558" s="1913"/>
      <c r="K558" s="1913"/>
      <c r="L558" s="1913"/>
      <c r="M558" s="1913"/>
      <c r="N558" s="1913"/>
      <c r="O558" s="1913"/>
      <c r="P558" s="1913"/>
      <c r="Q558" s="1913"/>
      <c r="R558" s="1913"/>
      <c r="S558" s="1913"/>
      <c r="T558" s="1913"/>
      <c r="U558" s="1913"/>
      <c r="V558" s="1913"/>
      <c r="W558" s="1913"/>
      <c r="X558" s="1913"/>
      <c r="Y558" s="1913"/>
      <c r="Z558" s="1913"/>
      <c r="AA558" s="1913"/>
      <c r="AB558" s="1913"/>
      <c r="AC558" s="1913"/>
      <c r="AD558" s="1913"/>
      <c r="AE558" s="1913"/>
      <c r="AF558" s="1913"/>
      <c r="AG558" s="1913"/>
      <c r="AH558" s="1913"/>
      <c r="AI558" s="1913"/>
      <c r="AJ558" s="1913"/>
      <c r="AK558" s="676"/>
      <c r="AL558" s="607"/>
      <c r="AM558" s="637"/>
      <c r="AN558" s="631"/>
    </row>
    <row r="559" spans="1:45" s="584" customFormat="1" ht="12.75" customHeight="1">
      <c r="A559" s="637"/>
      <c r="B559" s="1913"/>
      <c r="C559" s="1913"/>
      <c r="D559" s="1913"/>
      <c r="E559" s="1913"/>
      <c r="F559" s="1913"/>
      <c r="G559" s="1913"/>
      <c r="H559" s="1913"/>
      <c r="I559" s="1913"/>
      <c r="J559" s="1913"/>
      <c r="K559" s="1913"/>
      <c r="L559" s="1913"/>
      <c r="M559" s="1913"/>
      <c r="N559" s="1913"/>
      <c r="O559" s="1913"/>
      <c r="P559" s="1913"/>
      <c r="Q559" s="1913"/>
      <c r="R559" s="1913"/>
      <c r="S559" s="1913"/>
      <c r="T559" s="1913"/>
      <c r="U559" s="1913"/>
      <c r="V559" s="1913"/>
      <c r="W559" s="1913"/>
      <c r="X559" s="1913"/>
      <c r="Y559" s="1913"/>
      <c r="Z559" s="1913"/>
      <c r="AA559" s="1913"/>
      <c r="AB559" s="1913"/>
      <c r="AC559" s="1913"/>
      <c r="AD559" s="1913"/>
      <c r="AE559" s="1913"/>
      <c r="AF559" s="1913"/>
      <c r="AG559" s="1913"/>
      <c r="AH559" s="1913"/>
      <c r="AI559" s="1913"/>
      <c r="AJ559" s="1913"/>
      <c r="AK559" s="676"/>
      <c r="AL559" s="607"/>
      <c r="AM559" s="637"/>
      <c r="AN559" s="631"/>
    </row>
    <row r="560" spans="1:45" ht="12.75" customHeight="1">
      <c r="A560" s="637"/>
      <c r="B560" s="1913"/>
      <c r="C560" s="1913"/>
      <c r="D560" s="1913"/>
      <c r="E560" s="1913"/>
      <c r="F560" s="1913"/>
      <c r="G560" s="1913"/>
      <c r="H560" s="1913"/>
      <c r="I560" s="1913"/>
      <c r="J560" s="1913"/>
      <c r="K560" s="1913"/>
      <c r="L560" s="1913"/>
      <c r="M560" s="1913"/>
      <c r="N560" s="1913"/>
      <c r="O560" s="1913"/>
      <c r="P560" s="1913"/>
      <c r="Q560" s="1913"/>
      <c r="R560" s="1913"/>
      <c r="S560" s="1913"/>
      <c r="T560" s="1913"/>
      <c r="U560" s="1913"/>
      <c r="V560" s="1913"/>
      <c r="W560" s="1913"/>
      <c r="X560" s="1913"/>
      <c r="Y560" s="1913"/>
      <c r="Z560" s="1913"/>
      <c r="AA560" s="1913"/>
      <c r="AB560" s="1913"/>
      <c r="AC560" s="1913"/>
      <c r="AD560" s="1913"/>
      <c r="AE560" s="1913"/>
      <c r="AF560" s="1913"/>
      <c r="AG560" s="1913"/>
      <c r="AH560" s="1913"/>
      <c r="AI560" s="1913"/>
      <c r="AJ560" s="1913"/>
      <c r="AK560" s="676"/>
      <c r="AL560" s="607"/>
      <c r="AM560" s="637"/>
    </row>
    <row r="561" spans="1:42" s="584" customFormat="1" ht="12.75" customHeight="1">
      <c r="B561" s="1913"/>
      <c r="C561" s="1913"/>
      <c r="D561" s="1913"/>
      <c r="E561" s="1913"/>
      <c r="F561" s="1913"/>
      <c r="G561" s="1913"/>
      <c r="H561" s="1913"/>
      <c r="I561" s="1913"/>
      <c r="J561" s="1913"/>
      <c r="K561" s="1913"/>
      <c r="L561" s="1913"/>
      <c r="M561" s="1913"/>
      <c r="N561" s="1913"/>
      <c r="O561" s="1913"/>
      <c r="P561" s="1913"/>
      <c r="Q561" s="1913"/>
      <c r="R561" s="1913"/>
      <c r="S561" s="1913"/>
      <c r="T561" s="1913"/>
      <c r="U561" s="1913"/>
      <c r="V561" s="1913"/>
      <c r="W561" s="1913"/>
      <c r="X561" s="1913"/>
      <c r="Y561" s="1913"/>
      <c r="Z561" s="1913"/>
      <c r="AA561" s="1913"/>
      <c r="AB561" s="1913"/>
      <c r="AC561" s="1913"/>
      <c r="AD561" s="1913"/>
      <c r="AE561" s="1913"/>
      <c r="AF561" s="1913"/>
      <c r="AG561" s="1913"/>
      <c r="AH561" s="1913"/>
      <c r="AI561" s="1913"/>
      <c r="AJ561" s="191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3" t="s">
        <v>1447</v>
      </c>
      <c r="AG567" s="1993"/>
      <c r="AH567" s="1993"/>
      <c r="AI567" s="1993"/>
      <c r="AJ567" s="1993"/>
      <c r="AK567" s="1993"/>
      <c r="AL567" s="1993"/>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3" t="s">
        <v>1505</v>
      </c>
      <c r="AG574" s="1993"/>
      <c r="AH574" s="1993"/>
      <c r="AI574" s="1993"/>
      <c r="AJ574" s="1993"/>
      <c r="AK574" s="1993"/>
      <c r="AL574" s="1993"/>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3" t="s">
        <v>1487</v>
      </c>
      <c r="AG580" s="1993"/>
      <c r="AH580" s="1993"/>
      <c r="AI580" s="1993"/>
      <c r="AJ580" s="1993"/>
      <c r="AK580" s="1993"/>
      <c r="AL580" s="1993"/>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3" t="s">
        <v>1508</v>
      </c>
      <c r="AG586" s="1993"/>
      <c r="AH586" s="1993"/>
      <c r="AI586" s="1993"/>
      <c r="AJ586" s="1993"/>
      <c r="AK586" s="1993"/>
      <c r="AL586" s="1993"/>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32" t="s">
        <v>1290</v>
      </c>
      <c r="P590" s="2032"/>
      <c r="Q590" s="2032"/>
      <c r="R590" s="2032"/>
      <c r="S590" s="2032"/>
      <c r="T590" s="2032"/>
      <c r="U590" s="2032"/>
      <c r="V590" s="2032"/>
      <c r="W590" s="2032"/>
      <c r="X590" s="2032"/>
      <c r="Y590" s="2032"/>
      <c r="Z590" s="2032"/>
      <c r="AA590" s="2032"/>
      <c r="AB590" s="203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3" t="s">
        <v>1461</v>
      </c>
      <c r="AG592" s="1993"/>
      <c r="AH592" s="1993"/>
      <c r="AI592" s="1993"/>
      <c r="AJ592" s="1993"/>
      <c r="AK592" s="1993"/>
      <c r="AL592" s="1993"/>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7" t="s">
        <v>696</v>
      </c>
      <c r="I595" s="1937"/>
      <c r="J595" s="971"/>
      <c r="K595" s="971"/>
      <c r="L595" s="971"/>
      <c r="N595" s="22"/>
      <c r="O595" s="22"/>
      <c r="P595" s="22"/>
      <c r="Q595" s="1195" t="s">
        <v>2537</v>
      </c>
      <c r="R595" s="2033"/>
      <c r="S595" s="2033"/>
      <c r="T595" s="2033"/>
      <c r="U595" s="2033"/>
      <c r="V595" s="2033"/>
      <c r="W595" s="2033"/>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4" t="str">
        <f>IF(AND(H595="(i)",NOT(AP571)),AO588,IF(AND(H595="(iv)",OR(R595=AO584,R595=AO583),NOT(AP572)),AO589,""))</f>
        <v/>
      </c>
      <c r="Z596" s="2034"/>
      <c r="AA596" s="2034"/>
      <c r="AB596" s="2034"/>
      <c r="AC596" s="2034"/>
      <c r="AD596" s="2034"/>
      <c r="AE596" s="2034"/>
      <c r="AF596" s="2034"/>
      <c r="AG596" s="2034"/>
      <c r="AH596" s="2034"/>
      <c r="AI596" s="2034"/>
      <c r="AJ596" s="2034"/>
      <c r="AK596" s="2034"/>
      <c r="AL596" s="2034"/>
      <c r="AM596" s="2035"/>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4"/>
      <c r="Z597" s="2034"/>
      <c r="AA597" s="2034"/>
      <c r="AB597" s="2034"/>
      <c r="AC597" s="2034"/>
      <c r="AD597" s="2034"/>
      <c r="AE597" s="2034"/>
      <c r="AF597" s="2034"/>
      <c r="AG597" s="2034"/>
      <c r="AH597" s="2034"/>
      <c r="AI597" s="2034"/>
      <c r="AJ597" s="2034"/>
      <c r="AK597" s="2034"/>
      <c r="AL597" s="2034"/>
      <c r="AM597" s="2035"/>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31" t="s">
        <v>599</v>
      </c>
      <c r="J603" s="2031"/>
      <c r="K603" s="2031"/>
      <c r="L603" s="2031"/>
      <c r="M603" s="2031"/>
      <c r="N603" s="2031"/>
      <c r="O603" s="2031"/>
      <c r="P603" s="2031"/>
      <c r="Q603" s="2031"/>
      <c r="R603" s="2031"/>
      <c r="S603" s="2031"/>
      <c r="T603" s="2031"/>
      <c r="U603" s="2031"/>
      <c r="V603" s="2031"/>
      <c r="W603" s="2031"/>
      <c r="X603" s="2031"/>
      <c r="Y603" s="2031"/>
      <c r="Z603" s="2031"/>
      <c r="AA603" s="2031"/>
      <c r="AB603" s="2031"/>
      <c r="AC603" s="2031"/>
      <c r="AD603" s="2031"/>
      <c r="AE603" s="2031"/>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9" t="s">
        <v>599</v>
      </c>
      <c r="C605" s="2029"/>
      <c r="D605" s="676"/>
      <c r="E605" s="1913" t="s">
        <v>1512</v>
      </c>
      <c r="F605" s="1913"/>
      <c r="G605" s="1913"/>
      <c r="H605" s="1913"/>
      <c r="I605" s="1913"/>
      <c r="J605" s="1913"/>
      <c r="K605" s="1913"/>
      <c r="L605" s="1913"/>
      <c r="M605" s="1913"/>
      <c r="N605" s="1913"/>
      <c r="O605" s="1913"/>
      <c r="P605" s="1913"/>
      <c r="Q605" s="1913"/>
      <c r="R605" s="1913"/>
      <c r="S605" s="1913"/>
      <c r="T605" s="1913"/>
      <c r="U605" s="1913"/>
      <c r="V605" s="1913"/>
      <c r="W605" s="1913"/>
      <c r="X605" s="1913"/>
      <c r="Y605" s="1913"/>
      <c r="Z605" s="1913"/>
      <c r="AA605" s="1913"/>
      <c r="AB605" s="1913"/>
      <c r="AC605" s="1913"/>
      <c r="AD605" s="1913"/>
      <c r="AE605" s="1913"/>
      <c r="AF605" s="1913"/>
      <c r="AG605" s="1913"/>
      <c r="AH605" s="676"/>
      <c r="AI605" s="676"/>
      <c r="AJ605" s="676"/>
      <c r="AK605" s="676"/>
      <c r="AL605" s="676"/>
      <c r="AN605" s="631"/>
    </row>
    <row r="606" spans="2:47" s="584" customFormat="1" ht="12.75" customHeight="1">
      <c r="B606" s="570"/>
      <c r="C606" s="968"/>
      <c r="D606" s="676"/>
      <c r="E606" s="1913"/>
      <c r="F606" s="1913"/>
      <c r="G606" s="1913"/>
      <c r="H606" s="1913"/>
      <c r="I606" s="1913"/>
      <c r="J606" s="1913"/>
      <c r="K606" s="1913"/>
      <c r="L606" s="1913"/>
      <c r="M606" s="1913"/>
      <c r="N606" s="1913"/>
      <c r="O606" s="1913"/>
      <c r="P606" s="1913"/>
      <c r="Q606" s="1913"/>
      <c r="R606" s="1913"/>
      <c r="S606" s="1913"/>
      <c r="T606" s="1913"/>
      <c r="U606" s="1913"/>
      <c r="V606" s="1913"/>
      <c r="W606" s="1913"/>
      <c r="X606" s="1913"/>
      <c r="Y606" s="1913"/>
      <c r="Z606" s="1913"/>
      <c r="AA606" s="1913"/>
      <c r="AB606" s="1913"/>
      <c r="AC606" s="1913"/>
      <c r="AD606" s="1913"/>
      <c r="AE606" s="1913"/>
      <c r="AF606" s="1913"/>
      <c r="AG606" s="1913"/>
      <c r="AH606" s="676"/>
      <c r="AI606" s="676"/>
      <c r="AJ606" s="676"/>
      <c r="AK606" s="676"/>
      <c r="AL606" s="676"/>
      <c r="AN606" s="631"/>
    </row>
    <row r="607" spans="2:47" s="584" customFormat="1" ht="12.75" customHeight="1">
      <c r="B607" s="570"/>
      <c r="C607" s="968"/>
      <c r="D607" s="676"/>
      <c r="E607" s="1913"/>
      <c r="F607" s="1913"/>
      <c r="G607" s="1913"/>
      <c r="H607" s="1913"/>
      <c r="I607" s="1913"/>
      <c r="J607" s="1913"/>
      <c r="K607" s="1913"/>
      <c r="L607" s="1913"/>
      <c r="M607" s="1913"/>
      <c r="N607" s="1913"/>
      <c r="O607" s="1913"/>
      <c r="P607" s="1913"/>
      <c r="Q607" s="1913"/>
      <c r="R607" s="1913"/>
      <c r="S607" s="1913"/>
      <c r="T607" s="1913"/>
      <c r="U607" s="1913"/>
      <c r="V607" s="1913"/>
      <c r="W607" s="1913"/>
      <c r="X607" s="1913"/>
      <c r="Y607" s="1913"/>
      <c r="Z607" s="1913"/>
      <c r="AA607" s="1913"/>
      <c r="AB607" s="1913"/>
      <c r="AC607" s="1913"/>
      <c r="AD607" s="1913"/>
      <c r="AE607" s="1913"/>
      <c r="AF607" s="1913"/>
      <c r="AG607" s="1913"/>
      <c r="AH607" s="676"/>
      <c r="AI607" s="676"/>
      <c r="AJ607" s="676"/>
      <c r="AK607" s="676"/>
      <c r="AL607" s="676"/>
      <c r="AN607" s="631"/>
    </row>
    <row r="608" spans="2:47" s="584" customFormat="1" ht="12.75" customHeight="1">
      <c r="B608" s="570"/>
      <c r="C608" s="968"/>
      <c r="D608" s="676"/>
      <c r="E608" s="1913"/>
      <c r="F608" s="1913"/>
      <c r="G608" s="1913"/>
      <c r="H608" s="1913"/>
      <c r="I608" s="1913"/>
      <c r="J608" s="1913"/>
      <c r="K608" s="1913"/>
      <c r="L608" s="1913"/>
      <c r="M608" s="1913"/>
      <c r="N608" s="1913"/>
      <c r="O608" s="1913"/>
      <c r="P608" s="1913"/>
      <c r="Q608" s="1913"/>
      <c r="R608" s="1913"/>
      <c r="S608" s="1913"/>
      <c r="T608" s="1913"/>
      <c r="U608" s="1913"/>
      <c r="V608" s="1913"/>
      <c r="W608" s="1913"/>
      <c r="X608" s="1913"/>
      <c r="Y608" s="1913"/>
      <c r="Z608" s="1913"/>
      <c r="AA608" s="1913"/>
      <c r="AB608" s="1913"/>
      <c r="AC608" s="1913"/>
      <c r="AD608" s="1913"/>
      <c r="AE608" s="1913"/>
      <c r="AF608" s="1913"/>
      <c r="AG608" s="191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20">
        <f>VLOOKUP($H$595,$AO$575:$AP$580,2,FALSE)+IF(R595=AO583,0,VLOOKUP($I$603,$AO$602:$AP$604,2,FALSE))</f>
        <v>7</v>
      </c>
      <c r="AK610" s="192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30" t="s">
        <v>1882</v>
      </c>
      <c r="F614" s="2030"/>
      <c r="G614" s="2030"/>
      <c r="H614" s="2030"/>
      <c r="I614" s="2030"/>
      <c r="J614" s="2030"/>
      <c r="K614" s="2030"/>
      <c r="L614" s="2030"/>
      <c r="M614" s="2030"/>
      <c r="N614" s="2030"/>
      <c r="O614" s="2030"/>
      <c r="P614" s="2030"/>
      <c r="Q614" s="2030"/>
      <c r="R614" s="2030"/>
      <c r="S614" s="2030"/>
      <c r="T614" s="2030"/>
      <c r="U614" s="2030"/>
      <c r="V614" s="2030"/>
      <c r="W614" s="2030"/>
      <c r="X614" s="2030"/>
      <c r="Y614" s="2030"/>
      <c r="Z614" s="2030"/>
      <c r="AA614" s="2030"/>
      <c r="AB614" s="2030"/>
      <c r="AC614" s="2030"/>
      <c r="AD614" s="2030"/>
      <c r="AE614" s="573"/>
      <c r="AF614" s="1993" t="s">
        <v>1461</v>
      </c>
      <c r="AG614" s="1993"/>
      <c r="AH614" s="1993"/>
      <c r="AI614" s="1993"/>
      <c r="AJ614" s="1993"/>
      <c r="AK614" s="1993"/>
      <c r="AL614" s="1993"/>
      <c r="AM614" s="584"/>
      <c r="AN614" s="712"/>
    </row>
    <row r="615" spans="1:42" s="584" customFormat="1" ht="12.75" customHeight="1">
      <c r="A615" s="713"/>
      <c r="B615" s="570"/>
      <c r="C615" s="968"/>
      <c r="D615" s="697"/>
      <c r="E615" s="2030"/>
      <c r="F615" s="2030"/>
      <c r="G615" s="2030"/>
      <c r="H615" s="2030"/>
      <c r="I615" s="2030"/>
      <c r="J615" s="2030"/>
      <c r="K615" s="2030"/>
      <c r="L615" s="2030"/>
      <c r="M615" s="2030"/>
      <c r="N615" s="2030"/>
      <c r="O615" s="2030"/>
      <c r="P615" s="2030"/>
      <c r="Q615" s="2030"/>
      <c r="R615" s="2030"/>
      <c r="S615" s="2030"/>
      <c r="T615" s="2030"/>
      <c r="U615" s="2030"/>
      <c r="V615" s="2030"/>
      <c r="W615" s="2030"/>
      <c r="X615" s="2030"/>
      <c r="Y615" s="2030"/>
      <c r="Z615" s="2030"/>
      <c r="AA615" s="2030"/>
      <c r="AB615" s="2030"/>
      <c r="AC615" s="2030"/>
      <c r="AD615" s="2030"/>
      <c r="AE615" s="570"/>
      <c r="AF615" s="570"/>
      <c r="AG615" s="570"/>
      <c r="AH615" s="570"/>
      <c r="AI615" s="570"/>
      <c r="AJ615" s="570"/>
      <c r="AK615" s="570"/>
      <c r="AL615" s="570"/>
      <c r="AN615" s="631"/>
    </row>
    <row r="616" spans="1:42" s="584" customFormat="1" ht="12.75" customHeight="1">
      <c r="B616" s="570"/>
      <c r="C616" s="966"/>
      <c r="D616" s="697"/>
      <c r="E616" s="2030"/>
      <c r="F616" s="2030"/>
      <c r="G616" s="2030"/>
      <c r="H616" s="2030"/>
      <c r="I616" s="2030"/>
      <c r="J616" s="2030"/>
      <c r="K616" s="2030"/>
      <c r="L616" s="2030"/>
      <c r="M616" s="2030"/>
      <c r="N616" s="2030"/>
      <c r="O616" s="2030"/>
      <c r="P616" s="2030"/>
      <c r="Q616" s="2030"/>
      <c r="R616" s="2030"/>
      <c r="S616" s="2030"/>
      <c r="T616" s="2030"/>
      <c r="U616" s="2030"/>
      <c r="V616" s="2030"/>
      <c r="W616" s="2030"/>
      <c r="X616" s="2030"/>
      <c r="Y616" s="2030"/>
      <c r="Z616" s="2030"/>
      <c r="AA616" s="2030"/>
      <c r="AB616" s="2030"/>
      <c r="AC616" s="2030"/>
      <c r="AD616" s="2030"/>
      <c r="AE616" s="570"/>
      <c r="AF616" s="570"/>
      <c r="AG616" s="570"/>
      <c r="AH616" s="570"/>
      <c r="AI616" s="570"/>
      <c r="AJ616" s="570"/>
      <c r="AK616" s="570"/>
      <c r="AL616" s="570"/>
      <c r="AN616" s="631"/>
    </row>
    <row r="617" spans="1:42" s="584" customFormat="1" ht="12.75" customHeight="1">
      <c r="B617" s="570"/>
      <c r="C617" s="966"/>
      <c r="D617" s="697"/>
      <c r="E617" s="2030"/>
      <c r="F617" s="2030"/>
      <c r="G617" s="2030"/>
      <c r="H617" s="2030"/>
      <c r="I617" s="2030"/>
      <c r="J617" s="2030"/>
      <c r="K617" s="2030"/>
      <c r="L617" s="2030"/>
      <c r="M617" s="2030"/>
      <c r="N617" s="2030"/>
      <c r="O617" s="2030"/>
      <c r="P617" s="2030"/>
      <c r="Q617" s="2030"/>
      <c r="R617" s="2030"/>
      <c r="S617" s="2030"/>
      <c r="T617" s="2030"/>
      <c r="U617" s="2030"/>
      <c r="V617" s="2030"/>
      <c r="W617" s="2030"/>
      <c r="X617" s="2030"/>
      <c r="Y617" s="2030"/>
      <c r="Z617" s="2030"/>
      <c r="AA617" s="2030"/>
      <c r="AB617" s="2030"/>
      <c r="AC617" s="2030"/>
      <c r="AD617" s="2030"/>
      <c r="AE617" s="570"/>
      <c r="AF617" s="570"/>
      <c r="AG617" s="570"/>
      <c r="AH617" s="570"/>
      <c r="AI617" s="570"/>
      <c r="AJ617" s="570"/>
      <c r="AK617" s="570"/>
      <c r="AL617" s="570"/>
      <c r="AN617" s="631"/>
    </row>
    <row r="618" spans="1:42" s="584" customFormat="1" ht="12.75" customHeight="1">
      <c r="B618" s="570"/>
      <c r="C618" s="966"/>
      <c r="D618" s="697"/>
      <c r="E618" s="2030"/>
      <c r="F618" s="2030"/>
      <c r="G618" s="2030"/>
      <c r="H618" s="2030"/>
      <c r="I618" s="2030"/>
      <c r="J618" s="2030"/>
      <c r="K618" s="2030"/>
      <c r="L618" s="2030"/>
      <c r="M618" s="2030"/>
      <c r="N618" s="2030"/>
      <c r="O618" s="2030"/>
      <c r="P618" s="2030"/>
      <c r="Q618" s="2030"/>
      <c r="R618" s="2030"/>
      <c r="S618" s="2030"/>
      <c r="T618" s="2030"/>
      <c r="U618" s="2030"/>
      <c r="V618" s="2030"/>
      <c r="W618" s="2030"/>
      <c r="X618" s="2030"/>
      <c r="Y618" s="2030"/>
      <c r="Z618" s="2030"/>
      <c r="AA618" s="2030"/>
      <c r="AB618" s="2030"/>
      <c r="AC618" s="2030"/>
      <c r="AD618" s="2030"/>
      <c r="AE618" s="570"/>
      <c r="AF618" s="570"/>
      <c r="AG618" s="570"/>
      <c r="AH618" s="570"/>
      <c r="AI618" s="570"/>
      <c r="AJ618" s="570"/>
      <c r="AK618" s="570"/>
      <c r="AL618" s="570"/>
      <c r="AN618" s="631"/>
    </row>
    <row r="619" spans="1:42" s="584" customFormat="1" ht="12.75" customHeight="1">
      <c r="B619" s="570"/>
      <c r="C619" s="966"/>
      <c r="D619" s="697"/>
      <c r="E619" s="2030"/>
      <c r="F619" s="2030"/>
      <c r="G619" s="2030"/>
      <c r="H619" s="2030"/>
      <c r="I619" s="2030"/>
      <c r="J619" s="2030"/>
      <c r="K619" s="2030"/>
      <c r="L619" s="2030"/>
      <c r="M619" s="2030"/>
      <c r="N619" s="2030"/>
      <c r="O619" s="2030"/>
      <c r="P619" s="2030"/>
      <c r="Q619" s="2030"/>
      <c r="R619" s="2030"/>
      <c r="S619" s="2030"/>
      <c r="T619" s="2030"/>
      <c r="U619" s="2030"/>
      <c r="V619" s="2030"/>
      <c r="W619" s="2030"/>
      <c r="X619" s="2030"/>
      <c r="Y619" s="2030"/>
      <c r="Z619" s="2030"/>
      <c r="AA619" s="2030"/>
      <c r="AB619" s="2030"/>
      <c r="AC619" s="2030"/>
      <c r="AD619" s="2030"/>
      <c r="AE619" s="570"/>
      <c r="AF619" s="570"/>
      <c r="AG619" s="570"/>
      <c r="AH619" s="570"/>
      <c r="AI619" s="570"/>
      <c r="AJ619" s="570"/>
      <c r="AK619" s="570"/>
      <c r="AL619" s="570"/>
      <c r="AN619" s="631"/>
    </row>
    <row r="620" spans="1:42" s="584" customFormat="1" ht="12.75" customHeight="1">
      <c r="A620" s="671"/>
      <c r="B620" s="650"/>
      <c r="C620" s="975"/>
      <c r="D620" s="697"/>
      <c r="E620" s="2030"/>
      <c r="F620" s="2030"/>
      <c r="G620" s="2030"/>
      <c r="H620" s="2030"/>
      <c r="I620" s="2030"/>
      <c r="J620" s="2030"/>
      <c r="K620" s="2030"/>
      <c r="L620" s="2030"/>
      <c r="M620" s="2030"/>
      <c r="N620" s="2030"/>
      <c r="O620" s="2030"/>
      <c r="P620" s="2030"/>
      <c r="Q620" s="2030"/>
      <c r="R620" s="2030"/>
      <c r="S620" s="2030"/>
      <c r="T620" s="2030"/>
      <c r="U620" s="2030"/>
      <c r="V620" s="2030"/>
      <c r="W620" s="2030"/>
      <c r="X620" s="2030"/>
      <c r="Y620" s="2030"/>
      <c r="Z620" s="2030"/>
      <c r="AA620" s="2030"/>
      <c r="AB620" s="2030"/>
      <c r="AC620" s="2030"/>
      <c r="AD620" s="2030"/>
      <c r="AE620" s="650"/>
      <c r="AF620" s="650"/>
      <c r="AG620" s="650"/>
      <c r="AH620" s="650"/>
      <c r="AI620" s="650"/>
      <c r="AJ620" s="650"/>
      <c r="AK620" s="570"/>
      <c r="AL620" s="570"/>
      <c r="AN620" s="631"/>
    </row>
    <row r="621" spans="1:42" s="584" customFormat="1" ht="12.75" customHeight="1">
      <c r="B621" s="650"/>
      <c r="C621" s="975"/>
      <c r="D621" s="697"/>
      <c r="E621" s="2030"/>
      <c r="F621" s="2030"/>
      <c r="G621" s="2030"/>
      <c r="H621" s="2030"/>
      <c r="I621" s="2030"/>
      <c r="J621" s="2030"/>
      <c r="K621" s="2030"/>
      <c r="L621" s="2030"/>
      <c r="M621" s="2030"/>
      <c r="N621" s="2030"/>
      <c r="O621" s="2030"/>
      <c r="P621" s="2030"/>
      <c r="Q621" s="2030"/>
      <c r="R621" s="2030"/>
      <c r="S621" s="2030"/>
      <c r="T621" s="2030"/>
      <c r="U621" s="2030"/>
      <c r="V621" s="2030"/>
      <c r="W621" s="2030"/>
      <c r="X621" s="2030"/>
      <c r="Y621" s="2030"/>
      <c r="Z621" s="2030"/>
      <c r="AA621" s="2030"/>
      <c r="AB621" s="2030"/>
      <c r="AC621" s="2030"/>
      <c r="AD621" s="203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9" t="s">
        <v>599</v>
      </c>
      <c r="Y623" s="202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3" t="s">
        <v>1517</v>
      </c>
      <c r="AG625" s="1993"/>
      <c r="AH625" s="1993"/>
      <c r="AI625" s="1993"/>
      <c r="AJ625" s="1993"/>
      <c r="AK625" s="1993"/>
      <c r="AL625" s="1993"/>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7" t="s">
        <v>696</v>
      </c>
      <c r="I627" s="193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20">
        <f>VLOOKUP($H$627,$AO$594:$AP$596,2,FALSE)</f>
        <v>3</v>
      </c>
      <c r="AK629" s="1922"/>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3" t="s">
        <v>2414</v>
      </c>
      <c r="F633" s="1913"/>
      <c r="G633" s="1913"/>
      <c r="H633" s="1913"/>
      <c r="I633" s="1913"/>
      <c r="J633" s="1913"/>
      <c r="K633" s="1913"/>
      <c r="L633" s="1913"/>
      <c r="M633" s="1913"/>
      <c r="N633" s="1913"/>
      <c r="O633" s="1913"/>
      <c r="P633" s="1913"/>
      <c r="Q633" s="1913"/>
      <c r="R633" s="1913"/>
      <c r="S633" s="1913"/>
      <c r="T633" s="1913"/>
      <c r="U633" s="1913"/>
      <c r="V633" s="1913"/>
      <c r="W633" s="1913"/>
      <c r="X633" s="1913"/>
      <c r="Y633" s="1913"/>
      <c r="Z633" s="1913"/>
      <c r="AA633" s="1913"/>
      <c r="AB633" s="1913"/>
      <c r="AC633" s="1913"/>
      <c r="AD633" s="1913"/>
      <c r="AE633" s="570"/>
      <c r="AF633" s="1993" t="s">
        <v>1461</v>
      </c>
      <c r="AG633" s="1993"/>
      <c r="AH633" s="1993"/>
      <c r="AI633" s="1993"/>
      <c r="AJ633" s="1993"/>
      <c r="AK633" s="1993"/>
      <c r="AL633" s="1993"/>
      <c r="AN633" s="631"/>
    </row>
    <row r="634" spans="1:42" s="584" customFormat="1" ht="12.75" customHeight="1">
      <c r="B634" s="570"/>
      <c r="C634" s="570"/>
      <c r="D634" s="697"/>
      <c r="E634" s="1913"/>
      <c r="F634" s="1913"/>
      <c r="G634" s="1913"/>
      <c r="H634" s="1913"/>
      <c r="I634" s="1913"/>
      <c r="J634" s="1913"/>
      <c r="K634" s="1913"/>
      <c r="L634" s="1913"/>
      <c r="M634" s="1913"/>
      <c r="N634" s="1913"/>
      <c r="O634" s="1913"/>
      <c r="P634" s="1913"/>
      <c r="Q634" s="1913"/>
      <c r="R634" s="1913"/>
      <c r="S634" s="1913"/>
      <c r="T634" s="1913"/>
      <c r="U634" s="1913"/>
      <c r="V634" s="1913"/>
      <c r="W634" s="1913"/>
      <c r="X634" s="1913"/>
      <c r="Y634" s="1913"/>
      <c r="Z634" s="1913"/>
      <c r="AA634" s="1913"/>
      <c r="AB634" s="1913"/>
      <c r="AC634" s="1913"/>
      <c r="AD634" s="191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3" t="s">
        <v>1517</v>
      </c>
      <c r="AG636" s="1993"/>
      <c r="AH636" s="1993"/>
      <c r="AI636" s="1993"/>
      <c r="AJ636" s="1993"/>
      <c r="AK636" s="1993"/>
      <c r="AL636" s="1993"/>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7" t="s">
        <v>599</v>
      </c>
      <c r="I639" s="193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20">
        <f>VLOOKUP(H639,AT594:AU596,2,FALSE)</f>
        <v>0</v>
      </c>
      <c r="AK641" s="192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3" t="s">
        <v>1527</v>
      </c>
      <c r="F646" s="1913"/>
      <c r="G646" s="1913"/>
      <c r="H646" s="1913"/>
      <c r="I646" s="1913"/>
      <c r="J646" s="1913"/>
      <c r="K646" s="1913"/>
      <c r="L646" s="1913"/>
      <c r="M646" s="1913"/>
      <c r="N646" s="1913"/>
      <c r="O646" s="1913"/>
      <c r="P646" s="1913"/>
      <c r="Q646" s="1913"/>
      <c r="R646" s="1913"/>
      <c r="S646" s="1913"/>
      <c r="T646" s="1913"/>
      <c r="U646" s="1913"/>
      <c r="V646" s="1913"/>
      <c r="W646" s="1913"/>
      <c r="X646" s="1913"/>
      <c r="Y646" s="1913"/>
      <c r="Z646" s="1913"/>
      <c r="AA646" s="1913"/>
      <c r="AB646" s="1913"/>
      <c r="AC646" s="1913"/>
      <c r="AD646" s="570"/>
      <c r="AE646" s="570"/>
      <c r="AF646" s="1993" t="s">
        <v>1487</v>
      </c>
      <c r="AG646" s="1993"/>
      <c r="AH646" s="1993"/>
      <c r="AI646" s="1993"/>
      <c r="AJ646" s="1993"/>
      <c r="AK646" s="1993"/>
      <c r="AL646" s="1993"/>
      <c r="AN646" s="631"/>
    </row>
    <row r="647" spans="1:42" s="584" customFormat="1" ht="12.75" customHeight="1">
      <c r="B647" s="570"/>
      <c r="C647" s="573"/>
      <c r="D647" s="570"/>
      <c r="E647" s="1913"/>
      <c r="F647" s="1913"/>
      <c r="G647" s="1913"/>
      <c r="H647" s="1913"/>
      <c r="I647" s="1913"/>
      <c r="J647" s="1913"/>
      <c r="K647" s="1913"/>
      <c r="L647" s="1913"/>
      <c r="M647" s="1913"/>
      <c r="N647" s="1913"/>
      <c r="O647" s="1913"/>
      <c r="P647" s="1913"/>
      <c r="Q647" s="1913"/>
      <c r="R647" s="1913"/>
      <c r="S647" s="1913"/>
      <c r="T647" s="1913"/>
      <c r="U647" s="1913"/>
      <c r="V647" s="1913"/>
      <c r="W647" s="1913"/>
      <c r="X647" s="1913"/>
      <c r="Y647" s="1913"/>
      <c r="Z647" s="1913"/>
      <c r="AA647" s="1913"/>
      <c r="AB647" s="1913"/>
      <c r="AC647" s="1913"/>
      <c r="AD647" s="570"/>
      <c r="AE647" s="570"/>
      <c r="AF647" s="570"/>
      <c r="AG647" s="570"/>
      <c r="AH647" s="570"/>
      <c r="AI647" s="570"/>
      <c r="AJ647" s="570"/>
      <c r="AK647" s="570"/>
      <c r="AL647" s="570"/>
      <c r="AN647" s="631"/>
    </row>
    <row r="648" spans="1:42" s="584" customFormat="1" ht="12.75" customHeight="1">
      <c r="B648" s="570"/>
      <c r="C648" s="573"/>
      <c r="D648" s="697"/>
      <c r="E648" s="1913"/>
      <c r="F648" s="1913"/>
      <c r="G648" s="1913"/>
      <c r="H648" s="1913"/>
      <c r="I648" s="1913"/>
      <c r="J648" s="1913"/>
      <c r="K648" s="1913"/>
      <c r="L648" s="1913"/>
      <c r="M648" s="1913"/>
      <c r="N648" s="1913"/>
      <c r="O648" s="1913"/>
      <c r="P648" s="1913"/>
      <c r="Q648" s="1913"/>
      <c r="R648" s="1913"/>
      <c r="S648" s="1913"/>
      <c r="T648" s="1913"/>
      <c r="U648" s="1913"/>
      <c r="V648" s="1913"/>
      <c r="W648" s="1913"/>
      <c r="X648" s="1913"/>
      <c r="Y648" s="1913"/>
      <c r="Z648" s="1913"/>
      <c r="AA648" s="1913"/>
      <c r="AB648" s="1913"/>
      <c r="AC648" s="191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3" t="s">
        <v>1528</v>
      </c>
      <c r="F650" s="1913"/>
      <c r="G650" s="1913"/>
      <c r="H650" s="1913"/>
      <c r="I650" s="1913"/>
      <c r="J650" s="1913"/>
      <c r="K650" s="1913"/>
      <c r="L650" s="1913"/>
      <c r="M650" s="1913"/>
      <c r="N650" s="1913"/>
      <c r="O650" s="1913"/>
      <c r="P650" s="1913"/>
      <c r="Q650" s="1913"/>
      <c r="R650" s="1913"/>
      <c r="S650" s="1913"/>
      <c r="T650" s="1913"/>
      <c r="U650" s="1913"/>
      <c r="V650" s="1913"/>
      <c r="W650" s="1913"/>
      <c r="X650" s="1913"/>
      <c r="Y650" s="1913"/>
      <c r="Z650" s="1913"/>
      <c r="AA650" s="1913"/>
      <c r="AB650" s="1913"/>
      <c r="AC650" s="1913"/>
      <c r="AD650" s="570"/>
      <c r="AE650" s="570"/>
      <c r="AF650" s="1993" t="s">
        <v>1508</v>
      </c>
      <c r="AG650" s="1993"/>
      <c r="AH650" s="1993"/>
      <c r="AI650" s="1993"/>
      <c r="AJ650" s="1993"/>
      <c r="AK650" s="1993"/>
      <c r="AL650" s="1993"/>
      <c r="AN650" s="631"/>
    </row>
    <row r="651" spans="1:42" s="584" customFormat="1" ht="12.75" customHeight="1">
      <c r="B651" s="570"/>
      <c r="C651" s="573"/>
      <c r="D651" s="570"/>
      <c r="E651" s="1913"/>
      <c r="F651" s="1913"/>
      <c r="G651" s="1913"/>
      <c r="H651" s="1913"/>
      <c r="I651" s="1913"/>
      <c r="J651" s="1913"/>
      <c r="K651" s="1913"/>
      <c r="L651" s="1913"/>
      <c r="M651" s="1913"/>
      <c r="N651" s="1913"/>
      <c r="O651" s="1913"/>
      <c r="P651" s="1913"/>
      <c r="Q651" s="1913"/>
      <c r="R651" s="1913"/>
      <c r="S651" s="1913"/>
      <c r="T651" s="1913"/>
      <c r="U651" s="1913"/>
      <c r="V651" s="1913"/>
      <c r="W651" s="1913"/>
      <c r="X651" s="1913"/>
      <c r="Y651" s="1913"/>
      <c r="Z651" s="1913"/>
      <c r="AA651" s="1913"/>
      <c r="AB651" s="1913"/>
      <c r="AC651" s="1913"/>
      <c r="AD651" s="570"/>
      <c r="AE651" s="570"/>
      <c r="AF651" s="570"/>
      <c r="AG651" s="570"/>
      <c r="AH651" s="570"/>
      <c r="AI651" s="570"/>
      <c r="AJ651" s="570"/>
      <c r="AK651" s="570"/>
      <c r="AL651" s="570"/>
      <c r="AN651" s="631"/>
    </row>
    <row r="652" spans="1:42" s="584" customFormat="1" ht="15" customHeight="1">
      <c r="B652" s="570"/>
      <c r="C652" s="573"/>
      <c r="D652" s="697"/>
      <c r="E652" s="1913"/>
      <c r="F652" s="1913"/>
      <c r="G652" s="1913"/>
      <c r="H652" s="1913"/>
      <c r="I652" s="1913"/>
      <c r="J652" s="1913"/>
      <c r="K652" s="1913"/>
      <c r="L652" s="1913"/>
      <c r="M652" s="1913"/>
      <c r="N652" s="1913"/>
      <c r="O652" s="1913"/>
      <c r="P652" s="1913"/>
      <c r="Q652" s="1913"/>
      <c r="R652" s="1913"/>
      <c r="S652" s="1913"/>
      <c r="T652" s="1913"/>
      <c r="U652" s="1913"/>
      <c r="V652" s="1913"/>
      <c r="W652" s="1913"/>
      <c r="X652" s="1913"/>
      <c r="Y652" s="1913"/>
      <c r="Z652" s="1913"/>
      <c r="AA652" s="1913"/>
      <c r="AB652" s="1913"/>
      <c r="AC652" s="191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3" t="s">
        <v>1529</v>
      </c>
      <c r="F654" s="1913"/>
      <c r="G654" s="1913"/>
      <c r="H654" s="1913"/>
      <c r="I654" s="1913"/>
      <c r="J654" s="1913"/>
      <c r="K654" s="1913"/>
      <c r="L654" s="1913"/>
      <c r="M654" s="1913"/>
      <c r="N654" s="1913"/>
      <c r="O654" s="1913"/>
      <c r="P654" s="1913"/>
      <c r="Q654" s="1913"/>
      <c r="R654" s="1913"/>
      <c r="S654" s="1913"/>
      <c r="T654" s="1913"/>
      <c r="U654" s="1913"/>
      <c r="V654" s="1913"/>
      <c r="W654" s="1913"/>
      <c r="X654" s="1913"/>
      <c r="Y654" s="1913"/>
      <c r="Z654" s="1913"/>
      <c r="AA654" s="1913"/>
      <c r="AB654" s="1913"/>
      <c r="AC654" s="1913"/>
      <c r="AD654" s="570"/>
      <c r="AE654" s="570"/>
      <c r="AF654" s="1993" t="s">
        <v>1461</v>
      </c>
      <c r="AG654" s="1993"/>
      <c r="AH654" s="1993"/>
      <c r="AI654" s="1993"/>
      <c r="AJ654" s="1993"/>
      <c r="AK654" s="1993"/>
      <c r="AL654" s="1993"/>
      <c r="AN654" s="631"/>
    </row>
    <row r="655" spans="1:42" s="584" customFormat="1" ht="12.75" customHeight="1">
      <c r="B655" s="570"/>
      <c r="C655" s="966"/>
      <c r="D655" s="570"/>
      <c r="E655" s="1913"/>
      <c r="F655" s="1913"/>
      <c r="G655" s="1913"/>
      <c r="H655" s="1913"/>
      <c r="I655" s="1913"/>
      <c r="J655" s="1913"/>
      <c r="K655" s="1913"/>
      <c r="L655" s="1913"/>
      <c r="M655" s="1913"/>
      <c r="N655" s="1913"/>
      <c r="O655" s="1913"/>
      <c r="P655" s="1913"/>
      <c r="Q655" s="1913"/>
      <c r="R655" s="1913"/>
      <c r="S655" s="1913"/>
      <c r="T655" s="1913"/>
      <c r="U655" s="1913"/>
      <c r="V655" s="1913"/>
      <c r="W655" s="1913"/>
      <c r="X655" s="1913"/>
      <c r="Y655" s="1913"/>
      <c r="Z655" s="1913"/>
      <c r="AA655" s="1913"/>
      <c r="AB655" s="1913"/>
      <c r="AC655" s="1913"/>
      <c r="AD655" s="570"/>
      <c r="AE655" s="1993"/>
      <c r="AF655" s="1993"/>
      <c r="AG655" s="1993"/>
      <c r="AH655" s="1993"/>
      <c r="AI655" s="1993"/>
      <c r="AJ655" s="1993"/>
      <c r="AK655" s="1993"/>
      <c r="AL655" s="628"/>
      <c r="AN655" s="631"/>
      <c r="AO655" s="584" t="s">
        <v>599</v>
      </c>
      <c r="AP655" s="707">
        <v>0</v>
      </c>
    </row>
    <row r="656" spans="1:42" s="584" customFormat="1" ht="12.75" customHeight="1">
      <c r="A656" s="713"/>
      <c r="B656" s="570"/>
      <c r="C656" s="570"/>
      <c r="D656" s="697"/>
      <c r="E656" s="1913"/>
      <c r="F656" s="1913"/>
      <c r="G656" s="1913"/>
      <c r="H656" s="1913"/>
      <c r="I656" s="1913"/>
      <c r="J656" s="1913"/>
      <c r="K656" s="1913"/>
      <c r="L656" s="1913"/>
      <c r="M656" s="1913"/>
      <c r="N656" s="1913"/>
      <c r="O656" s="1913"/>
      <c r="P656" s="1913"/>
      <c r="Q656" s="1913"/>
      <c r="R656" s="1913"/>
      <c r="S656" s="1913"/>
      <c r="T656" s="1913"/>
      <c r="U656" s="1913"/>
      <c r="V656" s="1913"/>
      <c r="W656" s="1913"/>
      <c r="X656" s="1913"/>
      <c r="Y656" s="1913"/>
      <c r="Z656" s="1913"/>
      <c r="AA656" s="1913"/>
      <c r="AB656" s="1913"/>
      <c r="AC656" s="1913"/>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3" t="s">
        <v>1530</v>
      </c>
      <c r="F658" s="1913"/>
      <c r="G658" s="1913"/>
      <c r="H658" s="1913"/>
      <c r="I658" s="1913"/>
      <c r="J658" s="1913"/>
      <c r="K658" s="1913"/>
      <c r="L658" s="1913"/>
      <c r="M658" s="1913"/>
      <c r="N658" s="1913"/>
      <c r="O658" s="1913"/>
      <c r="P658" s="1913"/>
      <c r="Q658" s="1913"/>
      <c r="R658" s="1913"/>
      <c r="S658" s="1913"/>
      <c r="T658" s="1913"/>
      <c r="U658" s="1913"/>
      <c r="V658" s="1913"/>
      <c r="W658" s="1913"/>
      <c r="X658" s="1913"/>
      <c r="Y658" s="1913"/>
      <c r="Z658" s="1913"/>
      <c r="AA658" s="1913"/>
      <c r="AB658" s="1913"/>
      <c r="AC658" s="1913"/>
      <c r="AD658" s="570"/>
      <c r="AE658" s="570"/>
      <c r="AF658" s="1993" t="s">
        <v>1508</v>
      </c>
      <c r="AG658" s="1993"/>
      <c r="AH658" s="1993"/>
      <c r="AI658" s="1993"/>
      <c r="AJ658" s="1993"/>
      <c r="AK658" s="1993"/>
      <c r="AL658" s="1993"/>
      <c r="AN658" s="631"/>
    </row>
    <row r="659" spans="1:42" s="584" customFormat="1" ht="12.75" customHeight="1">
      <c r="A659" s="704"/>
      <c r="B659" s="570"/>
      <c r="C659" s="982"/>
      <c r="D659" s="697"/>
      <c r="E659" s="1913"/>
      <c r="F659" s="1913"/>
      <c r="G659" s="1913"/>
      <c r="H659" s="1913"/>
      <c r="I659" s="1913"/>
      <c r="J659" s="1913"/>
      <c r="K659" s="1913"/>
      <c r="L659" s="1913"/>
      <c r="M659" s="1913"/>
      <c r="N659" s="1913"/>
      <c r="O659" s="1913"/>
      <c r="P659" s="1913"/>
      <c r="Q659" s="1913"/>
      <c r="R659" s="1913"/>
      <c r="S659" s="1913"/>
      <c r="T659" s="1913"/>
      <c r="U659" s="1913"/>
      <c r="V659" s="1913"/>
      <c r="W659" s="1913"/>
      <c r="X659" s="1913"/>
      <c r="Y659" s="1913"/>
      <c r="Z659" s="1913"/>
      <c r="AA659" s="1913"/>
      <c r="AB659" s="1913"/>
      <c r="AC659" s="191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3"/>
      <c r="F660" s="1913"/>
      <c r="G660" s="1913"/>
      <c r="H660" s="1913"/>
      <c r="I660" s="1913"/>
      <c r="J660" s="1913"/>
      <c r="K660" s="1913"/>
      <c r="L660" s="1913"/>
      <c r="M660" s="1913"/>
      <c r="N660" s="1913"/>
      <c r="O660" s="1913"/>
      <c r="P660" s="1913"/>
      <c r="Q660" s="1913"/>
      <c r="R660" s="1913"/>
      <c r="S660" s="1913"/>
      <c r="T660" s="1913"/>
      <c r="U660" s="1913"/>
      <c r="V660" s="1913"/>
      <c r="W660" s="1913"/>
      <c r="X660" s="1913"/>
      <c r="Y660" s="1913"/>
      <c r="Z660" s="1913"/>
      <c r="AA660" s="1913"/>
      <c r="AB660" s="1913"/>
      <c r="AC660" s="191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3" t="s">
        <v>1531</v>
      </c>
      <c r="F662" s="1913"/>
      <c r="G662" s="1913"/>
      <c r="H662" s="1913"/>
      <c r="I662" s="1913"/>
      <c r="J662" s="1913"/>
      <c r="K662" s="1913"/>
      <c r="L662" s="1913"/>
      <c r="M662" s="1913"/>
      <c r="N662" s="1913"/>
      <c r="O662" s="1913"/>
      <c r="P662" s="1913"/>
      <c r="Q662" s="1913"/>
      <c r="R662" s="1913"/>
      <c r="S662" s="1913"/>
      <c r="T662" s="1913"/>
      <c r="U662" s="1913"/>
      <c r="V662" s="1913"/>
      <c r="W662" s="1913"/>
      <c r="X662" s="1913"/>
      <c r="Y662" s="1913"/>
      <c r="Z662" s="1913"/>
      <c r="AA662" s="1913"/>
      <c r="AB662" s="1913"/>
      <c r="AC662" s="1913"/>
      <c r="AD662" s="570"/>
      <c r="AE662" s="570"/>
      <c r="AF662" s="1993" t="s">
        <v>1461</v>
      </c>
      <c r="AG662" s="1993"/>
      <c r="AH662" s="1993"/>
      <c r="AI662" s="1993"/>
      <c r="AJ662" s="1993"/>
      <c r="AK662" s="1993"/>
      <c r="AL662" s="1993"/>
      <c r="AM662" s="630"/>
      <c r="AN662" s="631"/>
    </row>
    <row r="663" spans="1:42" s="584" customFormat="1" ht="12.75" customHeight="1">
      <c r="B663" s="570"/>
      <c r="C663" s="966"/>
      <c r="D663" s="697"/>
      <c r="E663" s="1913"/>
      <c r="F663" s="1913"/>
      <c r="G663" s="1913"/>
      <c r="H663" s="1913"/>
      <c r="I663" s="1913"/>
      <c r="J663" s="1913"/>
      <c r="K663" s="1913"/>
      <c r="L663" s="1913"/>
      <c r="M663" s="1913"/>
      <c r="N663" s="1913"/>
      <c r="O663" s="1913"/>
      <c r="P663" s="1913"/>
      <c r="Q663" s="1913"/>
      <c r="R663" s="1913"/>
      <c r="S663" s="1913"/>
      <c r="T663" s="1913"/>
      <c r="U663" s="1913"/>
      <c r="V663" s="1913"/>
      <c r="W663" s="1913"/>
      <c r="X663" s="1913"/>
      <c r="Y663" s="1913"/>
      <c r="Z663" s="1913"/>
      <c r="AA663" s="1913"/>
      <c r="AB663" s="1913"/>
      <c r="AC663" s="1913"/>
      <c r="AD663" s="570"/>
      <c r="AE663" s="570"/>
      <c r="AF663" s="570"/>
      <c r="AG663" s="570"/>
      <c r="AH663" s="570"/>
      <c r="AI663" s="570"/>
      <c r="AJ663" s="570"/>
      <c r="AK663" s="570"/>
      <c r="AL663" s="570"/>
      <c r="AM663" s="630"/>
      <c r="AN663" s="631"/>
    </row>
    <row r="664" spans="1:42" s="584" customFormat="1" ht="12.75" customHeight="1">
      <c r="B664" s="570"/>
      <c r="C664" s="966"/>
      <c r="D664" s="697"/>
      <c r="E664" s="1913"/>
      <c r="F664" s="1913"/>
      <c r="G664" s="1913"/>
      <c r="H664" s="1913"/>
      <c r="I664" s="1913"/>
      <c r="J664" s="1913"/>
      <c r="K664" s="1913"/>
      <c r="L664" s="1913"/>
      <c r="M664" s="1913"/>
      <c r="N664" s="1913"/>
      <c r="O664" s="1913"/>
      <c r="P664" s="1913"/>
      <c r="Q664" s="1913"/>
      <c r="R664" s="1913"/>
      <c r="S664" s="1913"/>
      <c r="T664" s="1913"/>
      <c r="U664" s="1913"/>
      <c r="V664" s="1913"/>
      <c r="W664" s="1913"/>
      <c r="X664" s="1913"/>
      <c r="Y664" s="1913"/>
      <c r="Z664" s="1913"/>
      <c r="AA664" s="1913"/>
      <c r="AB664" s="1913"/>
      <c r="AC664" s="191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3" t="s">
        <v>1532</v>
      </c>
      <c r="F666" s="1913"/>
      <c r="G666" s="1913"/>
      <c r="H666" s="1913"/>
      <c r="I666" s="1913"/>
      <c r="J666" s="1913"/>
      <c r="K666" s="1913"/>
      <c r="L666" s="1913"/>
      <c r="M666" s="1913"/>
      <c r="N666" s="1913"/>
      <c r="O666" s="1913"/>
      <c r="P666" s="1913"/>
      <c r="Q666" s="1913"/>
      <c r="R666" s="1913"/>
      <c r="S666" s="1913"/>
      <c r="T666" s="1913"/>
      <c r="U666" s="1913"/>
      <c r="V666" s="1913"/>
      <c r="W666" s="1913"/>
      <c r="X666" s="1913"/>
      <c r="Y666" s="1913"/>
      <c r="Z666" s="1913"/>
      <c r="AA666" s="1913"/>
      <c r="AB666" s="1913"/>
      <c r="AC666" s="1913"/>
      <c r="AD666" s="570"/>
      <c r="AE666" s="570"/>
      <c r="AF666" s="1993" t="s">
        <v>1517</v>
      </c>
      <c r="AG666" s="1993"/>
      <c r="AH666" s="1993"/>
      <c r="AI666" s="1993"/>
      <c r="AJ666" s="1993"/>
      <c r="AK666" s="1993"/>
      <c r="AL666" s="1993"/>
      <c r="AM666" s="630"/>
      <c r="AN666" s="631"/>
    </row>
    <row r="667" spans="1:42" s="584" customFormat="1" ht="12.75" customHeight="1">
      <c r="A667" s="713"/>
      <c r="B667" s="570"/>
      <c r="C667" s="966"/>
      <c r="D667" s="697"/>
      <c r="E667" s="1913"/>
      <c r="F667" s="1913"/>
      <c r="G667" s="1913"/>
      <c r="H667" s="1913"/>
      <c r="I667" s="1913"/>
      <c r="J667" s="1913"/>
      <c r="K667" s="1913"/>
      <c r="L667" s="1913"/>
      <c r="M667" s="1913"/>
      <c r="N667" s="1913"/>
      <c r="O667" s="1913"/>
      <c r="P667" s="1913"/>
      <c r="Q667" s="1913"/>
      <c r="R667" s="1913"/>
      <c r="S667" s="1913"/>
      <c r="T667" s="1913"/>
      <c r="U667" s="1913"/>
      <c r="V667" s="1913"/>
      <c r="W667" s="1913"/>
      <c r="X667" s="1913"/>
      <c r="Y667" s="1913"/>
      <c r="Z667" s="1913"/>
      <c r="AA667" s="1913"/>
      <c r="AB667" s="1913"/>
      <c r="AC667" s="191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3"/>
      <c r="F668" s="1913"/>
      <c r="G668" s="1913"/>
      <c r="H668" s="1913"/>
      <c r="I668" s="1913"/>
      <c r="J668" s="1913"/>
      <c r="K668" s="1913"/>
      <c r="L668" s="1913"/>
      <c r="M668" s="1913"/>
      <c r="N668" s="1913"/>
      <c r="O668" s="1913"/>
      <c r="P668" s="1913"/>
      <c r="Q668" s="1913"/>
      <c r="R668" s="1913"/>
      <c r="S668" s="1913"/>
      <c r="T668" s="1913"/>
      <c r="U668" s="1913"/>
      <c r="V668" s="1913"/>
      <c r="W668" s="1913"/>
      <c r="X668" s="1913"/>
      <c r="Y668" s="1913"/>
      <c r="Z668" s="1913"/>
      <c r="AA668" s="1913"/>
      <c r="AB668" s="1913"/>
      <c r="AC668" s="191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3" t="s">
        <v>1533</v>
      </c>
      <c r="F670" s="1913"/>
      <c r="G670" s="1913"/>
      <c r="H670" s="1913"/>
      <c r="I670" s="1913"/>
      <c r="J670" s="1913"/>
      <c r="K670" s="1913"/>
      <c r="L670" s="1913"/>
      <c r="M670" s="1913"/>
      <c r="N670" s="1913"/>
      <c r="O670" s="1913"/>
      <c r="P670" s="1913"/>
      <c r="Q670" s="1913"/>
      <c r="R670" s="1913"/>
      <c r="S670" s="1913"/>
      <c r="T670" s="1913"/>
      <c r="U670" s="1913"/>
      <c r="V670" s="1913"/>
      <c r="W670" s="1913"/>
      <c r="X670" s="1913"/>
      <c r="Y670" s="1913"/>
      <c r="Z670" s="1913"/>
      <c r="AA670" s="1913"/>
      <c r="AB670" s="1913"/>
      <c r="AC670" s="1913"/>
      <c r="AD670" s="570"/>
      <c r="AE670" s="570"/>
      <c r="AF670" s="1993" t="s">
        <v>1534</v>
      </c>
      <c r="AG670" s="1993"/>
      <c r="AH670" s="1993"/>
      <c r="AI670" s="1993"/>
      <c r="AJ670" s="1993"/>
      <c r="AK670" s="1993"/>
      <c r="AL670" s="1993"/>
      <c r="AM670" s="630"/>
      <c r="AN670" s="631"/>
      <c r="AO670" s="645" t="s">
        <v>696</v>
      </c>
      <c r="AP670" s="584">
        <v>3</v>
      </c>
    </row>
    <row r="671" spans="1:42" s="584" customFormat="1" ht="12.75" customHeight="1">
      <c r="A671" s="713"/>
      <c r="B671" s="570"/>
      <c r="C671" s="966"/>
      <c r="D671" s="697"/>
      <c r="E671" s="1913"/>
      <c r="F671" s="1913"/>
      <c r="G671" s="1913"/>
      <c r="H671" s="1913"/>
      <c r="I671" s="1913"/>
      <c r="J671" s="1913"/>
      <c r="K671" s="1913"/>
      <c r="L671" s="1913"/>
      <c r="M671" s="1913"/>
      <c r="N671" s="1913"/>
      <c r="O671" s="1913"/>
      <c r="P671" s="1913"/>
      <c r="Q671" s="1913"/>
      <c r="R671" s="1913"/>
      <c r="S671" s="1913"/>
      <c r="T671" s="1913"/>
      <c r="U671" s="1913"/>
      <c r="V671" s="1913"/>
      <c r="W671" s="1913"/>
      <c r="X671" s="1913"/>
      <c r="Y671" s="1913"/>
      <c r="Z671" s="1913"/>
      <c r="AA671" s="1913"/>
      <c r="AB671" s="1913"/>
      <c r="AC671" s="1913"/>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3"/>
      <c r="F672" s="1913"/>
      <c r="G672" s="1913"/>
      <c r="H672" s="1913"/>
      <c r="I672" s="1913"/>
      <c r="J672" s="1913"/>
      <c r="K672" s="1913"/>
      <c r="L672" s="1913"/>
      <c r="M672" s="1913"/>
      <c r="N672" s="1913"/>
      <c r="O672" s="1913"/>
      <c r="P672" s="1913"/>
      <c r="Q672" s="1913"/>
      <c r="R672" s="1913"/>
      <c r="S672" s="1913"/>
      <c r="T672" s="1913"/>
      <c r="U672" s="1913"/>
      <c r="V672" s="1913"/>
      <c r="W672" s="1913"/>
      <c r="X672" s="1913"/>
      <c r="Y672" s="1913"/>
      <c r="Z672" s="1913"/>
      <c r="AA672" s="1913"/>
      <c r="AB672" s="1913"/>
      <c r="AC672" s="191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7" t="s">
        <v>696</v>
      </c>
      <c r="I674" s="193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20">
        <f>VLOOKUP($H$674,$AO$622:$AP$629,2,FALSE)</f>
        <v>5</v>
      </c>
      <c r="AK676" s="192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46</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46</v>
      </c>
    </row>
    <row r="680" spans="1:51" s="584" customFormat="1" ht="12.75" customHeight="1">
      <c r="A680" s="713"/>
      <c r="B680" s="570"/>
      <c r="C680" s="983"/>
      <c r="D680" s="697" t="s">
        <v>696</v>
      </c>
      <c r="E680" s="2028" t="s">
        <v>2550</v>
      </c>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570"/>
      <c r="AD680" s="570"/>
      <c r="AE680" s="570"/>
      <c r="AF680" s="1993" t="s">
        <v>1461</v>
      </c>
      <c r="AG680" s="1993"/>
      <c r="AH680" s="1993"/>
      <c r="AI680" s="1993"/>
      <c r="AJ680" s="1993"/>
      <c r="AK680" s="1993"/>
      <c r="AL680" s="1993"/>
      <c r="AN680" s="631"/>
      <c r="AW680" s="22" t="s">
        <v>2545</v>
      </c>
      <c r="AX680" s="584">
        <f>Application!CC632</f>
        <v>0</v>
      </c>
    </row>
    <row r="681" spans="1:51" s="584" customFormat="1" ht="12.75" customHeight="1">
      <c r="A681" s="713"/>
      <c r="B681" s="570"/>
      <c r="C681" s="983"/>
      <c r="D681" s="697"/>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13" t="s">
        <v>2451</v>
      </c>
      <c r="F683" s="1913"/>
      <c r="G683" s="1913"/>
      <c r="H683" s="1913"/>
      <c r="I683" s="1913"/>
      <c r="J683" s="1913"/>
      <c r="K683" s="1913"/>
      <c r="L683" s="1913"/>
      <c r="M683" s="1913"/>
      <c r="N683" s="1913"/>
      <c r="O683" s="1913"/>
      <c r="P683" s="1913"/>
      <c r="Q683" s="1913"/>
      <c r="R683" s="1913"/>
      <c r="S683" s="1913"/>
      <c r="T683" s="1913"/>
      <c r="U683" s="1913"/>
      <c r="V683" s="1913"/>
      <c r="W683" s="1913"/>
      <c r="X683" s="1913"/>
      <c r="Y683" s="1913"/>
      <c r="Z683" s="1913"/>
      <c r="AA683" s="1913"/>
      <c r="AB683" s="1913"/>
      <c r="AC683" s="570"/>
      <c r="AD683" s="570"/>
      <c r="AE683" s="570"/>
      <c r="AF683" s="1993" t="s">
        <v>1461</v>
      </c>
      <c r="AG683" s="1993"/>
      <c r="AH683" s="1993"/>
      <c r="AI683" s="1993"/>
      <c r="AJ683" s="1993"/>
      <c r="AK683" s="1993"/>
      <c r="AL683" s="1993"/>
      <c r="AN683" s="631"/>
      <c r="AW683" s="22" t="s">
        <v>2548</v>
      </c>
      <c r="AX683" s="584">
        <f>AX680+AX681+AX682</f>
        <v>0</v>
      </c>
    </row>
    <row r="684" spans="1:51" s="584" customFormat="1" ht="12.75" customHeight="1">
      <c r="B684" s="570"/>
      <c r="C684" s="975"/>
      <c r="D684" s="697"/>
      <c r="E684" s="1913"/>
      <c r="F684" s="1913"/>
      <c r="G684" s="1913"/>
      <c r="H684" s="1913"/>
      <c r="I684" s="1913"/>
      <c r="J684" s="1913"/>
      <c r="K684" s="1913"/>
      <c r="L684" s="1913"/>
      <c r="M684" s="1913"/>
      <c r="N684" s="1913"/>
      <c r="O684" s="1913"/>
      <c r="P684" s="1913"/>
      <c r="Q684" s="1913"/>
      <c r="R684" s="1913"/>
      <c r="S684" s="1913"/>
      <c r="T684" s="1913"/>
      <c r="U684" s="1913"/>
      <c r="V684" s="1913"/>
      <c r="W684" s="1913"/>
      <c r="X684" s="1913"/>
      <c r="Y684" s="1913"/>
      <c r="Z684" s="1913"/>
      <c r="AA684" s="1913"/>
      <c r="AB684" s="1913"/>
      <c r="AC684" s="570"/>
      <c r="AD684" s="570"/>
      <c r="AE684" s="650"/>
      <c r="AF684" s="570"/>
      <c r="AG684" s="570"/>
      <c r="AH684" s="570"/>
      <c r="AI684" s="570"/>
      <c r="AJ684" s="570"/>
      <c r="AK684" s="570"/>
      <c r="AL684" s="570"/>
      <c r="AN684" s="631"/>
      <c r="AO684" s="1928" t="b">
        <f>IF(Application!D211="Special Needs",IF(AY684&gt;=0.25,TRUE,FALSE),IF(AX684&gt;=0.25,TRUE,FALSE))</f>
        <v>0</v>
      </c>
      <c r="AP684" s="1928"/>
      <c r="AW684" s="22" t="s">
        <v>2549</v>
      </c>
      <c r="AX684" s="584">
        <f>IFERROR(AX683/AX679,0)</f>
        <v>0</v>
      </c>
      <c r="AY684" s="584">
        <f>IFERROR(AX683/(AX679-AX678),0)</f>
        <v>0</v>
      </c>
    </row>
    <row r="685" spans="1:51" s="584" customFormat="1" ht="12.75" customHeight="1">
      <c r="B685" s="570"/>
      <c r="C685" s="975"/>
      <c r="E685" s="1913"/>
      <c r="F685" s="1913"/>
      <c r="G685" s="1913"/>
      <c r="H685" s="1913"/>
      <c r="I685" s="1913"/>
      <c r="J685" s="1913"/>
      <c r="K685" s="1913"/>
      <c r="L685" s="1913"/>
      <c r="M685" s="1913"/>
      <c r="N685" s="1913"/>
      <c r="O685" s="1913"/>
      <c r="P685" s="1913"/>
      <c r="Q685" s="1913"/>
      <c r="R685" s="1913"/>
      <c r="S685" s="1913"/>
      <c r="T685" s="1913"/>
      <c r="U685" s="1913"/>
      <c r="V685" s="1913"/>
      <c r="W685" s="1913"/>
      <c r="X685" s="1913"/>
      <c r="Y685" s="1913"/>
      <c r="Z685" s="1913"/>
      <c r="AA685" s="1913"/>
      <c r="AB685" s="191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3"/>
      <c r="F686" s="1913"/>
      <c r="G686" s="1913"/>
      <c r="H686" s="1913"/>
      <c r="I686" s="1913"/>
      <c r="J686" s="1913"/>
      <c r="K686" s="1913"/>
      <c r="L686" s="1913"/>
      <c r="M686" s="1913"/>
      <c r="N686" s="1913"/>
      <c r="O686" s="1913"/>
      <c r="P686" s="1913"/>
      <c r="Q686" s="1913"/>
      <c r="R686" s="1913"/>
      <c r="S686" s="1913"/>
      <c r="T686" s="1913"/>
      <c r="U686" s="1913"/>
      <c r="V686" s="1913"/>
      <c r="W686" s="1913"/>
      <c r="X686" s="1913"/>
      <c r="Y686" s="1913"/>
      <c r="Z686" s="1913"/>
      <c r="AA686" s="1913"/>
      <c r="AB686" s="1913"/>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13" t="s">
        <v>2452</v>
      </c>
      <c r="F688" s="1913"/>
      <c r="G688" s="1913"/>
      <c r="H688" s="1913"/>
      <c r="I688" s="1913"/>
      <c r="J688" s="1913"/>
      <c r="K688" s="1913"/>
      <c r="L688" s="1913"/>
      <c r="M688" s="1913"/>
      <c r="N688" s="1913"/>
      <c r="O688" s="1913"/>
      <c r="P688" s="1913"/>
      <c r="Q688" s="1913"/>
      <c r="R688" s="1913"/>
      <c r="S688" s="1913"/>
      <c r="T688" s="1913"/>
      <c r="U688" s="1913"/>
      <c r="V688" s="1913"/>
      <c r="W688" s="1913"/>
      <c r="X688" s="1913"/>
      <c r="Y688" s="1913"/>
      <c r="Z688" s="1913"/>
      <c r="AA688" s="1913"/>
      <c r="AB688" s="1913"/>
      <c r="AC688" s="570"/>
      <c r="AD688" s="570"/>
      <c r="AE688" s="570"/>
      <c r="AF688" s="1993" t="s">
        <v>1517</v>
      </c>
      <c r="AG688" s="1993"/>
      <c r="AH688" s="1993"/>
      <c r="AI688" s="1993"/>
      <c r="AJ688" s="1993"/>
      <c r="AK688" s="1993"/>
      <c r="AL688" s="1993"/>
      <c r="AN688" s="631"/>
      <c r="AO688" s="645" t="s">
        <v>517</v>
      </c>
      <c r="AP688" s="584">
        <v>1</v>
      </c>
    </row>
    <row r="689" spans="1:42" s="584" customFormat="1" ht="12" customHeight="1">
      <c r="B689" s="570"/>
      <c r="C689" s="966"/>
      <c r="E689" s="1913"/>
      <c r="F689" s="1913"/>
      <c r="G689" s="1913"/>
      <c r="H689" s="1913"/>
      <c r="I689" s="1913"/>
      <c r="J689" s="1913"/>
      <c r="K689" s="1913"/>
      <c r="L689" s="1913"/>
      <c r="M689" s="1913"/>
      <c r="N689" s="1913"/>
      <c r="O689" s="1913"/>
      <c r="P689" s="1913"/>
      <c r="Q689" s="1913"/>
      <c r="R689" s="1913"/>
      <c r="S689" s="1913"/>
      <c r="T689" s="1913"/>
      <c r="U689" s="1913"/>
      <c r="V689" s="1913"/>
      <c r="W689" s="1913"/>
      <c r="X689" s="1913"/>
      <c r="Y689" s="1913"/>
      <c r="Z689" s="1913"/>
      <c r="AA689" s="1913"/>
      <c r="AB689" s="1913"/>
      <c r="AC689" s="570"/>
      <c r="AD689" s="570"/>
      <c r="AE689" s="650"/>
      <c r="AF689" s="570"/>
      <c r="AG689" s="570"/>
      <c r="AH689" s="570"/>
      <c r="AI689" s="570"/>
      <c r="AJ689" s="570"/>
      <c r="AK689" s="570"/>
      <c r="AL689" s="570"/>
      <c r="AN689" s="631"/>
    </row>
    <row r="690" spans="1:42" s="584" customFormat="1" ht="12" customHeight="1">
      <c r="B690" s="570"/>
      <c r="C690" s="966"/>
      <c r="D690" s="570"/>
      <c r="E690" s="1913"/>
      <c r="F690" s="1913"/>
      <c r="G690" s="1913"/>
      <c r="H690" s="1913"/>
      <c r="I690" s="1913"/>
      <c r="J690" s="1913"/>
      <c r="K690" s="1913"/>
      <c r="L690" s="1913"/>
      <c r="M690" s="1913"/>
      <c r="N690" s="1913"/>
      <c r="O690" s="1913"/>
      <c r="P690" s="1913"/>
      <c r="Q690" s="1913"/>
      <c r="R690" s="1913"/>
      <c r="S690" s="1913"/>
      <c r="T690" s="1913"/>
      <c r="U690" s="1913"/>
      <c r="V690" s="1913"/>
      <c r="W690" s="1913"/>
      <c r="X690" s="1913"/>
      <c r="Y690" s="1913"/>
      <c r="Z690" s="1913"/>
      <c r="AA690" s="1913"/>
      <c r="AB690" s="1913"/>
      <c r="AC690" s="570"/>
      <c r="AD690" s="570"/>
      <c r="AE690" s="650"/>
      <c r="AF690" s="570"/>
      <c r="AG690" s="570"/>
      <c r="AH690" s="570"/>
      <c r="AI690" s="570"/>
      <c r="AJ690" s="570"/>
      <c r="AK690" s="570"/>
      <c r="AL690" s="570"/>
      <c r="AN690" s="631"/>
    </row>
    <row r="691" spans="1:42" s="584" customFormat="1" ht="12" customHeight="1">
      <c r="B691" s="570"/>
      <c r="C691" s="966"/>
      <c r="D691" s="570"/>
      <c r="E691" s="1913"/>
      <c r="F691" s="1913"/>
      <c r="G691" s="1913"/>
      <c r="H691" s="1913"/>
      <c r="I691" s="1913"/>
      <c r="J691" s="1913"/>
      <c r="K691" s="1913"/>
      <c r="L691" s="1913"/>
      <c r="M691" s="1913"/>
      <c r="N691" s="1913"/>
      <c r="O691" s="1913"/>
      <c r="P691" s="1913"/>
      <c r="Q691" s="1913"/>
      <c r="R691" s="1913"/>
      <c r="S691" s="1913"/>
      <c r="T691" s="1913"/>
      <c r="U691" s="1913"/>
      <c r="V691" s="1913"/>
      <c r="W691" s="1913"/>
      <c r="X691" s="1913"/>
      <c r="Y691" s="1913"/>
      <c r="Z691" s="1913"/>
      <c r="AA691" s="1913"/>
      <c r="AB691" s="1913"/>
      <c r="AC691" s="570"/>
      <c r="AD691" s="570"/>
      <c r="AE691" s="650"/>
      <c r="AF691" s="570"/>
      <c r="AG691" s="570"/>
      <c r="AH691" s="570"/>
      <c r="AI691" s="570"/>
      <c r="AJ691" s="570"/>
      <c r="AK691" s="570"/>
      <c r="AL691" s="570"/>
      <c r="AN691" s="631"/>
    </row>
    <row r="692" spans="1:42" s="604" customFormat="1" ht="13" customHeight="1">
      <c r="A692" s="584"/>
      <c r="B692" s="570"/>
      <c r="C692" s="966"/>
      <c r="D692" s="570"/>
      <c r="E692" s="1913"/>
      <c r="F692" s="1913"/>
      <c r="G692" s="1913"/>
      <c r="H692" s="1913"/>
      <c r="I692" s="1913"/>
      <c r="J692" s="1913"/>
      <c r="K692" s="1913"/>
      <c r="L692" s="1913"/>
      <c r="M692" s="1913"/>
      <c r="N692" s="1913"/>
      <c r="O692" s="1913"/>
      <c r="P692" s="1913"/>
      <c r="Q692" s="1913"/>
      <c r="R692" s="1913"/>
      <c r="S692" s="1913"/>
      <c r="T692" s="1913"/>
      <c r="U692" s="1913"/>
      <c r="V692" s="1913"/>
      <c r="W692" s="1913"/>
      <c r="X692" s="1913"/>
      <c r="Y692" s="1913"/>
      <c r="Z692" s="1913"/>
      <c r="AA692" s="1913"/>
      <c r="AB692" s="1913"/>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3" t="s">
        <v>1881</v>
      </c>
      <c r="F694" s="1913"/>
      <c r="G694" s="1913"/>
      <c r="H694" s="1913"/>
      <c r="I694" s="1913"/>
      <c r="J694" s="1913"/>
      <c r="K694" s="1913"/>
      <c r="L694" s="1913"/>
      <c r="M694" s="1913"/>
      <c r="N694" s="1913"/>
      <c r="O694" s="1913"/>
      <c r="P694" s="1913"/>
      <c r="Q694" s="1913"/>
      <c r="R694" s="1913"/>
      <c r="S694" s="1913"/>
      <c r="T694" s="1913"/>
      <c r="U694" s="1913"/>
      <c r="V694" s="1913"/>
      <c r="W694" s="1913"/>
      <c r="X694" s="1913"/>
      <c r="Y694" s="1913"/>
      <c r="Z694" s="1913"/>
      <c r="AA694" s="1913"/>
      <c r="AB694" s="1913"/>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3"/>
      <c r="F695" s="1913"/>
      <c r="G695" s="1913"/>
      <c r="H695" s="1913"/>
      <c r="I695" s="1913"/>
      <c r="J695" s="1913"/>
      <c r="K695" s="1913"/>
      <c r="L695" s="1913"/>
      <c r="M695" s="1913"/>
      <c r="N695" s="1913"/>
      <c r="O695" s="1913"/>
      <c r="P695" s="1913"/>
      <c r="Q695" s="1913"/>
      <c r="R695" s="1913"/>
      <c r="S695" s="1913"/>
      <c r="T695" s="1913"/>
      <c r="U695" s="1913"/>
      <c r="V695" s="1913"/>
      <c r="W695" s="1913"/>
      <c r="X695" s="1913"/>
      <c r="Y695" s="1913"/>
      <c r="Z695" s="1913"/>
      <c r="AA695" s="1913"/>
      <c r="AB695" s="191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3"/>
      <c r="F696" s="1913"/>
      <c r="G696" s="1913"/>
      <c r="H696" s="1913"/>
      <c r="I696" s="1913"/>
      <c r="J696" s="1913"/>
      <c r="K696" s="1913"/>
      <c r="L696" s="1913"/>
      <c r="M696" s="1913"/>
      <c r="N696" s="1913"/>
      <c r="O696" s="1913"/>
      <c r="P696" s="1913"/>
      <c r="Q696" s="1913"/>
      <c r="R696" s="1913"/>
      <c r="S696" s="1913"/>
      <c r="T696" s="1913"/>
      <c r="U696" s="1913"/>
      <c r="V696" s="1913"/>
      <c r="W696" s="1913"/>
      <c r="X696" s="1913"/>
      <c r="Y696" s="1913"/>
      <c r="Z696" s="1913"/>
      <c r="AA696" s="1913"/>
      <c r="AB696" s="191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7" t="s">
        <v>696</v>
      </c>
      <c r="I698" s="193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20">
        <f>VLOOKUP($H$698,$AO$692:$AP$695,2,FALSE)</f>
        <v>3</v>
      </c>
      <c r="AK700" s="1922"/>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6" t="s">
        <v>1883</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70"/>
      <c r="AD704" s="570"/>
      <c r="AE704" s="570"/>
      <c r="AF704" s="1993" t="s">
        <v>1461</v>
      </c>
      <c r="AG704" s="1993"/>
      <c r="AH704" s="1993"/>
      <c r="AI704" s="1993"/>
      <c r="AJ704" s="1993"/>
      <c r="AK704" s="1993"/>
      <c r="AL704" s="1993"/>
      <c r="AM704" s="584"/>
      <c r="AN704" s="718"/>
      <c r="AP704" s="604" t="s">
        <v>1541</v>
      </c>
    </row>
    <row r="705" spans="1:52" s="604" customFormat="1" ht="11.9" customHeight="1">
      <c r="A705" s="584"/>
      <c r="B705" s="570"/>
      <c r="C705" s="968"/>
      <c r="D705" s="697"/>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7" t="s">
        <v>1544</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70"/>
      <c r="AD708" s="570"/>
      <c r="AE708" s="570"/>
      <c r="AF708" s="1993" t="s">
        <v>1517</v>
      </c>
      <c r="AG708" s="1993"/>
      <c r="AH708" s="1993"/>
      <c r="AI708" s="1993"/>
      <c r="AJ708" s="1993"/>
      <c r="AK708" s="1993"/>
      <c r="AL708" s="1993"/>
      <c r="AM708" s="584"/>
      <c r="AN708" s="719"/>
    </row>
    <row r="709" spans="1:52" s="604" customFormat="1" ht="12.75" customHeight="1">
      <c r="A709" s="584"/>
      <c r="B709" s="570"/>
      <c r="C709" s="968"/>
      <c r="D709" s="570"/>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7" t="s">
        <v>599</v>
      </c>
      <c r="I712" s="193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20">
        <f>VLOOKUP($H$712,$AP$709:$AQ$711,2,FALSE)</f>
        <v>0</v>
      </c>
      <c r="AK714" s="1922"/>
      <c r="AL714" s="629"/>
      <c r="AM714" s="584"/>
      <c r="AN714" s="718"/>
      <c r="AP714" s="1920"/>
      <c r="AQ714" s="192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696</v>
      </c>
      <c r="E718" s="1913" t="s">
        <v>1884</v>
      </c>
      <c r="F718" s="1913"/>
      <c r="G718" s="1913"/>
      <c r="H718" s="1913"/>
      <c r="I718" s="1913"/>
      <c r="J718" s="1913"/>
      <c r="K718" s="1913"/>
      <c r="L718" s="1913"/>
      <c r="M718" s="1913"/>
      <c r="N718" s="1913"/>
      <c r="O718" s="1913"/>
      <c r="P718" s="1913"/>
      <c r="Q718" s="1913"/>
      <c r="R718" s="1913"/>
      <c r="S718" s="1913"/>
      <c r="T718" s="1913"/>
      <c r="U718" s="1913"/>
      <c r="V718" s="1913"/>
      <c r="W718" s="1913"/>
      <c r="X718" s="1913"/>
      <c r="Y718" s="1913"/>
      <c r="Z718" s="1913"/>
      <c r="AA718" s="1913"/>
      <c r="AB718" s="1913"/>
      <c r="AC718" s="570"/>
      <c r="AD718" s="570"/>
      <c r="AE718" s="570"/>
      <c r="AF718" s="1993" t="s">
        <v>1461</v>
      </c>
      <c r="AG718" s="1993"/>
      <c r="AH718" s="1993"/>
      <c r="AI718" s="1993"/>
      <c r="AJ718" s="1993"/>
      <c r="AK718" s="1993"/>
      <c r="AL718" s="1993"/>
      <c r="AM718" s="584"/>
      <c r="AN718" s="718"/>
      <c r="AT718" s="14"/>
      <c r="AU718" s="14"/>
      <c r="AV718" s="14"/>
      <c r="AW718" s="14"/>
      <c r="AX718" s="14"/>
      <c r="AY718" s="14"/>
      <c r="AZ718" s="14"/>
    </row>
    <row r="719" spans="1:52" s="604" customFormat="1" ht="13">
      <c r="A719" s="584"/>
      <c r="B719" s="570"/>
      <c r="C719" s="968"/>
      <c r="D719" s="697"/>
      <c r="E719" s="1913"/>
      <c r="F719" s="1913"/>
      <c r="G719" s="1913"/>
      <c r="H719" s="1913"/>
      <c r="I719" s="1913"/>
      <c r="J719" s="1913"/>
      <c r="K719" s="1913"/>
      <c r="L719" s="1913"/>
      <c r="M719" s="1913"/>
      <c r="N719" s="1913"/>
      <c r="O719" s="1913"/>
      <c r="P719" s="1913"/>
      <c r="Q719" s="1913"/>
      <c r="R719" s="1913"/>
      <c r="S719" s="1913"/>
      <c r="T719" s="1913"/>
      <c r="U719" s="1913"/>
      <c r="V719" s="1913"/>
      <c r="W719" s="1913"/>
      <c r="X719" s="1913"/>
      <c r="Y719" s="1913"/>
      <c r="Z719" s="1913"/>
      <c r="AA719" s="1913"/>
      <c r="AB719" s="191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3" t="s">
        <v>1548</v>
      </c>
      <c r="F721" s="1913"/>
      <c r="G721" s="1913"/>
      <c r="H721" s="1913"/>
      <c r="I721" s="1913"/>
      <c r="J721" s="1913"/>
      <c r="K721" s="1913"/>
      <c r="L721" s="1913"/>
      <c r="M721" s="1913"/>
      <c r="N721" s="1913"/>
      <c r="O721" s="1913"/>
      <c r="P721" s="1913"/>
      <c r="Q721" s="1913"/>
      <c r="R721" s="1913"/>
      <c r="S721" s="1913"/>
      <c r="T721" s="1913"/>
      <c r="U721" s="1913"/>
      <c r="V721" s="1913"/>
      <c r="W721" s="1913"/>
      <c r="X721" s="1913"/>
      <c r="Y721" s="1913"/>
      <c r="Z721" s="1913"/>
      <c r="AA721" s="1913"/>
      <c r="AB721" s="1913"/>
      <c r="AC721" s="570"/>
      <c r="AD721" s="570"/>
      <c r="AE721" s="570"/>
      <c r="AF721" s="1993" t="s">
        <v>1517</v>
      </c>
      <c r="AG721" s="1993"/>
      <c r="AH721" s="1993"/>
      <c r="AI721" s="1993"/>
      <c r="AJ721" s="1993"/>
      <c r="AK721" s="1993"/>
      <c r="AL721" s="1993"/>
      <c r="AM721" s="584"/>
      <c r="AN721" s="718"/>
      <c r="AT721" s="14"/>
      <c r="AU721" s="14"/>
      <c r="AV721" s="14"/>
      <c r="AW721" s="14"/>
      <c r="AX721" s="14"/>
      <c r="AY721" s="14"/>
      <c r="AZ721" s="14"/>
    </row>
    <row r="722" spans="1:81" s="604" customFormat="1" ht="13">
      <c r="A722" s="584"/>
      <c r="B722" s="570"/>
      <c r="C722" s="968"/>
      <c r="D722" s="570"/>
      <c r="E722" s="1913"/>
      <c r="F722" s="1913"/>
      <c r="G722" s="1913"/>
      <c r="H722" s="1913"/>
      <c r="I722" s="1913"/>
      <c r="J722" s="1913"/>
      <c r="K722" s="1913"/>
      <c r="L722" s="1913"/>
      <c r="M722" s="1913"/>
      <c r="N722" s="1913"/>
      <c r="O722" s="1913"/>
      <c r="P722" s="1913"/>
      <c r="Q722" s="1913"/>
      <c r="R722" s="1913"/>
      <c r="S722" s="1913"/>
      <c r="T722" s="1913"/>
      <c r="U722" s="1913"/>
      <c r="V722" s="1913"/>
      <c r="W722" s="1913"/>
      <c r="X722" s="1913"/>
      <c r="Y722" s="1913"/>
      <c r="Z722" s="1913"/>
      <c r="AA722" s="1913"/>
      <c r="AB722" s="191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7" t="s">
        <v>599</v>
      </c>
      <c r="I724" s="193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20">
        <f>VLOOKUP($H$724,$AO$655:$AP$657,2,FALSE)</f>
        <v>0</v>
      </c>
      <c r="AK726" s="192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696</v>
      </c>
      <c r="E730" s="1913" t="s">
        <v>1551</v>
      </c>
      <c r="F730" s="1913"/>
      <c r="G730" s="1913"/>
      <c r="H730" s="1913"/>
      <c r="I730" s="1913"/>
      <c r="J730" s="1913"/>
      <c r="K730" s="1913"/>
      <c r="L730" s="1913"/>
      <c r="M730" s="1913"/>
      <c r="N730" s="1913"/>
      <c r="O730" s="1913"/>
      <c r="P730" s="1913"/>
      <c r="Q730" s="1913"/>
      <c r="R730" s="1913"/>
      <c r="S730" s="1913"/>
      <c r="T730" s="1913"/>
      <c r="U730" s="1913"/>
      <c r="V730" s="1913"/>
      <c r="W730" s="1913"/>
      <c r="X730" s="1913"/>
      <c r="Y730" s="1913"/>
      <c r="Z730" s="1913"/>
      <c r="AA730" s="1913"/>
      <c r="AB730" s="1913"/>
      <c r="AC730" s="570"/>
      <c r="AD730" s="570"/>
      <c r="AE730" s="570"/>
      <c r="AF730" s="1993" t="s">
        <v>1461</v>
      </c>
      <c r="AG730" s="1993"/>
      <c r="AH730" s="1993"/>
      <c r="AI730" s="1993"/>
      <c r="AJ730" s="1993"/>
      <c r="AK730" s="1993"/>
      <c r="AL730" s="1993"/>
      <c r="AM730" s="584"/>
      <c r="AN730" s="718"/>
      <c r="AT730" s="14"/>
      <c r="AU730" s="14"/>
      <c r="AV730" s="14"/>
      <c r="AW730" s="14"/>
      <c r="AX730" s="14"/>
      <c r="AY730" s="14"/>
      <c r="AZ730" s="14"/>
    </row>
    <row r="731" spans="1:81" s="604" customFormat="1" ht="13">
      <c r="A731" s="584"/>
      <c r="B731" s="570"/>
      <c r="C731" s="966"/>
      <c r="D731" s="697"/>
      <c r="E731" s="1913"/>
      <c r="F731" s="1913"/>
      <c r="G731" s="1913"/>
      <c r="H731" s="1913"/>
      <c r="I731" s="1913"/>
      <c r="J731" s="1913"/>
      <c r="K731" s="1913"/>
      <c r="L731" s="1913"/>
      <c r="M731" s="1913"/>
      <c r="N731" s="1913"/>
      <c r="O731" s="1913"/>
      <c r="P731" s="1913"/>
      <c r="Q731" s="1913"/>
      <c r="R731" s="1913"/>
      <c r="S731" s="1913"/>
      <c r="T731" s="1913"/>
      <c r="U731" s="1913"/>
      <c r="V731" s="1913"/>
      <c r="W731" s="1913"/>
      <c r="X731" s="1913"/>
      <c r="Y731" s="1913"/>
      <c r="Z731" s="1913"/>
      <c r="AA731" s="1913"/>
      <c r="AB731" s="191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3"/>
      <c r="F732" s="1913"/>
      <c r="G732" s="1913"/>
      <c r="H732" s="1913"/>
      <c r="I732" s="1913"/>
      <c r="J732" s="1913"/>
      <c r="K732" s="1913"/>
      <c r="L732" s="1913"/>
      <c r="M732" s="1913"/>
      <c r="N732" s="1913"/>
      <c r="O732" s="1913"/>
      <c r="P732" s="1913"/>
      <c r="Q732" s="1913"/>
      <c r="R732" s="1913"/>
      <c r="S732" s="1913"/>
      <c r="T732" s="1913"/>
      <c r="U732" s="1913"/>
      <c r="V732" s="1913"/>
      <c r="W732" s="1913"/>
      <c r="X732" s="1913"/>
      <c r="Y732" s="1913"/>
      <c r="Z732" s="1913"/>
      <c r="AA732" s="1913"/>
      <c r="AB732" s="191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3"/>
      <c r="F733" s="1913"/>
      <c r="G733" s="1913"/>
      <c r="H733" s="1913"/>
      <c r="I733" s="1913"/>
      <c r="J733" s="1913"/>
      <c r="K733" s="1913"/>
      <c r="L733" s="1913"/>
      <c r="M733" s="1913"/>
      <c r="N733" s="1913"/>
      <c r="O733" s="1913"/>
      <c r="P733" s="1913"/>
      <c r="Q733" s="1913"/>
      <c r="R733" s="1913"/>
      <c r="S733" s="1913"/>
      <c r="T733" s="1913"/>
      <c r="U733" s="1913"/>
      <c r="V733" s="1913"/>
      <c r="W733" s="1913"/>
      <c r="X733" s="1913"/>
      <c r="Y733" s="1913"/>
      <c r="Z733" s="1913"/>
      <c r="AA733" s="1913"/>
      <c r="AB733" s="191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517</v>
      </c>
      <c r="E735" s="1913" t="s">
        <v>1552</v>
      </c>
      <c r="F735" s="1913"/>
      <c r="G735" s="1913"/>
      <c r="H735" s="1913"/>
      <c r="I735" s="1913"/>
      <c r="J735" s="1913"/>
      <c r="K735" s="1913"/>
      <c r="L735" s="1913"/>
      <c r="M735" s="1913"/>
      <c r="N735" s="1913"/>
      <c r="O735" s="1913"/>
      <c r="P735" s="1913"/>
      <c r="Q735" s="1913"/>
      <c r="R735" s="1913"/>
      <c r="S735" s="1913"/>
      <c r="T735" s="1913"/>
      <c r="U735" s="1913"/>
      <c r="V735" s="1913"/>
      <c r="W735" s="1913"/>
      <c r="X735" s="1913"/>
      <c r="Y735" s="1913"/>
      <c r="Z735" s="1913"/>
      <c r="AA735" s="1913"/>
      <c r="AB735" s="609"/>
      <c r="AC735" s="570"/>
      <c r="AD735" s="570"/>
      <c r="AE735" s="570"/>
      <c r="AF735" s="1993" t="s">
        <v>1517</v>
      </c>
      <c r="AG735" s="1993"/>
      <c r="AH735" s="1993"/>
      <c r="AI735" s="1993"/>
      <c r="AJ735" s="1993"/>
      <c r="AK735" s="1993"/>
      <c r="AL735" s="1993"/>
      <c r="AM735" s="584"/>
      <c r="AN735" s="718"/>
      <c r="AO735" s="30"/>
      <c r="AP735" s="14"/>
    </row>
    <row r="736" spans="1:81" s="604" customFormat="1" ht="13">
      <c r="A736" s="584"/>
      <c r="B736" s="570"/>
      <c r="C736" s="966"/>
      <c r="D736" s="697"/>
      <c r="E736" s="1913"/>
      <c r="F736" s="1913"/>
      <c r="G736" s="1913"/>
      <c r="H736" s="1913"/>
      <c r="I736" s="1913"/>
      <c r="J736" s="1913"/>
      <c r="K736" s="1913"/>
      <c r="L736" s="1913"/>
      <c r="M736" s="1913"/>
      <c r="N736" s="1913"/>
      <c r="O736" s="1913"/>
      <c r="P736" s="1913"/>
      <c r="Q736" s="1913"/>
      <c r="R736" s="1913"/>
      <c r="S736" s="1913"/>
      <c r="T736" s="1913"/>
      <c r="U736" s="1913"/>
      <c r="V736" s="1913"/>
      <c r="W736" s="1913"/>
      <c r="X736" s="1913"/>
      <c r="Y736" s="1913"/>
      <c r="Z736" s="1913"/>
      <c r="AA736" s="1913"/>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3"/>
      <c r="F737" s="1913"/>
      <c r="G737" s="1913"/>
      <c r="H737" s="1913"/>
      <c r="I737" s="1913"/>
      <c r="J737" s="1913"/>
      <c r="K737" s="1913"/>
      <c r="L737" s="1913"/>
      <c r="M737" s="1913"/>
      <c r="N737" s="1913"/>
      <c r="O737" s="1913"/>
      <c r="P737" s="1913"/>
      <c r="Q737" s="1913"/>
      <c r="R737" s="1913"/>
      <c r="S737" s="1913"/>
      <c r="T737" s="1913"/>
      <c r="U737" s="1913"/>
      <c r="V737" s="1913"/>
      <c r="W737" s="1913"/>
      <c r="X737" s="1913"/>
      <c r="Y737" s="1913"/>
      <c r="Z737" s="1913"/>
      <c r="AA737" s="1913"/>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3"/>
      <c r="F738" s="1913"/>
      <c r="G738" s="1913"/>
      <c r="H738" s="1913"/>
      <c r="I738" s="1913"/>
      <c r="J738" s="1913"/>
      <c r="K738" s="1913"/>
      <c r="L738" s="1913"/>
      <c r="M738" s="1913"/>
      <c r="N738" s="1913"/>
      <c r="O738" s="1913"/>
      <c r="P738" s="1913"/>
      <c r="Q738" s="1913"/>
      <c r="R738" s="1913"/>
      <c r="S738" s="1913"/>
      <c r="T738" s="1913"/>
      <c r="U738" s="1913"/>
      <c r="V738" s="1913"/>
      <c r="W738" s="1913"/>
      <c r="X738" s="1913"/>
      <c r="Y738" s="1913"/>
      <c r="Z738" s="1913"/>
      <c r="AA738" s="1913"/>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7" t="s">
        <v>599</v>
      </c>
      <c r="I740" s="193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20">
        <f>VLOOKUP($H$740,$AO$669:$AP$671,2,FALSE)</f>
        <v>0</v>
      </c>
      <c r="AK742" s="192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696</v>
      </c>
      <c r="E746" s="1913" t="s">
        <v>1554</v>
      </c>
      <c r="F746" s="1913"/>
      <c r="G746" s="1913"/>
      <c r="H746" s="1913"/>
      <c r="I746" s="1913"/>
      <c r="J746" s="1913"/>
      <c r="K746" s="1913"/>
      <c r="L746" s="1913"/>
      <c r="M746" s="1913"/>
      <c r="N746" s="1913"/>
      <c r="O746" s="1913"/>
      <c r="P746" s="1913"/>
      <c r="Q746" s="1913"/>
      <c r="R746" s="1913"/>
      <c r="S746" s="1913"/>
      <c r="T746" s="1913"/>
      <c r="U746" s="1913"/>
      <c r="V746" s="1913"/>
      <c r="W746" s="1913"/>
      <c r="X746" s="1913"/>
      <c r="Y746" s="1913"/>
      <c r="Z746" s="1913"/>
      <c r="AA746" s="1913"/>
      <c r="AB746" s="1913"/>
      <c r="AC746" s="570"/>
      <c r="AD746" s="570"/>
      <c r="AE746" s="570"/>
      <c r="AF746" s="1993" t="s">
        <v>1517</v>
      </c>
      <c r="AG746" s="1993"/>
      <c r="AH746" s="1993"/>
      <c r="AI746" s="1993"/>
      <c r="AJ746" s="1993"/>
      <c r="AK746" s="1993"/>
      <c r="AL746" s="199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3"/>
      <c r="F747" s="1913"/>
      <c r="G747" s="1913"/>
      <c r="H747" s="1913"/>
      <c r="I747" s="1913"/>
      <c r="J747" s="1913"/>
      <c r="K747" s="1913"/>
      <c r="L747" s="1913"/>
      <c r="M747" s="1913"/>
      <c r="N747" s="1913"/>
      <c r="O747" s="1913"/>
      <c r="P747" s="1913"/>
      <c r="Q747" s="1913"/>
      <c r="R747" s="1913"/>
      <c r="S747" s="1913"/>
      <c r="T747" s="1913"/>
      <c r="U747" s="1913"/>
      <c r="V747" s="1913"/>
      <c r="W747" s="1913"/>
      <c r="X747" s="1913"/>
      <c r="Y747" s="1913"/>
      <c r="Z747" s="1913"/>
      <c r="AA747" s="1913"/>
      <c r="AB747" s="191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517</v>
      </c>
      <c r="E749" s="1913" t="s">
        <v>1555</v>
      </c>
      <c r="F749" s="1913"/>
      <c r="G749" s="1913"/>
      <c r="H749" s="1913"/>
      <c r="I749" s="1913"/>
      <c r="J749" s="1913"/>
      <c r="K749" s="1913"/>
      <c r="L749" s="1913"/>
      <c r="M749" s="1913"/>
      <c r="N749" s="1913"/>
      <c r="O749" s="1913"/>
      <c r="P749" s="1913"/>
      <c r="Q749" s="1913"/>
      <c r="R749" s="1913"/>
      <c r="S749" s="1913"/>
      <c r="T749" s="1913"/>
      <c r="U749" s="1913"/>
      <c r="V749" s="1913"/>
      <c r="W749" s="1913"/>
      <c r="X749" s="1913"/>
      <c r="Y749" s="1913"/>
      <c r="Z749" s="1913"/>
      <c r="AA749" s="1913"/>
      <c r="AB749" s="1913"/>
      <c r="AC749" s="570"/>
      <c r="AD749" s="570"/>
      <c r="AE749" s="570"/>
      <c r="AF749" s="1993" t="s">
        <v>1534</v>
      </c>
      <c r="AG749" s="1993"/>
      <c r="AH749" s="1993"/>
      <c r="AI749" s="1993"/>
      <c r="AJ749" s="1993"/>
      <c r="AK749" s="1993"/>
      <c r="AL749" s="199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3"/>
      <c r="F750" s="1913"/>
      <c r="G750" s="1913"/>
      <c r="H750" s="1913"/>
      <c r="I750" s="1913"/>
      <c r="J750" s="1913"/>
      <c r="K750" s="1913"/>
      <c r="L750" s="1913"/>
      <c r="M750" s="1913"/>
      <c r="N750" s="1913"/>
      <c r="O750" s="1913"/>
      <c r="P750" s="1913"/>
      <c r="Q750" s="1913"/>
      <c r="R750" s="1913"/>
      <c r="S750" s="1913"/>
      <c r="T750" s="1913"/>
      <c r="U750" s="1913"/>
      <c r="V750" s="1913"/>
      <c r="W750" s="1913"/>
      <c r="X750" s="1913"/>
      <c r="Y750" s="1913"/>
      <c r="Z750" s="1913"/>
      <c r="AA750" s="1913"/>
      <c r="AB750" s="191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7" t="s">
        <v>696</v>
      </c>
      <c r="I752" s="193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20">
        <f>VLOOKUP($H$752,$AO$686:$AP$688,2,FALSE)</f>
        <v>2</v>
      </c>
      <c r="AK754" s="192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13" t="s">
        <v>1880</v>
      </c>
      <c r="F758" s="1913"/>
      <c r="G758" s="1913"/>
      <c r="H758" s="1913"/>
      <c r="I758" s="1913"/>
      <c r="J758" s="1913"/>
      <c r="K758" s="1913"/>
      <c r="L758" s="1913"/>
      <c r="M758" s="1913"/>
      <c r="N758" s="1913"/>
      <c r="O758" s="1913"/>
      <c r="P758" s="1913"/>
      <c r="Q758" s="1913"/>
      <c r="R758" s="1913"/>
      <c r="S758" s="1913"/>
      <c r="T758" s="1913"/>
      <c r="U758" s="1913"/>
      <c r="V758" s="1913"/>
      <c r="W758" s="1913"/>
      <c r="X758" s="1913"/>
      <c r="Y758" s="1913"/>
      <c r="Z758" s="1913"/>
      <c r="AA758" s="1913"/>
      <c r="AB758" s="1913"/>
      <c r="AC758" s="1913"/>
      <c r="AD758" s="1913"/>
      <c r="AE758" s="570"/>
      <c r="AF758" s="1993" t="s">
        <v>1517</v>
      </c>
      <c r="AG758" s="1993"/>
      <c r="AH758" s="1993"/>
      <c r="AI758" s="1993"/>
      <c r="AJ758" s="1993"/>
      <c r="AK758" s="1993"/>
      <c r="AL758" s="1993"/>
      <c r="AM758" s="647"/>
      <c r="AN758" s="718"/>
      <c r="AO758" s="584" t="s">
        <v>599</v>
      </c>
      <c r="AP758" s="707">
        <v>0</v>
      </c>
    </row>
    <row r="759" spans="1:74" s="604" customFormat="1" ht="13.75" customHeight="1">
      <c r="A759" s="584"/>
      <c r="B759" s="650"/>
      <c r="C759" s="975"/>
      <c r="D759" s="697"/>
      <c r="E759" s="1913"/>
      <c r="F759" s="1913"/>
      <c r="G759" s="1913"/>
      <c r="H759" s="1913"/>
      <c r="I759" s="1913"/>
      <c r="J759" s="1913"/>
      <c r="K759" s="1913"/>
      <c r="L759" s="1913"/>
      <c r="M759" s="1913"/>
      <c r="N759" s="1913"/>
      <c r="O759" s="1913"/>
      <c r="P759" s="1913"/>
      <c r="Q759" s="1913"/>
      <c r="R759" s="1913"/>
      <c r="S759" s="1913"/>
      <c r="T759" s="1913"/>
      <c r="U759" s="1913"/>
      <c r="V759" s="1913"/>
      <c r="W759" s="1913"/>
      <c r="X759" s="1913"/>
      <c r="Y759" s="1913"/>
      <c r="Z759" s="1913"/>
      <c r="AA759" s="1913"/>
      <c r="AB759" s="1913"/>
      <c r="AC759" s="1913"/>
      <c r="AD759" s="1913"/>
      <c r="AE759" s="570"/>
      <c r="AF759" s="628"/>
      <c r="AG759" s="628"/>
      <c r="AH759" s="628"/>
      <c r="AI759" s="628"/>
      <c r="AJ759" s="628"/>
      <c r="AK759" s="628"/>
      <c r="AL759" s="628"/>
      <c r="AM759" s="647"/>
      <c r="AN759" s="718"/>
      <c r="AO759" s="645" t="s">
        <v>696</v>
      </c>
      <c r="AP759" s="584">
        <v>2</v>
      </c>
    </row>
    <row r="760" spans="1:74" s="604" customFormat="1" ht="13">
      <c r="A760" s="584"/>
      <c r="B760" s="650"/>
      <c r="C760" s="975"/>
      <c r="D760" s="697"/>
      <c r="E760" s="1913"/>
      <c r="F760" s="1913"/>
      <c r="G760" s="1913"/>
      <c r="H760" s="1913"/>
      <c r="I760" s="1913"/>
      <c r="J760" s="1913"/>
      <c r="K760" s="1913"/>
      <c r="L760" s="1913"/>
      <c r="M760" s="1913"/>
      <c r="N760" s="1913"/>
      <c r="O760" s="1913"/>
      <c r="P760" s="1913"/>
      <c r="Q760" s="1913"/>
      <c r="R760" s="1913"/>
      <c r="S760" s="1913"/>
      <c r="T760" s="1913"/>
      <c r="U760" s="1913"/>
      <c r="V760" s="1913"/>
      <c r="W760" s="1913"/>
      <c r="X760" s="1913"/>
      <c r="Y760" s="1913"/>
      <c r="Z760" s="1913"/>
      <c r="AA760" s="1913"/>
      <c r="AB760" s="1913"/>
      <c r="AC760" s="1913"/>
      <c r="AD760" s="1913"/>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3"/>
      <c r="F761" s="1913"/>
      <c r="G761" s="1913"/>
      <c r="H761" s="1913"/>
      <c r="I761" s="1913"/>
      <c r="J761" s="1913"/>
      <c r="K761" s="1913"/>
      <c r="L761" s="1913"/>
      <c r="M761" s="1913"/>
      <c r="N761" s="1913"/>
      <c r="O761" s="1913"/>
      <c r="P761" s="1913"/>
      <c r="Q761" s="1913"/>
      <c r="R761" s="1913"/>
      <c r="S761" s="1913"/>
      <c r="T761" s="1913"/>
      <c r="U761" s="1913"/>
      <c r="V761" s="1913"/>
      <c r="W761" s="1913"/>
      <c r="X761" s="1913"/>
      <c r="Y761" s="1913"/>
      <c r="Z761" s="1913"/>
      <c r="AA761" s="1913"/>
      <c r="AB761" s="1913"/>
      <c r="AC761" s="1913"/>
      <c r="AD761" s="191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5" t="s">
        <v>1885</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93" t="s">
        <v>1461</v>
      </c>
      <c r="AG763" s="1993"/>
      <c r="AH763" s="1993"/>
      <c r="AI763" s="1993"/>
      <c r="AJ763" s="1993"/>
      <c r="AK763" s="1993"/>
      <c r="AL763" s="1993"/>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7" t="s">
        <v>599</v>
      </c>
      <c r="I768" s="193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20">
        <f>VLOOKUP($H$768,$AO$758:$AP$760,2,FALSE)</f>
        <v>0</v>
      </c>
      <c r="AK770" s="1922"/>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13" t="s">
        <v>2345</v>
      </c>
      <c r="F774" s="1913"/>
      <c r="G774" s="1913"/>
      <c r="H774" s="1913"/>
      <c r="I774" s="1913"/>
      <c r="J774" s="1913"/>
      <c r="K774" s="1913"/>
      <c r="L774" s="1913"/>
      <c r="M774" s="1913"/>
      <c r="N774" s="1913"/>
      <c r="O774" s="1913"/>
      <c r="P774" s="1913"/>
      <c r="Q774" s="1913"/>
      <c r="R774" s="1913"/>
      <c r="S774" s="1913"/>
      <c r="T774" s="1913"/>
      <c r="U774" s="1913"/>
      <c r="V774" s="1913"/>
      <c r="W774" s="1913"/>
      <c r="X774" s="1913"/>
      <c r="Y774" s="1913"/>
      <c r="Z774" s="1913"/>
      <c r="AA774" s="1913"/>
      <c r="AB774" s="1913"/>
      <c r="AC774" s="1913"/>
      <c r="AD774" s="1913"/>
      <c r="AE774" s="570"/>
      <c r="AF774" s="1993" t="s">
        <v>1461</v>
      </c>
      <c r="AG774" s="1993"/>
      <c r="AH774" s="1993"/>
      <c r="AI774" s="1993"/>
      <c r="AJ774" s="1993"/>
      <c r="AK774" s="1993"/>
      <c r="AL774" s="1993"/>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13"/>
      <c r="F775" s="1913"/>
      <c r="G775" s="1913"/>
      <c r="H775" s="1913"/>
      <c r="I775" s="1913"/>
      <c r="J775" s="1913"/>
      <c r="K775" s="1913"/>
      <c r="L775" s="1913"/>
      <c r="M775" s="1913"/>
      <c r="N775" s="1913"/>
      <c r="O775" s="1913"/>
      <c r="P775" s="1913"/>
      <c r="Q775" s="1913"/>
      <c r="R775" s="1913"/>
      <c r="S775" s="1913"/>
      <c r="T775" s="1913"/>
      <c r="U775" s="1913"/>
      <c r="V775" s="1913"/>
      <c r="W775" s="1913"/>
      <c r="X775" s="1913"/>
      <c r="Y775" s="1913"/>
      <c r="Z775" s="1913"/>
      <c r="AA775" s="1913"/>
      <c r="AB775" s="1913"/>
      <c r="AC775" s="1913"/>
      <c r="AD775" s="191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3"/>
      <c r="F776" s="1913"/>
      <c r="G776" s="1913"/>
      <c r="H776" s="1913"/>
      <c r="I776" s="1913"/>
      <c r="J776" s="1913"/>
      <c r="K776" s="1913"/>
      <c r="L776" s="1913"/>
      <c r="M776" s="1913"/>
      <c r="N776" s="1913"/>
      <c r="O776" s="1913"/>
      <c r="P776" s="1913"/>
      <c r="Q776" s="1913"/>
      <c r="R776" s="1913"/>
      <c r="S776" s="1913"/>
      <c r="T776" s="1913"/>
      <c r="U776" s="1913"/>
      <c r="V776" s="1913"/>
      <c r="W776" s="1913"/>
      <c r="X776" s="1913"/>
      <c r="Y776" s="1913"/>
      <c r="Z776" s="1913"/>
      <c r="AA776" s="1913"/>
      <c r="AB776" s="1913"/>
      <c r="AC776" s="1913"/>
      <c r="AD776" s="191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3"/>
      <c r="F777" s="1913"/>
      <c r="G777" s="1913"/>
      <c r="H777" s="1913"/>
      <c r="I777" s="1913"/>
      <c r="J777" s="1913"/>
      <c r="K777" s="1913"/>
      <c r="L777" s="1913"/>
      <c r="M777" s="1913"/>
      <c r="N777" s="1913"/>
      <c r="O777" s="1913"/>
      <c r="P777" s="1913"/>
      <c r="Q777" s="1913"/>
      <c r="R777" s="1913"/>
      <c r="S777" s="1913"/>
      <c r="T777" s="1913"/>
      <c r="U777" s="1913"/>
      <c r="V777" s="1913"/>
      <c r="W777" s="1913"/>
      <c r="X777" s="1913"/>
      <c r="Y777" s="1913"/>
      <c r="Z777" s="1913"/>
      <c r="AA777" s="1913"/>
      <c r="AB777" s="1913"/>
      <c r="AC777" s="1913"/>
      <c r="AD777" s="191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1509</v>
      </c>
      <c r="E779" s="971"/>
      <c r="F779" s="971"/>
      <c r="G779" s="971"/>
      <c r="H779" s="1937" t="s">
        <v>599</v>
      </c>
      <c r="I779" s="193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20">
        <f>VLOOKUP($H$779,$AO$773:$AP$774,2,FALSE)</f>
        <v>0</v>
      </c>
      <c r="AK781" s="192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20">
        <f>IF(($AJ$610+$AJ$629+$AJ$641+$AJ$676+$AJ$700+$AJ$714+$AJ$726+$AJ$742+$AJ$754+$AJ$770+AJ781)&gt;10,10,($AJ$610+$AJ$629+$AJ$641+$AJ$676+$AJ$700+$AJ$714+$AJ$726+$AJ$742+$AJ$754+$AJ$770+AJ781))</f>
        <v>10</v>
      </c>
      <c r="AL783" s="1921"/>
      <c r="AM783" s="192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4" t="s">
        <v>1678</v>
      </c>
      <c r="B786" s="1985"/>
      <c r="C786" s="1985"/>
      <c r="D786" s="1985"/>
      <c r="E786" s="1985"/>
      <c r="F786" s="1985"/>
      <c r="G786" s="1985"/>
      <c r="H786" s="1985"/>
      <c r="I786" s="1985"/>
      <c r="J786" s="1985"/>
      <c r="K786" s="1985"/>
      <c r="L786" s="1985"/>
      <c r="M786" s="1985"/>
      <c r="N786" s="1985"/>
      <c r="O786" s="1985"/>
      <c r="P786" s="1985"/>
      <c r="Q786" s="1985"/>
      <c r="R786" s="1985"/>
      <c r="S786" s="1985"/>
      <c r="T786" s="1985"/>
      <c r="U786" s="1985"/>
      <c r="V786" s="1985"/>
      <c r="W786" s="1985"/>
      <c r="X786" s="1985"/>
      <c r="Y786" s="1985"/>
      <c r="Z786" s="1985"/>
      <c r="AA786" s="1985"/>
      <c r="AB786" s="1985"/>
      <c r="AC786" s="1985"/>
      <c r="AD786" s="1985"/>
      <c r="AE786" s="1985"/>
      <c r="AF786" s="1985"/>
      <c r="AG786" s="1985"/>
      <c r="AH786" s="1985"/>
      <c r="AI786" s="1985"/>
      <c r="AJ786" s="1985"/>
      <c r="AK786" s="1985"/>
      <c r="AL786" s="1985"/>
      <c r="AM786" s="1985"/>
    </row>
    <row r="787" spans="1:43">
      <c r="A787" s="1986"/>
      <c r="B787" s="1986"/>
      <c r="C787" s="1986"/>
      <c r="D787" s="1986"/>
      <c r="E787" s="1986"/>
      <c r="F787" s="1986"/>
      <c r="G787" s="1986"/>
      <c r="H787" s="1986"/>
      <c r="I787" s="1986"/>
      <c r="J787" s="1986"/>
      <c r="K787" s="1986"/>
      <c r="L787" s="1986"/>
      <c r="M787" s="1986"/>
      <c r="N787" s="1986"/>
      <c r="O787" s="1986"/>
      <c r="P787" s="1986"/>
      <c r="Q787" s="1986"/>
      <c r="R787" s="1986"/>
      <c r="S787" s="1986"/>
      <c r="T787" s="1986"/>
      <c r="U787" s="1986"/>
      <c r="V787" s="1986"/>
      <c r="W787" s="1986"/>
      <c r="X787" s="1986"/>
      <c r="Y787" s="1986"/>
      <c r="Z787" s="1986"/>
      <c r="AA787" s="1986"/>
      <c r="AB787" s="1986"/>
      <c r="AC787" s="1986"/>
      <c r="AD787" s="1986"/>
      <c r="AE787" s="1986"/>
      <c r="AF787" s="1986"/>
      <c r="AG787" s="1986"/>
      <c r="AH787" s="1986"/>
      <c r="AI787" s="1986"/>
      <c r="AJ787" s="1986"/>
      <c r="AK787" s="1986"/>
      <c r="AL787" s="1986"/>
      <c r="AM787" s="198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3"/>
      <c r="B789" s="1923"/>
      <c r="C789" s="1923"/>
      <c r="D789" s="1923"/>
      <c r="E789" s="1923"/>
      <c r="F789" s="1923"/>
      <c r="G789" s="1923"/>
      <c r="H789" s="1923"/>
      <c r="I789" s="1923"/>
      <c r="J789" s="1923"/>
      <c r="K789" s="1923"/>
      <c r="L789" s="1923"/>
      <c r="M789" s="1923"/>
      <c r="N789" s="1923"/>
      <c r="O789" s="1923"/>
      <c r="P789" s="1923"/>
      <c r="Q789" s="1923"/>
      <c r="R789" s="1923"/>
      <c r="S789" s="1923"/>
      <c r="T789" s="1923"/>
      <c r="U789" s="1923"/>
      <c r="V789" s="1923"/>
      <c r="W789" s="1923"/>
      <c r="X789" s="1923"/>
      <c r="Y789" s="1923"/>
      <c r="Z789" s="1923"/>
      <c r="AA789" s="1923"/>
      <c r="AB789" s="1923"/>
      <c r="AC789" s="1923"/>
      <c r="AD789" s="1923"/>
      <c r="AE789" s="1923"/>
      <c r="AF789" s="1923"/>
      <c r="AG789" s="1923"/>
      <c r="AH789" s="1923"/>
      <c r="AI789" s="1923"/>
      <c r="AJ789" s="1923"/>
      <c r="AK789" s="1923"/>
      <c r="AL789" s="1923"/>
      <c r="AM789" s="1923"/>
      <c r="AP789" s="850"/>
      <c r="AQ789" s="850"/>
    </row>
    <row r="790" spans="1:43" ht="13">
      <c r="A790" s="1923"/>
      <c r="B790" s="1923"/>
      <c r="C790" s="1923"/>
      <c r="D790" s="1923"/>
      <c r="E790" s="1923"/>
      <c r="F790" s="1923"/>
      <c r="G790" s="1923"/>
      <c r="H790" s="1923"/>
      <c r="I790" s="1923"/>
      <c r="J790" s="1923"/>
      <c r="K790" s="1923"/>
      <c r="L790" s="1923"/>
      <c r="M790" s="1923"/>
      <c r="N790" s="1923"/>
      <c r="O790" s="1923"/>
      <c r="P790" s="1923"/>
      <c r="Q790" s="1923"/>
      <c r="R790" s="1923"/>
      <c r="S790" s="1923"/>
      <c r="T790" s="1923"/>
      <c r="U790" s="1923"/>
      <c r="V790" s="1923"/>
      <c r="W790" s="1923"/>
      <c r="X790" s="1923"/>
      <c r="Y790" s="1923"/>
      <c r="Z790" s="1923"/>
      <c r="AA790" s="1923"/>
      <c r="AB790" s="1923"/>
      <c r="AC790" s="1923"/>
      <c r="AD790" s="1923"/>
      <c r="AE790" s="1923"/>
      <c r="AF790" s="1923"/>
      <c r="AG790" s="1923"/>
      <c r="AH790" s="1923"/>
      <c r="AI790" s="1923"/>
      <c r="AJ790" s="1923"/>
      <c r="AK790" s="1923"/>
      <c r="AL790" s="1923"/>
      <c r="AM790" s="1923"/>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7" t="s">
        <v>1679</v>
      </c>
      <c r="U791" s="1988"/>
      <c r="V791" s="1988"/>
      <c r="W791" s="1988"/>
      <c r="X791" s="1988"/>
      <c r="Y791" s="1989"/>
      <c r="Z791" s="1987" t="s">
        <v>1680</v>
      </c>
      <c r="AA791" s="1988"/>
      <c r="AB791" s="1988"/>
      <c r="AC791" s="1988"/>
      <c r="AD791" s="1988"/>
      <c r="AE791" s="1989"/>
      <c r="AF791" s="1987" t="s">
        <v>1681</v>
      </c>
      <c r="AG791" s="1988"/>
      <c r="AH791" s="1988"/>
      <c r="AI791" s="1988"/>
      <c r="AJ791" s="1988"/>
      <c r="AK791" s="198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90"/>
      <c r="U792" s="1991"/>
      <c r="V792" s="1991"/>
      <c r="W792" s="1991"/>
      <c r="X792" s="1991"/>
      <c r="Y792" s="1992"/>
      <c r="Z792" s="1990"/>
      <c r="AA792" s="1991"/>
      <c r="AB792" s="1991"/>
      <c r="AC792" s="1991"/>
      <c r="AD792" s="1991"/>
      <c r="AE792" s="1992"/>
      <c r="AF792" s="1990"/>
      <c r="AG792" s="1991"/>
      <c r="AH792" s="1991"/>
      <c r="AI792" s="1991"/>
      <c r="AJ792" s="1991"/>
      <c r="AK792" s="1992"/>
      <c r="AL792" s="852"/>
      <c r="AM792" s="630"/>
      <c r="AO792" s="850"/>
      <c r="AP792" s="850"/>
      <c r="AQ792" s="850"/>
    </row>
    <row r="793" spans="1:43" ht="13">
      <c r="A793" s="853" t="s">
        <v>766</v>
      </c>
      <c r="B793" s="1944" t="s">
        <v>1413</v>
      </c>
      <c r="C793" s="1944"/>
      <c r="D793" s="1944"/>
      <c r="E793" s="1944"/>
      <c r="F793" s="1944"/>
      <c r="G793" s="1944"/>
      <c r="H793" s="1944"/>
      <c r="I793" s="1944"/>
      <c r="J793" s="1944"/>
      <c r="K793" s="1944"/>
      <c r="L793" s="1944"/>
      <c r="M793" s="1944"/>
      <c r="N793" s="1944"/>
      <c r="O793" s="1944"/>
      <c r="P793" s="1944"/>
      <c r="Q793" s="1944"/>
      <c r="R793" s="1944"/>
      <c r="S793" s="1945"/>
      <c r="T793" s="1972">
        <f>AK56</f>
        <v>0</v>
      </c>
      <c r="U793" s="1948"/>
      <c r="V793" s="1948"/>
      <c r="W793" s="1948"/>
      <c r="X793" s="1948"/>
      <c r="Y793" s="1949"/>
      <c r="Z793" s="1947">
        <v>20</v>
      </c>
      <c r="AA793" s="1948"/>
      <c r="AB793" s="1948"/>
      <c r="AC793" s="1948"/>
      <c r="AD793" s="1948"/>
      <c r="AE793" s="1949"/>
      <c r="AF793" s="1933">
        <f>IF(T793&gt;Z793,Z793,T793)</f>
        <v>0</v>
      </c>
      <c r="AG793" s="1933"/>
      <c r="AH793" s="1933"/>
      <c r="AI793" s="1933"/>
      <c r="AJ793" s="1933"/>
      <c r="AK793" s="1933"/>
      <c r="AL793" s="852"/>
      <c r="AM793" s="630"/>
      <c r="AO793" s="850"/>
      <c r="AP793" s="850"/>
      <c r="AQ793" s="850"/>
    </row>
    <row r="794" spans="1:43" ht="13">
      <c r="A794" s="853" t="s">
        <v>1651</v>
      </c>
      <c r="B794" s="1944" t="s">
        <v>1422</v>
      </c>
      <c r="C794" s="1944"/>
      <c r="D794" s="1944"/>
      <c r="E794" s="1944"/>
      <c r="F794" s="1944"/>
      <c r="G794" s="1944"/>
      <c r="H794" s="1944"/>
      <c r="I794" s="1944"/>
      <c r="J794" s="1944"/>
      <c r="K794" s="1944"/>
      <c r="L794" s="1944"/>
      <c r="M794" s="1944"/>
      <c r="N794" s="1944"/>
      <c r="O794" s="1944"/>
      <c r="P794" s="1944"/>
      <c r="Q794" s="1944"/>
      <c r="R794" s="1944"/>
      <c r="S794" s="1945"/>
      <c r="T794" s="1972">
        <f>AK78</f>
        <v>10</v>
      </c>
      <c r="U794" s="1948"/>
      <c r="V794" s="1948"/>
      <c r="W794" s="1948"/>
      <c r="X794" s="1948"/>
      <c r="Y794" s="1949"/>
      <c r="Z794" s="1947">
        <v>10</v>
      </c>
      <c r="AA794" s="1948"/>
      <c r="AB794" s="1948"/>
      <c r="AC794" s="1948"/>
      <c r="AD794" s="1948"/>
      <c r="AE794" s="1949"/>
      <c r="AF794" s="1933">
        <f>IF(T794&gt;Z794,Z794,T794)</f>
        <v>10</v>
      </c>
      <c r="AG794" s="1933"/>
      <c r="AH794" s="1933"/>
      <c r="AI794" s="1933"/>
      <c r="AJ794" s="1933"/>
      <c r="AK794" s="1933"/>
      <c r="AL794" s="852"/>
      <c r="AM794" s="630"/>
      <c r="AO794" s="850"/>
      <c r="AP794" s="850"/>
      <c r="AQ794" s="850"/>
    </row>
    <row r="795" spans="1:43" ht="13">
      <c r="A795" s="853" t="s">
        <v>1660</v>
      </c>
      <c r="B795" s="1944" t="s">
        <v>1432</v>
      </c>
      <c r="C795" s="1944"/>
      <c r="D795" s="1944"/>
      <c r="E795" s="1944"/>
      <c r="F795" s="1944"/>
      <c r="G795" s="1944"/>
      <c r="H795" s="1944"/>
      <c r="I795" s="1944"/>
      <c r="J795" s="1944"/>
      <c r="K795" s="1944"/>
      <c r="L795" s="1944"/>
      <c r="M795" s="1944"/>
      <c r="N795" s="1944"/>
      <c r="O795" s="1944"/>
      <c r="P795" s="1944"/>
      <c r="Q795" s="1944"/>
      <c r="R795" s="1944"/>
      <c r="S795" s="1945"/>
      <c r="T795" s="1972">
        <f>AK103</f>
        <v>20</v>
      </c>
      <c r="U795" s="1948"/>
      <c r="V795" s="1948"/>
      <c r="W795" s="1948"/>
      <c r="X795" s="1948"/>
      <c r="Y795" s="1949"/>
      <c r="Z795" s="1947">
        <v>20</v>
      </c>
      <c r="AA795" s="1948"/>
      <c r="AB795" s="1948"/>
      <c r="AC795" s="1948"/>
      <c r="AD795" s="1948"/>
      <c r="AE795" s="1949"/>
      <c r="AF795" s="1933">
        <f>IF(T795&gt;Z795,Z795,T795)</f>
        <v>20</v>
      </c>
      <c r="AG795" s="1933"/>
      <c r="AH795" s="1933"/>
      <c r="AI795" s="1933"/>
      <c r="AJ795" s="1933"/>
      <c r="AK795" s="1933"/>
      <c r="AL795" s="852"/>
      <c r="AM795" s="630"/>
      <c r="AO795" s="850"/>
      <c r="AP795" s="850"/>
      <c r="AQ795" s="850"/>
    </row>
    <row r="796" spans="1:43" ht="13">
      <c r="A796" s="853" t="s">
        <v>1682</v>
      </c>
      <c r="B796" s="1944" t="s">
        <v>1442</v>
      </c>
      <c r="C796" s="1944"/>
      <c r="D796" s="1944"/>
      <c r="E796" s="1944"/>
      <c r="F796" s="1944"/>
      <c r="G796" s="1944"/>
      <c r="H796" s="1944"/>
      <c r="I796" s="1944"/>
      <c r="J796" s="1944"/>
      <c r="K796" s="1944"/>
      <c r="L796" s="1944"/>
      <c r="M796" s="1944"/>
      <c r="N796" s="1944"/>
      <c r="O796" s="1944"/>
      <c r="P796" s="1944"/>
      <c r="Q796" s="1944"/>
      <c r="R796" s="1944"/>
      <c r="S796" s="1945"/>
      <c r="T796" s="1972">
        <f>AK137</f>
        <v>10</v>
      </c>
      <c r="U796" s="1948"/>
      <c r="V796" s="1948"/>
      <c r="W796" s="1948"/>
      <c r="X796" s="1948"/>
      <c r="Y796" s="1949"/>
      <c r="Z796" s="1947">
        <v>10</v>
      </c>
      <c r="AA796" s="1948"/>
      <c r="AB796" s="1948"/>
      <c r="AC796" s="1948"/>
      <c r="AD796" s="1948"/>
      <c r="AE796" s="1949"/>
      <c r="AF796" s="1933">
        <f>IF(T796&gt;Z796,Z796,T796)</f>
        <v>10</v>
      </c>
      <c r="AG796" s="1933"/>
      <c r="AH796" s="1933"/>
      <c r="AI796" s="1933"/>
      <c r="AJ796" s="1933"/>
      <c r="AK796" s="1933"/>
      <c r="AL796" s="852"/>
      <c r="AM796" s="630"/>
      <c r="AO796" s="850"/>
      <c r="AP796" s="850"/>
      <c r="AQ796" s="850"/>
    </row>
    <row r="797" spans="1:43" ht="13">
      <c r="A797" s="854" t="s">
        <v>1683</v>
      </c>
      <c r="B797" s="1944" t="s">
        <v>1684</v>
      </c>
      <c r="C797" s="1944"/>
      <c r="D797" s="1944"/>
      <c r="E797" s="1944"/>
      <c r="F797" s="1944"/>
      <c r="G797" s="1944"/>
      <c r="H797" s="1944"/>
      <c r="I797" s="1944"/>
      <c r="J797" s="1944"/>
      <c r="K797" s="1944"/>
      <c r="L797" s="1944"/>
      <c r="M797" s="1944"/>
      <c r="N797" s="1944"/>
      <c r="O797" s="1944"/>
      <c r="P797" s="1944"/>
      <c r="Q797" s="1944"/>
      <c r="R797" s="1944"/>
      <c r="S797" s="1945"/>
      <c r="T797" s="1946">
        <f>SUM(T798:Y799)</f>
        <v>10</v>
      </c>
      <c r="U797" s="1946"/>
      <c r="V797" s="1946"/>
      <c r="W797" s="1946"/>
      <c r="X797" s="1946"/>
      <c r="Y797" s="1946"/>
      <c r="Z797" s="1933">
        <v>10</v>
      </c>
      <c r="AA797" s="1933"/>
      <c r="AB797" s="1933"/>
      <c r="AC797" s="1933"/>
      <c r="AD797" s="1933"/>
      <c r="AE797" s="1933"/>
      <c r="AF797" s="1933">
        <f>IF(T797&gt;Z797,Z797,T797)</f>
        <v>10</v>
      </c>
      <c r="AG797" s="1933"/>
      <c r="AH797" s="1933"/>
      <c r="AI797" s="1933"/>
      <c r="AJ797" s="1933"/>
      <c r="AK797" s="1933"/>
      <c r="AL797" s="852"/>
      <c r="AM797" s="630"/>
    </row>
    <row r="798" spans="1:43" ht="13">
      <c r="A798" s="569"/>
      <c r="B798" s="635"/>
      <c r="C798" s="1950" t="s">
        <v>1685</v>
      </c>
      <c r="D798" s="1950"/>
      <c r="E798" s="1950"/>
      <c r="F798" s="1950"/>
      <c r="G798" s="1950"/>
      <c r="H798" s="1950"/>
      <c r="I798" s="1950"/>
      <c r="J798" s="1950"/>
      <c r="K798" s="1950"/>
      <c r="L798" s="1950"/>
      <c r="M798" s="1950"/>
      <c r="N798" s="1950"/>
      <c r="O798" s="1950"/>
      <c r="P798" s="1950"/>
      <c r="Q798" s="1950"/>
      <c r="R798" s="1950"/>
      <c r="S798" s="1951"/>
      <c r="T798" s="1952">
        <f>AJ155</f>
        <v>7</v>
      </c>
      <c r="U798" s="1952"/>
      <c r="V798" s="1952"/>
      <c r="W798" s="1952"/>
      <c r="X798" s="1952"/>
      <c r="Y798" s="1952"/>
      <c r="Z798" s="1953">
        <v>7</v>
      </c>
      <c r="AA798" s="1953"/>
      <c r="AB798" s="1953"/>
      <c r="AC798" s="1953"/>
      <c r="AD798" s="1953"/>
      <c r="AE798" s="1953"/>
      <c r="AF798" s="1954"/>
      <c r="AG798" s="1954"/>
      <c r="AH798" s="1954"/>
      <c r="AI798" s="1954"/>
      <c r="AJ798" s="1954"/>
      <c r="AK798" s="1954"/>
      <c r="AL798" s="852"/>
      <c r="AM798" s="630"/>
    </row>
    <row r="799" spans="1:43" ht="13">
      <c r="A799" s="634"/>
      <c r="B799" s="635"/>
      <c r="C799" s="1950" t="s">
        <v>1686</v>
      </c>
      <c r="D799" s="1950"/>
      <c r="E799" s="1950"/>
      <c r="F799" s="1950"/>
      <c r="G799" s="1950"/>
      <c r="H799" s="1950"/>
      <c r="I799" s="1950"/>
      <c r="J799" s="1950"/>
      <c r="K799" s="1950"/>
      <c r="L799" s="1950"/>
      <c r="M799" s="1950"/>
      <c r="N799" s="1950"/>
      <c r="O799" s="1950"/>
      <c r="P799" s="1950"/>
      <c r="Q799" s="1950"/>
      <c r="R799" s="1950"/>
      <c r="S799" s="1951"/>
      <c r="T799" s="1952">
        <f>AJ169</f>
        <v>3</v>
      </c>
      <c r="U799" s="1952"/>
      <c r="V799" s="1952"/>
      <c r="W799" s="1952"/>
      <c r="X799" s="1952"/>
      <c r="Y799" s="1952"/>
      <c r="Z799" s="1953">
        <v>3</v>
      </c>
      <c r="AA799" s="1953"/>
      <c r="AB799" s="1953"/>
      <c r="AC799" s="1953"/>
      <c r="AD799" s="1953"/>
      <c r="AE799" s="1953"/>
      <c r="AF799" s="1954"/>
      <c r="AG799" s="1954"/>
      <c r="AH799" s="1954"/>
      <c r="AI799" s="1954"/>
      <c r="AJ799" s="1954"/>
      <c r="AK799" s="1954"/>
      <c r="AL799" s="852"/>
      <c r="AM799" s="630"/>
      <c r="AO799" s="584"/>
    </row>
    <row r="800" spans="1:43" ht="13">
      <c r="A800" s="854" t="s">
        <v>1470</v>
      </c>
      <c r="B800" s="1944" t="s">
        <v>1687</v>
      </c>
      <c r="C800" s="1944"/>
      <c r="D800" s="1944"/>
      <c r="E800" s="1944"/>
      <c r="F800" s="1944"/>
      <c r="G800" s="1944"/>
      <c r="H800" s="1944"/>
      <c r="I800" s="1944"/>
      <c r="J800" s="1944"/>
      <c r="K800" s="1944"/>
      <c r="L800" s="1944"/>
      <c r="M800" s="1944"/>
      <c r="N800" s="1944"/>
      <c r="O800" s="1944"/>
      <c r="P800" s="1944"/>
      <c r="Q800" s="1944"/>
      <c r="R800" s="1944"/>
      <c r="S800" s="1945"/>
      <c r="T800" s="1946">
        <f>AK180</f>
        <v>10</v>
      </c>
      <c r="U800" s="1946"/>
      <c r="V800" s="1946"/>
      <c r="W800" s="1946"/>
      <c r="X800" s="1946"/>
      <c r="Y800" s="1946"/>
      <c r="Z800" s="1933">
        <v>10</v>
      </c>
      <c r="AA800" s="1933"/>
      <c r="AB800" s="1933"/>
      <c r="AC800" s="1933"/>
      <c r="AD800" s="1933"/>
      <c r="AE800" s="1933"/>
      <c r="AF800" s="1933">
        <f>IF(T800&gt;Z800,Z800,T800)</f>
        <v>10</v>
      </c>
      <c r="AG800" s="1933"/>
      <c r="AH800" s="1933"/>
      <c r="AI800" s="1933"/>
      <c r="AJ800" s="1933"/>
      <c r="AK800" s="1933"/>
      <c r="AL800" s="852"/>
      <c r="AM800" s="630"/>
    </row>
    <row r="801" spans="1:81" ht="13">
      <c r="A801" s="853" t="s">
        <v>1479</v>
      </c>
      <c r="B801" s="1944" t="s">
        <v>1480</v>
      </c>
      <c r="C801" s="1944"/>
      <c r="D801" s="1944"/>
      <c r="E801" s="1944"/>
      <c r="F801" s="1944"/>
      <c r="G801" s="1944"/>
      <c r="H801" s="1944"/>
      <c r="I801" s="1944"/>
      <c r="J801" s="1944"/>
      <c r="K801" s="1944"/>
      <c r="L801" s="1944"/>
      <c r="M801" s="1944"/>
      <c r="N801" s="1944"/>
      <c r="O801" s="1944"/>
      <c r="P801" s="1944"/>
      <c r="Q801" s="1944"/>
      <c r="R801" s="1944"/>
      <c r="S801" s="1945"/>
      <c r="T801" s="1946">
        <f ca="1">AK262</f>
        <v>8</v>
      </c>
      <c r="U801" s="1946"/>
      <c r="V801" s="1946"/>
      <c r="W801" s="1946"/>
      <c r="X801" s="1946"/>
      <c r="Y801" s="1946"/>
      <c r="Z801" s="1947">
        <v>8</v>
      </c>
      <c r="AA801" s="1948"/>
      <c r="AB801" s="1948"/>
      <c r="AC801" s="1948"/>
      <c r="AD801" s="1948"/>
      <c r="AE801" s="1949"/>
      <c r="AF801" s="1933">
        <f ca="1">IF(T801&gt;Z801,Z801,T801)</f>
        <v>8</v>
      </c>
      <c r="AG801" s="1933"/>
      <c r="AH801" s="1933"/>
      <c r="AI801" s="1933"/>
      <c r="AJ801" s="1933"/>
      <c r="AK801" s="1933"/>
      <c r="AL801" s="852"/>
      <c r="AM801" s="630"/>
    </row>
    <row r="802" spans="1:81" s="568" customFormat="1" ht="13" hidden="1">
      <c r="A802" s="854" t="s">
        <v>597</v>
      </c>
      <c r="B802" s="1944" t="s">
        <v>1688</v>
      </c>
      <c r="C802" s="1944"/>
      <c r="D802" s="1944"/>
      <c r="E802" s="1944"/>
      <c r="F802" s="1944"/>
      <c r="G802" s="1944"/>
      <c r="H802" s="1944"/>
      <c r="I802" s="1944"/>
      <c r="J802" s="1944"/>
      <c r="K802" s="1944"/>
      <c r="L802" s="1944"/>
      <c r="M802" s="1944"/>
      <c r="N802" s="1944"/>
      <c r="O802" s="1944"/>
      <c r="P802" s="1944"/>
      <c r="Q802" s="1944"/>
      <c r="R802" s="1944"/>
      <c r="S802" s="1945"/>
      <c r="T802" s="1946">
        <f>IF(AK524&gt;5,5,AK524)</f>
        <v>0</v>
      </c>
      <c r="U802" s="1946"/>
      <c r="V802" s="1946"/>
      <c r="W802" s="1946"/>
      <c r="X802" s="1946"/>
      <c r="Y802" s="1946"/>
      <c r="Z802" s="1933">
        <v>5</v>
      </c>
      <c r="AA802" s="1933"/>
      <c r="AB802" s="1933"/>
      <c r="AC802" s="1933"/>
      <c r="AD802" s="1933"/>
      <c r="AE802" s="1933"/>
      <c r="AF802" s="1933">
        <f>IF(T802&gt;Z802,5,T802)</f>
        <v>0</v>
      </c>
      <c r="AG802" s="1933"/>
      <c r="AH802" s="1933"/>
      <c r="AI802" s="1933"/>
      <c r="AJ802" s="1933"/>
      <c r="AK802" s="19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1485</v>
      </c>
      <c r="B803" s="1944" t="s">
        <v>1689</v>
      </c>
      <c r="C803" s="1944"/>
      <c r="D803" s="1944"/>
      <c r="E803" s="1944"/>
      <c r="F803" s="1944"/>
      <c r="G803" s="1944"/>
      <c r="H803" s="1944"/>
      <c r="I803" s="1944"/>
      <c r="J803" s="1944"/>
      <c r="K803" s="1944"/>
      <c r="L803" s="1944"/>
      <c r="M803" s="1944"/>
      <c r="N803" s="1944"/>
      <c r="O803" s="1944"/>
      <c r="P803" s="1944"/>
      <c r="Q803" s="1944"/>
      <c r="R803" s="1944"/>
      <c r="S803" s="1945"/>
      <c r="T803" s="1946">
        <f>AK274</f>
        <v>10</v>
      </c>
      <c r="U803" s="1946"/>
      <c r="V803" s="1946"/>
      <c r="W803" s="1946"/>
      <c r="X803" s="1946"/>
      <c r="Y803" s="1946"/>
      <c r="Z803" s="1933">
        <v>10</v>
      </c>
      <c r="AA803" s="1933"/>
      <c r="AB803" s="1933"/>
      <c r="AC803" s="1933"/>
      <c r="AD803" s="1933"/>
      <c r="AE803" s="1933"/>
      <c r="AF803" s="1955">
        <f>IF(T803&gt;Z803,Z803,T803)</f>
        <v>10</v>
      </c>
      <c r="AG803" s="1956"/>
      <c r="AH803" s="1956"/>
      <c r="AI803" s="1956"/>
      <c r="AJ803" s="1956"/>
      <c r="AK803" s="195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1489</v>
      </c>
      <c r="B804" s="1944" t="s">
        <v>1490</v>
      </c>
      <c r="C804" s="1944"/>
      <c r="D804" s="1944"/>
      <c r="E804" s="1944"/>
      <c r="F804" s="1944"/>
      <c r="G804" s="1944"/>
      <c r="H804" s="1944"/>
      <c r="I804" s="1944"/>
      <c r="J804" s="1944"/>
      <c r="K804" s="1944"/>
      <c r="L804" s="1944"/>
      <c r="M804" s="1944"/>
      <c r="N804" s="1944"/>
      <c r="O804" s="1944"/>
      <c r="P804" s="1944"/>
      <c r="Q804" s="1944"/>
      <c r="R804" s="1944"/>
      <c r="S804" s="1945"/>
      <c r="T804" s="1946">
        <f>AK327</f>
        <v>10</v>
      </c>
      <c r="U804" s="1946"/>
      <c r="V804" s="1946"/>
      <c r="W804" s="1946"/>
      <c r="X804" s="1946"/>
      <c r="Y804" s="1946"/>
      <c r="Z804" s="1955">
        <v>10</v>
      </c>
      <c r="AA804" s="1956"/>
      <c r="AB804" s="1956"/>
      <c r="AC804" s="1956"/>
      <c r="AD804" s="1956"/>
      <c r="AE804" s="1957"/>
      <c r="AF804" s="1955">
        <f>IF(T804&gt;Z804,Z804,T804)</f>
        <v>10</v>
      </c>
      <c r="AG804" s="1956"/>
      <c r="AH804" s="1956"/>
      <c r="AI804" s="1956"/>
      <c r="AJ804" s="1956"/>
      <c r="AK804" s="195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2">
        <f>AK327</f>
        <v>10</v>
      </c>
      <c r="U805" s="1952"/>
      <c r="V805" s="1952"/>
      <c r="W805" s="1952"/>
      <c r="X805" s="1952"/>
      <c r="Y805" s="1952"/>
      <c r="Z805" s="1920">
        <v>20</v>
      </c>
      <c r="AA805" s="1921"/>
      <c r="AB805" s="1921"/>
      <c r="AC805" s="1921"/>
      <c r="AD805" s="1921"/>
      <c r="AE805" s="1922"/>
      <c r="AF805" s="1954"/>
      <c r="AG805" s="1954"/>
      <c r="AH805" s="1954"/>
      <c r="AI805" s="1954"/>
      <c r="AJ805" s="1954"/>
      <c r="AK805" s="195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1562</v>
      </c>
      <c r="B806" s="1944" t="s">
        <v>856</v>
      </c>
      <c r="C806" s="1944"/>
      <c r="D806" s="1944"/>
      <c r="E806" s="1944"/>
      <c r="F806" s="1944"/>
      <c r="G806" s="1944"/>
      <c r="H806" s="1944"/>
      <c r="I806" s="1944"/>
      <c r="J806" s="1944"/>
      <c r="K806" s="1944"/>
      <c r="L806" s="1944"/>
      <c r="M806" s="1944"/>
      <c r="N806" s="1944"/>
      <c r="O806" s="1944"/>
      <c r="P806" s="1944"/>
      <c r="Q806" s="1944"/>
      <c r="R806" s="1944"/>
      <c r="S806" s="1945"/>
      <c r="T806" s="1946">
        <f>AK458</f>
        <v>10</v>
      </c>
      <c r="U806" s="1946"/>
      <c r="V806" s="1946"/>
      <c r="W806" s="1946"/>
      <c r="X806" s="1946"/>
      <c r="Y806" s="1946"/>
      <c r="Z806" s="1955">
        <v>10</v>
      </c>
      <c r="AA806" s="1956"/>
      <c r="AB806" s="1956"/>
      <c r="AC806" s="1956"/>
      <c r="AD806" s="1956"/>
      <c r="AE806" s="1957"/>
      <c r="AF806" s="1933">
        <f>IF(T806&gt;Z806,Z806,T806)</f>
        <v>10</v>
      </c>
      <c r="AG806" s="1933"/>
      <c r="AH806" s="1933"/>
      <c r="AI806" s="1933"/>
      <c r="AJ806" s="1933"/>
      <c r="AK806" s="19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1668</v>
      </c>
      <c r="B807" s="1944" t="s">
        <v>1669</v>
      </c>
      <c r="C807" s="1944"/>
      <c r="D807" s="1944"/>
      <c r="E807" s="1944"/>
      <c r="F807" s="1944"/>
      <c r="G807" s="1944"/>
      <c r="H807" s="1944"/>
      <c r="I807" s="1944"/>
      <c r="J807" s="1944"/>
      <c r="K807" s="1944"/>
      <c r="L807" s="1944"/>
      <c r="M807" s="1944"/>
      <c r="N807" s="1944"/>
      <c r="O807" s="1944"/>
      <c r="P807" s="1944"/>
      <c r="Q807" s="1944"/>
      <c r="R807" s="1944"/>
      <c r="S807" s="1945"/>
      <c r="T807" s="1946">
        <f ca="1">AK548</f>
        <v>12</v>
      </c>
      <c r="U807" s="1946"/>
      <c r="V807" s="1946"/>
      <c r="W807" s="1946"/>
      <c r="X807" s="1946"/>
      <c r="Y807" s="1946"/>
      <c r="Z807" s="1955">
        <v>12</v>
      </c>
      <c r="AA807" s="1956"/>
      <c r="AB807" s="1956"/>
      <c r="AC807" s="1956"/>
      <c r="AD807" s="1956"/>
      <c r="AE807" s="1957"/>
      <c r="AF807" s="1933">
        <f ca="1">IF(T807&gt;Z807,Z807,T807)</f>
        <v>12</v>
      </c>
      <c r="AG807" s="1933"/>
      <c r="AH807" s="1933"/>
      <c r="AI807" s="1933"/>
      <c r="AJ807" s="1933"/>
      <c r="AK807" s="19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2333</v>
      </c>
      <c r="B808" s="1944" t="s">
        <v>1691</v>
      </c>
      <c r="C808" s="1944"/>
      <c r="D808" s="1944"/>
      <c r="E808" s="1944"/>
      <c r="F808" s="1944"/>
      <c r="G808" s="1944"/>
      <c r="H808" s="1944"/>
      <c r="I808" s="1944"/>
      <c r="J808" s="1944"/>
      <c r="K808" s="1944"/>
      <c r="L808" s="1944"/>
      <c r="M808" s="1944"/>
      <c r="N808" s="1944"/>
      <c r="O808" s="1944"/>
      <c r="P808" s="1944"/>
      <c r="Q808" s="1944"/>
      <c r="R808" s="1944"/>
      <c r="S808" s="1945"/>
      <c r="T808" s="1946">
        <f>AK783</f>
        <v>10</v>
      </c>
      <c r="U808" s="1946"/>
      <c r="V808" s="1946"/>
      <c r="W808" s="1946"/>
      <c r="X808" s="1946"/>
      <c r="Y808" s="1946"/>
      <c r="Z808" s="1955">
        <v>10</v>
      </c>
      <c r="AA808" s="1956"/>
      <c r="AB808" s="1956"/>
      <c r="AC808" s="1956"/>
      <c r="AD808" s="1956"/>
      <c r="AE808" s="1957"/>
      <c r="AF808" s="1933">
        <f>IF(T808&gt;Z808,Z808,T808)</f>
        <v>10</v>
      </c>
      <c r="AG808" s="1933"/>
      <c r="AH808" s="1933"/>
      <c r="AI808" s="1933"/>
      <c r="AJ808" s="1933"/>
      <c r="AK808" s="19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8" t="s">
        <v>1692</v>
      </c>
      <c r="B809" s="1944"/>
      <c r="C809" s="1944"/>
      <c r="D809" s="1944"/>
      <c r="E809" s="1944"/>
      <c r="F809" s="1944"/>
      <c r="G809" s="1944"/>
      <c r="H809" s="1944"/>
      <c r="I809" s="1944"/>
      <c r="J809" s="1944"/>
      <c r="K809" s="1944"/>
      <c r="L809" s="1944"/>
      <c r="M809" s="1944"/>
      <c r="N809" s="1944"/>
      <c r="O809" s="1944"/>
      <c r="P809" s="1944"/>
      <c r="Q809" s="1944"/>
      <c r="R809" s="1944"/>
      <c r="S809" s="1945"/>
      <c r="T809" s="1959"/>
      <c r="U809" s="1959"/>
      <c r="V809" s="1959"/>
      <c r="W809" s="1959"/>
      <c r="X809" s="1959"/>
      <c r="Y809" s="1959"/>
      <c r="Z809" s="1953" t="s">
        <v>1693</v>
      </c>
      <c r="AA809" s="1953"/>
      <c r="AB809" s="1953"/>
      <c r="AC809" s="1953"/>
      <c r="AD809" s="1953"/>
      <c r="AE809" s="1953"/>
      <c r="AF809" s="1955">
        <f>IF(T809&gt;0,T809,0)</f>
        <v>0</v>
      </c>
      <c r="AG809" s="1956"/>
      <c r="AH809" s="1956"/>
      <c r="AI809" s="1956"/>
      <c r="AJ809" s="1956"/>
      <c r="AK809" s="195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60" t="s">
        <v>1694</v>
      </c>
      <c r="B810" s="1961"/>
      <c r="C810" s="1961"/>
      <c r="D810" s="1961"/>
      <c r="E810" s="1961"/>
      <c r="F810" s="1961"/>
      <c r="G810" s="1961"/>
      <c r="H810" s="1961"/>
      <c r="I810" s="1961"/>
      <c r="J810" s="1961"/>
      <c r="K810" s="1961"/>
      <c r="L810" s="1961"/>
      <c r="M810" s="1961"/>
      <c r="N810" s="1961"/>
      <c r="O810" s="1961"/>
      <c r="P810" s="1961"/>
      <c r="Q810" s="1961"/>
      <c r="R810" s="1961"/>
      <c r="S810" s="1961"/>
      <c r="T810" s="1961"/>
      <c r="U810" s="1961"/>
      <c r="V810" s="1961"/>
      <c r="W810" s="1961"/>
      <c r="X810" s="1961"/>
      <c r="Y810" s="1961"/>
      <c r="Z810" s="1961"/>
      <c r="AA810" s="1961"/>
      <c r="AB810" s="1961"/>
      <c r="AC810" s="1961"/>
      <c r="AD810" s="1961"/>
      <c r="AE810" s="1962"/>
      <c r="AF810" s="1966">
        <f ca="1">SUM(AF793:AK808)-AF809</f>
        <v>120</v>
      </c>
      <c r="AG810" s="1967"/>
      <c r="AH810" s="1967"/>
      <c r="AI810" s="1967"/>
      <c r="AJ810" s="1967"/>
      <c r="AK810" s="196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3"/>
      <c r="B811" s="1964"/>
      <c r="C811" s="1964"/>
      <c r="D811" s="1964"/>
      <c r="E811" s="1964"/>
      <c r="F811" s="1964"/>
      <c r="G811" s="1964"/>
      <c r="H811" s="1964"/>
      <c r="I811" s="1964"/>
      <c r="J811" s="1964"/>
      <c r="K811" s="1964"/>
      <c r="L811" s="1964"/>
      <c r="M811" s="1964"/>
      <c r="N811" s="1964"/>
      <c r="O811" s="1964"/>
      <c r="P811" s="1964"/>
      <c r="Q811" s="1964"/>
      <c r="R811" s="1964"/>
      <c r="S811" s="1964"/>
      <c r="T811" s="1964"/>
      <c r="U811" s="1964"/>
      <c r="V811" s="1964"/>
      <c r="W811" s="1964"/>
      <c r="X811" s="1964"/>
      <c r="Y811" s="1964"/>
      <c r="Z811" s="1964"/>
      <c r="AA811" s="1964"/>
      <c r="AB811" s="1964"/>
      <c r="AC811" s="1964"/>
      <c r="AD811" s="1964"/>
      <c r="AE811" s="1965"/>
      <c r="AF811" s="1969"/>
      <c r="AG811" s="1970"/>
      <c r="AH811" s="1970"/>
      <c r="AI811" s="1970"/>
      <c r="AJ811" s="1970"/>
      <c r="AK811" s="197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09" workbookViewId="0">
      <selection activeCell="H26" sqref="H26"/>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7" t="s">
        <v>1695</v>
      </c>
      <c r="B1" s="2147"/>
      <c r="C1" s="2147"/>
      <c r="D1" s="2147"/>
      <c r="E1" s="2147"/>
      <c r="F1" s="2147"/>
      <c r="G1" s="2147"/>
      <c r="H1" s="2147"/>
      <c r="I1" s="2147"/>
      <c r="J1" s="2147"/>
    </row>
    <row r="2" spans="1:13" ht="15" customHeight="1" thickBot="1">
      <c r="A2" s="1081"/>
      <c r="B2" s="1081"/>
      <c r="I2" s="1082"/>
      <c r="K2" s="1083"/>
    </row>
    <row r="3" spans="1:13" s="1086" customFormat="1" ht="20.149999999999999" customHeight="1">
      <c r="A3" s="1140"/>
      <c r="B3" s="1141"/>
      <c r="C3" s="1142"/>
      <c r="D3" s="1147"/>
      <c r="E3" s="1142"/>
      <c r="F3" s="1143" t="s">
        <v>2298</v>
      </c>
      <c r="G3" s="1142"/>
      <c r="H3" s="1144">
        <f>E16</f>
        <v>15717780</v>
      </c>
      <c r="I3" s="1145"/>
    </row>
    <row r="4" spans="1:13" s="1086" customFormat="1" ht="20.149999999999999" customHeight="1">
      <c r="B4" s="1134"/>
      <c r="D4" s="1148"/>
      <c r="F4" s="1132" t="s">
        <v>2300</v>
      </c>
      <c r="G4" s="1131" t="s">
        <v>2299</v>
      </c>
      <c r="H4" s="1133">
        <f ca="1">I16</f>
        <v>21587972.257979631</v>
      </c>
      <c r="I4" s="1135"/>
      <c r="K4" s="1090"/>
    </row>
    <row r="5" spans="1:13" s="1086" customFormat="1" ht="20.149999999999999" customHeight="1" thickBot="1">
      <c r="B5" s="1136"/>
      <c r="C5" s="1137"/>
      <c r="D5" s="1149"/>
      <c r="E5" s="1138"/>
      <c r="F5" s="1149" t="s">
        <v>2240</v>
      </c>
      <c r="G5" s="1150"/>
      <c r="H5" s="1146">
        <f ca="1">H3/H4</f>
        <v>0.72808042423670372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8" t="s">
        <v>2238</v>
      </c>
      <c r="C8" s="2149"/>
      <c r="D8" s="2149"/>
      <c r="E8" s="2150"/>
      <c r="G8" s="2151" t="s">
        <v>2239</v>
      </c>
      <c r="H8" s="2152"/>
      <c r="I8" s="2153"/>
      <c r="K8" s="1092"/>
    </row>
    <row r="9" spans="1:13" ht="15" customHeight="1">
      <c r="A9" s="1081"/>
      <c r="B9" s="2142" t="s">
        <v>2277</v>
      </c>
      <c r="C9" s="2142"/>
      <c r="D9" s="2142"/>
      <c r="E9" s="1094">
        <f>G31</f>
        <v>2175000</v>
      </c>
      <c r="G9" s="2145" t="s">
        <v>2275</v>
      </c>
      <c r="H9" s="2145"/>
      <c r="I9" s="1095">
        <f>Application!AM554</f>
        <v>19063641.07794103</v>
      </c>
      <c r="K9" s="1096"/>
      <c r="M9" s="1097"/>
    </row>
    <row r="10" spans="1:13" ht="15" customHeight="1" thickBot="1">
      <c r="A10" s="1081"/>
      <c r="B10" s="2142" t="s">
        <v>2278</v>
      </c>
      <c r="C10" s="2142"/>
      <c r="D10" s="2142"/>
      <c r="E10" s="1095">
        <f>G40</f>
        <v>8981280</v>
      </c>
      <c r="G10" s="2145" t="s">
        <v>2241</v>
      </c>
      <c r="H10" s="2145"/>
      <c r="I10" s="1182">
        <f ca="1">'Basis &amp; Credits'!AB78</f>
        <v>9200000</v>
      </c>
      <c r="M10" s="1097"/>
    </row>
    <row r="11" spans="1:13" ht="15" customHeight="1">
      <c r="A11" s="1098"/>
      <c r="B11" s="2142" t="s">
        <v>2279</v>
      </c>
      <c r="C11" s="2142"/>
      <c r="D11" s="2142"/>
      <c r="E11" s="1095">
        <f>G49</f>
        <v>230000</v>
      </c>
      <c r="G11" s="2145" t="s">
        <v>2290</v>
      </c>
      <c r="H11" s="2145"/>
      <c r="I11" s="1181">
        <f ca="1">I9+I10</f>
        <v>28263641.07794103</v>
      </c>
      <c r="M11" s="1097"/>
    </row>
    <row r="12" spans="1:13" ht="15" customHeight="1">
      <c r="A12" s="1084"/>
      <c r="B12" s="2142" t="s">
        <v>2280</v>
      </c>
      <c r="C12" s="2142"/>
      <c r="D12" s="2142"/>
      <c r="E12" s="1095">
        <f>G58</f>
        <v>460000</v>
      </c>
      <c r="G12" s="1183" t="s">
        <v>2315</v>
      </c>
      <c r="H12" s="1184"/>
      <c r="M12" s="1097"/>
    </row>
    <row r="13" spans="1:13" ht="15" customHeight="1">
      <c r="A13" s="1081"/>
      <c r="B13" s="2142" t="s">
        <v>2281</v>
      </c>
      <c r="C13" s="2142"/>
      <c r="D13" s="2142"/>
      <c r="E13" s="1100">
        <f>G83</f>
        <v>3001500</v>
      </c>
      <c r="G13" s="2146" t="s">
        <v>139</v>
      </c>
      <c r="H13" s="2146"/>
      <c r="I13" s="1099">
        <f>15%*(AND(G111="Yes",G113&lt;&gt;""))</f>
        <v>0.15</v>
      </c>
      <c r="M13" s="1097"/>
    </row>
    <row r="14" spans="1:13" ht="15" customHeight="1">
      <c r="A14" s="1081"/>
      <c r="B14" s="2142" t="s">
        <v>2282</v>
      </c>
      <c r="C14" s="2142"/>
      <c r="D14" s="2142"/>
      <c r="E14" s="1095">
        <f>IF(G96&gt;G106,G96,0)</f>
        <v>0</v>
      </c>
      <c r="G14" s="1179" t="s">
        <v>2291</v>
      </c>
      <c r="H14" s="1179"/>
      <c r="I14" s="1099">
        <f>IF(Application!AJ1031&gt;0,10%,IF(Application!AJ1035&gt;0,5%,0))</f>
        <v>0</v>
      </c>
      <c r="M14" s="1097"/>
    </row>
    <row r="15" spans="1:13" ht="15" customHeight="1" thickBot="1">
      <c r="A15" s="1081"/>
      <c r="B15" s="2143" t="s">
        <v>2301</v>
      </c>
      <c r="C15" s="2143"/>
      <c r="D15" s="2143"/>
      <c r="E15" s="1151">
        <f>IF(E14&gt;0,0,G106)</f>
        <v>870000</v>
      </c>
      <c r="G15" s="2140" t="s">
        <v>2292</v>
      </c>
      <c r="H15" s="2141"/>
      <c r="I15" s="1153">
        <f>G123</f>
        <v>8.6192810457516339E-2</v>
      </c>
      <c r="M15" s="1097"/>
    </row>
    <row r="16" spans="1:13" ht="15" customHeight="1">
      <c r="A16" s="1081"/>
      <c r="B16" s="2144" t="s">
        <v>2237</v>
      </c>
      <c r="C16" s="2144"/>
      <c r="D16" s="2144"/>
      <c r="E16" s="1152">
        <f>SUM(E9:E15)</f>
        <v>15717780</v>
      </c>
      <c r="G16" s="1180" t="s">
        <v>2276</v>
      </c>
      <c r="H16" s="1180"/>
      <c r="I16" s="1154">
        <f ca="1">I11-((I11*I13)+(I11*I14)+(I11*I15))</f>
        <v>21587972.257979631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46</v>
      </c>
      <c r="O18" s="1124" t="s">
        <v>590</v>
      </c>
      <c r="P18" s="1079">
        <f>MATCH(Application!T189,Application!BV490:BV547,0)</f>
        <v>1</v>
      </c>
      <c r="S18" s="1101">
        <f>SUM(Cdlac[Population])</f>
        <v>46</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8" t="s">
        <v>2294</v>
      </c>
      <c r="D20" s="2138" t="s">
        <v>2295</v>
      </c>
      <c r="E20" s="2138" t="s">
        <v>2296</v>
      </c>
      <c r="F20" s="2138" t="s">
        <v>2297</v>
      </c>
      <c r="G20" s="2138" t="s">
        <v>2293</v>
      </c>
      <c r="H20" s="1108"/>
      <c r="I20" s="1107"/>
      <c r="L20" s="1079">
        <f>IFERROR(MIN(4,MATCH(Application!B718,UnitSizes,0)-1),"")</f>
        <v>0</v>
      </c>
      <c r="M20" s="1101">
        <f>Application!G718</f>
        <v>20</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20</v>
      </c>
      <c r="T20" s="1079" t="b">
        <f>AND('Subsidy Contract Calculation'!F4&gt;0,'Subsidy Contract Calculation'!C4="Federal",Cdlac[[#This Row],[Quantity]]&gt;0)</f>
        <v>1</v>
      </c>
    </row>
    <row r="21" spans="1:20" ht="15" customHeight="1">
      <c r="A21" s="1084"/>
      <c r="C21" s="2139"/>
      <c r="D21" s="2139"/>
      <c r="E21" s="2139"/>
      <c r="F21" s="2139"/>
      <c r="G21" s="2139"/>
      <c r="H21" s="1108"/>
      <c r="I21" s="1107"/>
      <c r="L21" s="1079">
        <f>IFERROR(MIN(4,MATCH(Application!B719,UnitSizes,0)-1),"")</f>
        <v>0</v>
      </c>
      <c r="M21" s="1101">
        <f>Application!G719</f>
        <v>5</v>
      </c>
      <c r="N21" s="1109">
        <f>Application!AC719</f>
        <v>0.3</v>
      </c>
      <c r="O21" s="1109">
        <f>IF(Cdlac[[#This Row],[Quantity]]&gt;0,IF(Cdlac[[#This Row],[Federal]],30%,IF($G$36,40%,Cdlac[[#This Row],[iAMI]])),"")</f>
        <v>0.4</v>
      </c>
      <c r="P21" s="1101" cm="1">
        <f t="array" ref="P21">IF(Cdlac[[#This Row],[Quantity]]&gt;0,INDEX(TcacRents,$P$18,Cdlac[[#This Row],[Bedrooms]]+1)*Cdlac[[#This Row],[AMI]],"")</f>
        <v>1089.6000000000001</v>
      </c>
      <c r="Q21" s="1101" cm="1">
        <f t="array" ref="Q21">IF(Cdlac[[#This Row],[Quantity]]&gt;0,INDEX(HudFmrs,$P$18,Cdlac[[#This Row],[Bedrooms]]+1),"")</f>
        <v>1825</v>
      </c>
      <c r="R21" s="1101">
        <f>IF(Cdlac[[#This Row],[Quantity]]&gt;0,MAX(0,Cdlac[[#This Row],[Fair Market Rent]]-Cdlac[[#This Row],[Restricted Rent]]),"")</f>
        <v>735.39999999999986</v>
      </c>
      <c r="S21" s="1079">
        <f>IF(Cdlac[[#This Row],[Quantity]]&gt;0,AND(Application!AK719&lt;&gt;"N/A",Application!AK719&lt;&gt;"")*Cdlac[[#This Row],[Quantity]],"")</f>
        <v>5</v>
      </c>
      <c r="T21" s="1079" t="b">
        <f>AND('Subsidy Contract Calculation'!F5&gt;0,'Subsidy Contract Calculation'!C5="Federal",Cdlac[[#This Row],[Quantity]]&gt;0)</f>
        <v>0</v>
      </c>
    </row>
    <row r="22" spans="1:20" ht="15" customHeight="1">
      <c r="C22" s="1110">
        <v>0</v>
      </c>
      <c r="D22" s="1111">
        <v>0.9</v>
      </c>
      <c r="E22" s="1110">
        <f>SUMIFS(Cdlac[Quantity],Cdlac[Bedrooms],C22)</f>
        <v>25</v>
      </c>
      <c r="F22" s="1110">
        <f>E22</f>
        <v>25</v>
      </c>
      <c r="G22" s="1110">
        <f>D22*F22</f>
        <v>22.5</v>
      </c>
      <c r="L22" s="1079">
        <f>IFERROR(MIN(4,MATCH(Application!B720,UnitSizes,0)-1),"")</f>
        <v>1</v>
      </c>
      <c r="M22" s="1101">
        <f>Application!G720</f>
        <v>20</v>
      </c>
      <c r="N22" s="1109">
        <f>Application!AC720</f>
        <v>0.3</v>
      </c>
      <c r="O22" s="1109">
        <f>IF(Cdlac[[#This Row],[Quantity]]&gt;0,IF(Cdlac[[#This Row],[Federal]],30%,IF($G$36,40%,Cdlac[[#This Row],[iAMI]])),"")</f>
        <v>0.3</v>
      </c>
      <c r="P22" s="1101" cm="1">
        <f t="array" ref="P22">IF(Cdlac[[#This Row],[Quantity]]&gt;0,INDEX(TcacRents,$P$18,Cdlac[[#This Row],[Bedrooms]]+1)*Cdlac[[#This Row],[AMI]],"")</f>
        <v>876</v>
      </c>
      <c r="Q22" s="1101" cm="1">
        <f t="array" ref="Q22">IF(Cdlac[[#This Row],[Quantity]]&gt;0,INDEX(HudFmrs,$P$18,Cdlac[[#This Row],[Bedrooms]]+1),"")</f>
        <v>2131</v>
      </c>
      <c r="R22" s="1101">
        <f>IF(Cdlac[[#This Row],[Quantity]]&gt;0,MAX(0,Cdlac[[#This Row],[Fair Market Rent]]-Cdlac[[#This Row],[Restricted Rent]]),"")</f>
        <v>1255</v>
      </c>
      <c r="S22" s="1079">
        <f>IF(Cdlac[[#This Row],[Quantity]]&gt;0,AND(Application!AK720&lt;&gt;"N/A",Application!AK720&lt;&gt;"")*Cdlac[[#This Row],[Quantity]],"")</f>
        <v>20</v>
      </c>
      <c r="T22" s="1079" t="b">
        <f>AND('Subsidy Contract Calculation'!F6&gt;0,'Subsidy Contract Calculation'!C6="Federal",Cdlac[[#This Row],[Quantity]]&gt;0)</f>
        <v>1</v>
      </c>
    </row>
    <row r="23" spans="1:20" ht="15" customHeight="1">
      <c r="C23" s="1110">
        <v>1</v>
      </c>
      <c r="D23" s="1111">
        <v>1</v>
      </c>
      <c r="E23" s="1110">
        <f>SUMIFS(Cdlac[Quantity],Cdlac[Bedrooms],C23)</f>
        <v>21</v>
      </c>
      <c r="F23" s="1110">
        <f>E23</f>
        <v>21</v>
      </c>
      <c r="G23" s="1110">
        <f>D23*F23</f>
        <v>21</v>
      </c>
      <c r="L23" s="1079">
        <f>IFERROR(MIN(4,MATCH(Application!B721,UnitSizes,0)-1),"")</f>
        <v>1</v>
      </c>
      <c r="M23" s="1101">
        <f>Application!G721</f>
        <v>1</v>
      </c>
      <c r="N23" s="1109">
        <f>Application!AC721</f>
        <v>0.3</v>
      </c>
      <c r="O23" s="1109">
        <f>IF(Cdlac[[#This Row],[Quantity]]&gt;0,IF(Cdlac[[#This Row],[Federal]],30%,IF($G$36,40%,Cdlac[[#This Row],[iAMI]])),"")</f>
        <v>0.4</v>
      </c>
      <c r="P23" s="1101" cm="1">
        <f t="array" ref="P23">IF(Cdlac[[#This Row],[Quantity]]&gt;0,INDEX(TcacRents,$P$18,Cdlac[[#This Row],[Bedrooms]]+1)*Cdlac[[#This Row],[AMI]],"")</f>
        <v>1168</v>
      </c>
      <c r="Q23" s="1101" cm="1">
        <f t="array" ref="Q23">IF(Cdlac[[#This Row],[Quantity]]&gt;0,INDEX(HudFmrs,$P$18,Cdlac[[#This Row],[Bedrooms]]+1),"")</f>
        <v>2131</v>
      </c>
      <c r="R23" s="1101">
        <f>IF(Cdlac[[#This Row],[Quantity]]&gt;0,MAX(0,Cdlac[[#This Row],[Fair Market Rent]]-Cdlac[[#This Row],[Restricted Rent]]),"")</f>
        <v>963</v>
      </c>
      <c r="S23" s="1079">
        <f>IF(Cdlac[[#This Row],[Quantity]]&gt;0,AND(Application!AK721&lt;&gt;"N/A",Application!AK721&lt;&gt;"")*Cdlac[[#This Row],[Quantity]],"")</f>
        <v>1</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4" t="s">
        <v>1696</v>
      </c>
      <c r="D27" s="2155"/>
      <c r="E27" s="1129">
        <f>SUM(E22:E26)</f>
        <v>46</v>
      </c>
      <c r="F27" s="1129">
        <f>SUM(F22:F26)</f>
        <v>46</v>
      </c>
      <c r="G27" s="1130">
        <f>SUMPRODUCT(D22:D26,F22:F26)</f>
        <v>43.5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43.5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2175000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1</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49896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8981280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46</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23</v>
      </c>
    </row>
    <row r="46" spans="2:20" ht="15" customHeight="1">
      <c r="E46" s="1159"/>
      <c r="G46" s="1167"/>
    </row>
    <row r="47" spans="2:20" ht="15" customHeight="1">
      <c r="E47" s="1159" t="s">
        <v>2255</v>
      </c>
      <c r="G47" s="1156">
        <f>MIN(G44:G45)</f>
        <v>23</v>
      </c>
    </row>
    <row r="48" spans="2:20" ht="15" customHeight="1">
      <c r="E48" s="1159" t="s">
        <v>2245</v>
      </c>
      <c r="F48" s="1155" t="s">
        <v>2302</v>
      </c>
      <c r="G48" s="1166">
        <v>10000</v>
      </c>
    </row>
    <row r="49" spans="2:14" ht="15" customHeight="1">
      <c r="E49" s="1160" t="s">
        <v>2285</v>
      </c>
      <c r="F49" s="1081"/>
      <c r="G49" s="1165">
        <f>G47*G48</f>
        <v>230000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46</v>
      </c>
    </row>
    <row r="54" spans="2:14" ht="15" customHeight="1">
      <c r="E54" s="1159" t="s">
        <v>2304</v>
      </c>
      <c r="G54" s="1117">
        <f>ROUNDDOWN(E27*50%,0)</f>
        <v>23</v>
      </c>
    </row>
    <row r="55" spans="2:14" ht="15" customHeight="1">
      <c r="E55" s="1159"/>
      <c r="G55" s="1117"/>
    </row>
    <row r="56" spans="2:14" ht="15" customHeight="1">
      <c r="E56" s="1159" t="s">
        <v>2255</v>
      </c>
      <c r="G56" s="1156">
        <f>MIN(G53:G54)</f>
        <v>23</v>
      </c>
    </row>
    <row r="57" spans="2:14" ht="15" customHeight="1">
      <c r="E57" s="1159" t="s">
        <v>2245</v>
      </c>
      <c r="F57" s="1155" t="s">
        <v>2302</v>
      </c>
      <c r="G57" s="1166">
        <v>20000</v>
      </c>
    </row>
    <row r="58" spans="2:14" ht="15" customHeight="1">
      <c r="E58" s="1160" t="s">
        <v>2284</v>
      </c>
      <c r="F58" s="1081"/>
      <c r="G58" s="1165">
        <f>G56*G57</f>
        <v>460000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6" t="s">
        <v>1514</v>
      </c>
      <c r="N62" s="2157"/>
    </row>
    <row r="63" spans="2:14" ht="15" customHeight="1">
      <c r="E63" s="1124" t="s">
        <v>2245</v>
      </c>
      <c r="F63" s="1155" t="s">
        <v>2302</v>
      </c>
      <c r="G63" s="1114">
        <v>4000</v>
      </c>
      <c r="L63" s="1170" t="str">
        <f>'Points System'!H639</f>
        <v>N/A</v>
      </c>
      <c r="M63" s="2158" t="s">
        <v>2259</v>
      </c>
      <c r="N63" s="2159"/>
    </row>
    <row r="64" spans="2:14" ht="15" customHeight="1">
      <c r="E64" s="1124" t="s">
        <v>2306</v>
      </c>
      <c r="F64" s="1155" t="s">
        <v>2302</v>
      </c>
      <c r="G64" s="1168">
        <f>G27</f>
        <v>43.5</v>
      </c>
      <c r="L64" s="1170" t="str">
        <f>'Points System'!H674</f>
        <v>(i)</v>
      </c>
      <c r="M64" s="2158" t="s">
        <v>2260</v>
      </c>
      <c r="N64" s="2159"/>
    </row>
    <row r="65" spans="2:14" ht="15" customHeight="1">
      <c r="E65" s="1160" t="s">
        <v>2264</v>
      </c>
      <c r="F65" s="1081"/>
      <c r="G65" s="1165">
        <f>G62*G63*G64</f>
        <v>1218000</v>
      </c>
      <c r="L65" s="1170" t="str">
        <f>IF(OR('Points System'!H698="(ii)",'Points System'!H698="(i)"),"(i)","N/A")</f>
        <v>(i)</v>
      </c>
      <c r="M65" s="2158" t="s">
        <v>2261</v>
      </c>
      <c r="N65" s="2159"/>
    </row>
    <row r="66" spans="2:14" ht="15" customHeight="1">
      <c r="C66" s="1115"/>
      <c r="G66" s="1156"/>
      <c r="L66" s="1171" t="str">
        <f>'Points System'!H712</f>
        <v>N/A</v>
      </c>
      <c r="M66" s="2158" t="s">
        <v>1540</v>
      </c>
      <c r="N66" s="2159"/>
    </row>
    <row r="67" spans="2:14" ht="15" customHeight="1">
      <c r="E67" s="1124" t="s">
        <v>2307</v>
      </c>
      <c r="G67" s="1168">
        <f>COUNTIFS(L62:L69,"(i)")</f>
        <v>4</v>
      </c>
      <c r="L67" s="1170" t="str">
        <f>'Points System'!H724</f>
        <v>N/A</v>
      </c>
      <c r="M67" s="2158" t="s">
        <v>2262</v>
      </c>
      <c r="N67" s="2159"/>
    </row>
    <row r="68" spans="2:14" ht="15" customHeight="1">
      <c r="E68" s="1124" t="s">
        <v>2245</v>
      </c>
      <c r="F68" s="1155" t="s">
        <v>2302</v>
      </c>
      <c r="G68" s="1166">
        <v>4000</v>
      </c>
      <c r="L68" s="1170" t="str">
        <f>'Points System'!H740</f>
        <v>N/A</v>
      </c>
      <c r="M68" s="2158" t="s">
        <v>2263</v>
      </c>
      <c r="N68" s="2159"/>
    </row>
    <row r="69" spans="2:14" ht="15" customHeight="1" thickBot="1">
      <c r="E69" s="1160" t="s">
        <v>2265</v>
      </c>
      <c r="F69" s="1081"/>
      <c r="G69" s="1165">
        <f>G64*G67*G68</f>
        <v>696000</v>
      </c>
      <c r="L69" s="1172" t="str">
        <f>'Points System'!H752</f>
        <v>(i)</v>
      </c>
      <c r="M69" s="2167" t="s">
        <v>1543</v>
      </c>
      <c r="N69" s="2168"/>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43.5</v>
      </c>
    </row>
    <row r="80" spans="2:14" ht="15" customHeight="1">
      <c r="E80" s="1124" t="s">
        <v>2245</v>
      </c>
      <c r="F80" s="1155" t="s">
        <v>2302</v>
      </c>
      <c r="G80" s="1166">
        <v>25000</v>
      </c>
    </row>
    <row r="81" spans="2:14" ht="15" customHeight="1">
      <c r="E81" s="1160" t="s">
        <v>2266</v>
      </c>
      <c r="F81" s="1081"/>
      <c r="G81" s="1165">
        <f>G77*G80*G64</f>
        <v>1087500</v>
      </c>
    </row>
    <row r="82" spans="2:14" ht="15" customHeight="1">
      <c r="C82" s="1115"/>
      <c r="E82" s="1115"/>
    </row>
    <row r="83" spans="2:14" ht="15" customHeight="1">
      <c r="E83" s="1160" t="s">
        <v>2243</v>
      </c>
      <c r="G83" s="1165">
        <f>G81+G69+G65</f>
        <v>3001500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9" t="s">
        <v>2272</v>
      </c>
      <c r="M87" s="2170"/>
      <c r="N87" s="1173">
        <v>30000</v>
      </c>
    </row>
    <row r="88" spans="2:14" ht="15" customHeight="1">
      <c r="C88" s="1115" t="s">
        <v>2289</v>
      </c>
      <c r="G88" s="1119" t="str">
        <f>IF(Application!D211="Large Family","Yes","No")</f>
        <v>No</v>
      </c>
      <c r="L88" s="2163" t="s">
        <v>2236</v>
      </c>
      <c r="M88" s="2164"/>
      <c r="N88" s="1174">
        <v>20000</v>
      </c>
    </row>
    <row r="89" spans="2:14" ht="15" customHeight="1" thickBot="1">
      <c r="C89" s="1115" t="s">
        <v>2270</v>
      </c>
      <c r="G89" s="1078" t="s">
        <v>553</v>
      </c>
      <c r="L89" s="2165" t="s">
        <v>2273</v>
      </c>
      <c r="M89" s="2166"/>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43.5</v>
      </c>
    </row>
    <row r="96" spans="2:14" ht="15" customHeight="1">
      <c r="D96" s="1081"/>
      <c r="E96" s="1160" t="s">
        <v>2244</v>
      </c>
      <c r="F96" s="1081"/>
      <c r="G96" s="1165">
        <f>G95*G94*G92</f>
        <v>870000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43.5</v>
      </c>
    </row>
    <row r="105" spans="2:9" ht="15" customHeight="1">
      <c r="E105" s="1124" t="s">
        <v>2245</v>
      </c>
      <c r="F105" s="1155" t="s">
        <v>2302</v>
      </c>
      <c r="G105" s="1085">
        <v>20000</v>
      </c>
    </row>
    <row r="106" spans="2:9" ht="15" customHeight="1">
      <c r="E106" s="1160" t="s">
        <v>2274</v>
      </c>
      <c r="F106" s="1081"/>
      <c r="G106" s="1165">
        <f>G102*G105*G104</f>
        <v>870000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0" t="s">
        <v>2637</v>
      </c>
      <c r="D110" s="2160"/>
      <c r="E110" s="2160"/>
      <c r="F110" s="2160"/>
    </row>
    <row r="111" spans="2:9" ht="15" customHeight="1">
      <c r="C111" s="2160"/>
      <c r="D111" s="2160"/>
      <c r="E111" s="2160"/>
      <c r="F111" s="2160"/>
      <c r="G111" s="1078" t="s">
        <v>553</v>
      </c>
    </row>
    <row r="112" spans="2:9" ht="15" customHeight="1"/>
    <row r="113" spans="2:9" ht="15" customHeight="1">
      <c r="C113" s="1079" t="s">
        <v>2640</v>
      </c>
      <c r="G113" s="2161" t="s">
        <v>2800</v>
      </c>
      <c r="H113" s="2161"/>
    </row>
    <row r="114" spans="2:9" ht="15" customHeight="1">
      <c r="G114" s="2161"/>
      <c r="H114" s="2161"/>
    </row>
    <row r="115" spans="2:9" ht="15" customHeight="1">
      <c r="G115" s="2162"/>
      <c r="H115" s="2162"/>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2310</v>
      </c>
      <c r="G122" s="1116">
        <f>MEDIAN((Application!BR806:BR863))</f>
        <v>489600</v>
      </c>
    </row>
    <row r="123" spans="2:9" ht="15" customHeight="1">
      <c r="D123" s="1081"/>
      <c r="E123" s="1160" t="s">
        <v>2312</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Weng</cp:lastModifiedBy>
  <cp:lastPrinted>2024-08-26T15:25:26Z</cp:lastPrinted>
  <dcterms:created xsi:type="dcterms:W3CDTF">2007-12-27T18:26:28Z</dcterms:created>
  <dcterms:modified xsi:type="dcterms:W3CDTF">2024-08-26T18:27:47Z</dcterms:modified>
</cp:coreProperties>
</file>