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Shiloh Arms - Sacramento - OAHS\3.3 CDLAC\Application\Ready to Review\"/>
    </mc:Choice>
  </mc:AlternateContent>
  <xr:revisionPtr revIDLastSave="0" documentId="13_ncr:1_{F1A67EB6-AB3D-42A4-9F50-7D704E269318}" xr6:coauthVersionLast="47" xr6:coauthVersionMax="47" xr10:uidLastSave="{00000000-0000-0000-0000-000000000000}"/>
  <bookViews>
    <workbookView xWindow="28680" yWindow="-120" windowWidth="29040" windowHeight="15720" tabRatio="805"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Points System" sheetId="20" r:id="rId7"/>
    <sheet name="Sources and Basis Breakdown" sheetId="13"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6">'Points System'!$A$1:$AM$812</definedName>
    <definedName name="_xlnm.Print_Area" localSheetId="14">'Post-award Project Cost Changes'!$A$1:$F$107</definedName>
    <definedName name="_xlnm.Print_Area" localSheetId="7">'Sources and Basis Breakdown'!$A$1:$J$111</definedName>
    <definedName name="_xlnm.Print_Area" localSheetId="5">'Sources and Uses Budget'!$A$1:$T$139</definedName>
    <definedName name="_xlnm.Print_Area" localSheetId="8">'Tie Breaker'!$A$1:$I$123</definedName>
    <definedName name="_xlnm.Print_Titles" localSheetId="7">'Sources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6" hidden="1">'Points System'!$AN:$CC</definedName>
    <definedName name="Z_48A1B9AA_9520_4513_968D_1FB22989E0AF_.wvu.Cols" localSheetId="7" hidden="1">'Sources and Basis Breakdown'!$K:$IV</definedName>
    <definedName name="Z_48A1B9AA_9520_4513_968D_1FB22989E0AF_.wvu.PrintArea" localSheetId="10" hidden="1">'Basis &amp; Credits'!$A$1:$AN$83</definedName>
    <definedName name="Z_48A1B9AA_9520_4513_968D_1FB22989E0AF_.wvu.PrintArea" localSheetId="6" hidden="1">'Points System'!$A$1:$AM$812</definedName>
    <definedName name="Z_48A1B9AA_9520_4513_968D_1FB22989E0AF_.wvu.PrintArea" localSheetId="7" hidden="1">'Sources and Basis Breakdown'!$A$1:$J$143</definedName>
    <definedName name="Z_48A1B9AA_9520_4513_968D_1FB22989E0AF_.wvu.PrintTitles" localSheetId="7" hidden="1">'Sources and Basis Breakdown'!$1:$2</definedName>
    <definedName name="Z_48A1B9AA_9520_4513_968D_1FB22989E0AF_.wvu.Rows" localSheetId="10" hidden="1">'Basis &amp; Credits'!$104:$65544,'Basis &amp; Credits'!$85:$103</definedName>
    <definedName name="Z_48A1B9AA_9520_4513_968D_1FB22989E0AF_.wvu.Rows" localSheetId="6"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74" i="3" l="1"/>
  <c r="O729" i="3"/>
  <c r="O753" i="3" s="1"/>
  <c r="O724" i="3"/>
  <c r="O726" i="3"/>
  <c r="O725" i="3"/>
  <c r="O720" i="3"/>
  <c r="G18" i="4"/>
  <c r="H18" i="4"/>
  <c r="I18" i="4"/>
  <c r="E9" i="4"/>
  <c r="E17" i="4"/>
  <c r="E4" i="4"/>
  <c r="F9" i="4"/>
  <c r="T9" i="4"/>
  <c r="C9" i="4"/>
  <c r="B9" i="4"/>
  <c r="C11" i="4"/>
  <c r="C26" i="4"/>
  <c r="C63" i="4"/>
  <c r="C97" i="4"/>
  <c r="C105" i="4"/>
  <c r="B105" i="4"/>
  <c r="AD188" i="20"/>
  <c r="F5" i="8"/>
  <c r="F17" i="8"/>
  <c r="F15" i="8"/>
  <c r="F14" i="8"/>
  <c r="F12" i="8"/>
  <c r="F11" i="8"/>
  <c r="F9" i="8"/>
  <c r="F8" i="8"/>
  <c r="F6" i="8"/>
  <c r="N217" i="20"/>
  <c r="N216" i="20"/>
  <c r="N215" i="20"/>
  <c r="N214" i="20"/>
  <c r="N213" i="20"/>
  <c r="AB50" i="15"/>
  <c r="T217" i="20"/>
  <c r="T216" i="20"/>
  <c r="T215" i="20"/>
  <c r="T214" i="20"/>
  <c r="T213" i="20"/>
  <c r="T54" i="4"/>
  <c r="T11" i="4"/>
  <c r="T63" i="4"/>
  <c r="T70" i="4"/>
  <c r="T97" i="4"/>
  <c r="T105" i="4"/>
  <c r="T107" i="4"/>
  <c r="AE699" i="3"/>
  <c r="C45" i="4"/>
  <c r="C49" i="4"/>
  <c r="E27" i="4"/>
  <c r="E86" i="4"/>
  <c r="E89" i="4"/>
  <c r="E90" i="4"/>
  <c r="E91" i="4"/>
  <c r="E92" i="4"/>
  <c r="E94" i="4"/>
  <c r="E83" i="4"/>
  <c r="E80" i="4"/>
  <c r="E79" i="4"/>
  <c r="E74" i="4"/>
  <c r="E75" i="4"/>
  <c r="E66" i="4"/>
  <c r="E69" i="4"/>
  <c r="E58" i="4"/>
  <c r="E60" i="4"/>
  <c r="E61" i="4"/>
  <c r="E65" i="4"/>
  <c r="E56" i="4"/>
  <c r="E46" i="4"/>
  <c r="E48" i="4"/>
  <c r="E49" i="4"/>
  <c r="E50" i="4"/>
  <c r="E52" i="4"/>
  <c r="E45" i="4"/>
  <c r="E41" i="4"/>
  <c r="E40" i="4"/>
  <c r="E19" i="4"/>
  <c r="E20" i="4"/>
  <c r="E21" i="4"/>
  <c r="E18" i="4"/>
  <c r="S91" i="4"/>
  <c r="S69" i="4"/>
  <c r="C56" i="4"/>
  <c r="C91" i="4"/>
  <c r="C65" i="4"/>
  <c r="C83" i="4"/>
  <c r="C18" i="4"/>
  <c r="AG448" i="3"/>
  <c r="AG442" i="3"/>
  <c r="C99" i="4"/>
  <c r="AA917" i="3"/>
  <c r="O722" i="3"/>
  <c r="O731" i="3"/>
  <c r="O730" i="3"/>
  <c r="O728" i="3"/>
  <c r="O727" i="3"/>
  <c r="O723" i="3"/>
  <c r="O721" i="3"/>
  <c r="O719" i="3"/>
  <c r="O718" i="3"/>
  <c r="AC891" i="3"/>
  <c r="W857" i="3"/>
  <c r="W861" i="3"/>
  <c r="AC886" i="3"/>
  <c r="AC889" i="3"/>
  <c r="S89" i="4"/>
  <c r="S52" i="4"/>
  <c r="C60" i="4"/>
  <c r="S79" i="4"/>
  <c r="S20" i="4"/>
  <c r="T627" i="3"/>
  <c r="AF627" i="3"/>
  <c r="Q627" i="3"/>
  <c r="F108" i="4"/>
  <c r="G108" i="4"/>
  <c r="H108" i="4"/>
  <c r="I108" i="4"/>
  <c r="E70" i="4"/>
  <c r="S66" i="4"/>
  <c r="C66" i="4"/>
  <c r="C40" i="4"/>
  <c r="I13" i="21"/>
  <c r="AG441" i="3"/>
  <c r="AG444" i="3"/>
  <c r="AG445" i="3"/>
  <c r="T27" i="15"/>
  <c r="T25" i="15"/>
  <c r="Y7" i="15"/>
  <c r="S104" i="4"/>
  <c r="S54" i="4"/>
  <c r="S63" i="4"/>
  <c r="Y27" i="15"/>
  <c r="Y67" i="15"/>
  <c r="C167" i="20"/>
  <c r="U363" i="20"/>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AX680" i="20"/>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AX681" i="20"/>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AX682" i="20"/>
  <c r="AX683" i="20"/>
  <c r="G753" i="3"/>
  <c r="AX679" i="20"/>
  <c r="AX684" i="20"/>
  <c r="AO684" i="20"/>
  <c r="AP694" i="20"/>
  <c r="AJ700" i="20"/>
  <c r="L65" i="21"/>
  <c r="BQ98" i="27"/>
  <c r="BQ97" i="27"/>
  <c r="BQ96" i="27"/>
  <c r="X752" i="3"/>
  <c r="AH752" i="3"/>
  <c r="BG701" i="3"/>
  <c r="BT701" i="3"/>
  <c r="BT702" i="3"/>
  <c r="BA700" i="3"/>
  <c r="BA701" i="3"/>
  <c r="AJ1019" i="3"/>
  <c r="P18" i="21"/>
  <c r="P20" i="27" a="1"/>
  <c r="P20" i="27"/>
  <c r="P19" i="27" a="1"/>
  <c r="P19" i="27"/>
  <c r="AO13" i="27"/>
  <c r="N11" i="27"/>
  <c r="N10"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H742" i="3"/>
  <c r="AY1022" i="3"/>
  <c r="C757" i="3"/>
  <c r="AX678" i="20"/>
  <c r="AJ714" i="20"/>
  <c r="AJ610" i="20"/>
  <c r="AK783" i="20"/>
  <c r="T808" i="20"/>
  <c r="AF808" i="20"/>
  <c r="AO586" i="20"/>
  <c r="AP572"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D17" i="8"/>
  <c r="I17" i="8"/>
  <c r="J17" i="8"/>
  <c r="B17" i="8"/>
  <c r="D16" i="8"/>
  <c r="I16" i="8"/>
  <c r="B16" i="8"/>
  <c r="J16" i="8"/>
  <c r="D15" i="8"/>
  <c r="I15" i="8"/>
  <c r="J15" i="8" s="1"/>
  <c r="B15" i="8"/>
  <c r="D14" i="8"/>
  <c r="I14" i="8"/>
  <c r="J14" i="8"/>
  <c r="B14" i="8"/>
  <c r="D13" i="8"/>
  <c r="I13" i="8"/>
  <c r="J13" i="8"/>
  <c r="B13" i="8"/>
  <c r="D12" i="8"/>
  <c r="I12" i="8"/>
  <c r="B12" i="8"/>
  <c r="J12" i="8"/>
  <c r="D11" i="8"/>
  <c r="I11" i="8"/>
  <c r="J11" i="8"/>
  <c r="B11" i="8"/>
  <c r="B10" i="8"/>
  <c r="D9" i="8"/>
  <c r="I9" i="8"/>
  <c r="B9" i="8"/>
  <c r="J9" i="8"/>
  <c r="D8" i="8"/>
  <c r="I8" i="8"/>
  <c r="J8" i="8"/>
  <c r="B8" i="8"/>
  <c r="D7" i="8"/>
  <c r="I7" i="8"/>
  <c r="J7" i="8"/>
  <c r="B7" i="8"/>
  <c r="D6" i="8"/>
  <c r="I6" i="8"/>
  <c r="J6" i="8" s="1"/>
  <c r="B6" i="8"/>
  <c r="D5" i="8"/>
  <c r="I5" i="8"/>
  <c r="J5" i="8"/>
  <c r="B5" i="8"/>
  <c r="D4" i="8"/>
  <c r="I4" i="8"/>
  <c r="J4" i="8"/>
  <c r="B4" i="8"/>
  <c r="AH750" i="3"/>
  <c r="AH749" i="3"/>
  <c r="AH748" i="3"/>
  <c r="AH747" i="3"/>
  <c r="AH746" i="3"/>
  <c r="AH745" i="3"/>
  <c r="AH744" i="3"/>
  <c r="AH743" i="3"/>
  <c r="AH741" i="3"/>
  <c r="AH740" i="3"/>
  <c r="AH739" i="3"/>
  <c r="AH738" i="3"/>
  <c r="AH737" i="3"/>
  <c r="AH736" i="3"/>
  <c r="AH735" i="3"/>
  <c r="AH734" i="3"/>
  <c r="AH733" i="3"/>
  <c r="AH732"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EM630" i="3"/>
  <c r="ER630" i="3"/>
  <c r="EW630" i="3"/>
  <c r="BN620" i="3"/>
  <c r="DX620" i="3"/>
  <c r="BS620" i="3"/>
  <c r="EC620" i="3"/>
  <c r="BX620" i="3"/>
  <c r="EH620" i="3"/>
  <c r="EM620" i="3"/>
  <c r="ER620" i="3"/>
  <c r="EW620" i="3"/>
  <c r="BN621" i="3"/>
  <c r="DX621" i="3"/>
  <c r="BS621" i="3"/>
  <c r="EC621" i="3"/>
  <c r="BX621" i="3"/>
  <c r="EH621" i="3"/>
  <c r="EM621" i="3"/>
  <c r="ER621" i="3"/>
  <c r="EW621" i="3"/>
  <c r="BN622" i="3"/>
  <c r="DX622" i="3"/>
  <c r="BS622" i="3"/>
  <c r="EC622" i="3"/>
  <c r="BX622" i="3"/>
  <c r="EH622" i="3"/>
  <c r="EM622" i="3"/>
  <c r="ER622" i="3"/>
  <c r="EW622" i="3"/>
  <c r="BN623" i="3"/>
  <c r="DX623" i="3"/>
  <c r="BS623" i="3"/>
  <c r="EC623" i="3"/>
  <c r="BX623" i="3"/>
  <c r="EH623" i="3"/>
  <c r="EM623" i="3"/>
  <c r="ER623" i="3"/>
  <c r="EW623" i="3"/>
  <c r="BN624" i="3"/>
  <c r="DX624" i="3"/>
  <c r="BS624" i="3"/>
  <c r="EC624" i="3"/>
  <c r="BX624" i="3"/>
  <c r="EH624" i="3"/>
  <c r="EM624" i="3"/>
  <c r="ER624" i="3"/>
  <c r="EW624" i="3"/>
  <c r="BN625" i="3"/>
  <c r="DX625" i="3"/>
  <c r="BS625" i="3"/>
  <c r="EC625" i="3"/>
  <c r="BX625" i="3"/>
  <c r="EH625" i="3"/>
  <c r="EM625" i="3"/>
  <c r="ER625" i="3"/>
  <c r="EW625" i="3"/>
  <c r="BN626" i="3"/>
  <c r="DX626" i="3"/>
  <c r="BS626" i="3"/>
  <c r="EC626" i="3"/>
  <c r="BX626" i="3"/>
  <c r="EH626" i="3"/>
  <c r="EM626" i="3"/>
  <c r="ER626" i="3"/>
  <c r="EW626" i="3"/>
  <c r="BN627" i="3"/>
  <c r="DX627" i="3"/>
  <c r="BS627" i="3"/>
  <c r="EC627" i="3"/>
  <c r="BX627" i="3"/>
  <c r="EH627" i="3"/>
  <c r="EM627" i="3"/>
  <c r="ER627" i="3"/>
  <c r="EW627" i="3"/>
  <c r="BN628" i="3"/>
  <c r="DX628" i="3"/>
  <c r="BS628" i="3"/>
  <c r="EC628" i="3"/>
  <c r="BX628" i="3"/>
  <c r="EH628" i="3"/>
  <c r="EM628" i="3"/>
  <c r="ER628" i="3"/>
  <c r="EW628" i="3"/>
  <c r="BN629" i="3"/>
  <c r="DX629" i="3"/>
  <c r="BS629" i="3"/>
  <c r="EC629" i="3"/>
  <c r="BX629" i="3"/>
  <c r="EH629" i="3"/>
  <c r="EM629" i="3"/>
  <c r="ER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AJ155" i="20"/>
  <c r="AK327" i="20"/>
  <c r="AP282"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c r="C5" i="7"/>
  <c r="C7" i="7"/>
  <c r="C9" i="7"/>
  <c r="E40" i="7"/>
  <c r="A40" i="7"/>
  <c r="E33" i="7"/>
  <c r="E32" i="7"/>
  <c r="E31" i="7"/>
  <c r="E30" i="7"/>
  <c r="E29" i="7"/>
  <c r="E28" i="7"/>
  <c r="E27" i="7"/>
  <c r="E26" i="7"/>
  <c r="W847" i="3"/>
  <c r="E15" i="7"/>
  <c r="G15" i="7"/>
  <c r="E16" i="7"/>
  <c r="W855" i="3"/>
  <c r="E17" i="7"/>
  <c r="G17" i="7"/>
  <c r="I17" i="7"/>
  <c r="K17" i="7"/>
  <c r="M17" i="7"/>
  <c r="O17" i="7"/>
  <c r="Q17" i="7"/>
  <c r="S17" i="7"/>
  <c r="U17" i="7"/>
  <c r="W17" i="7"/>
  <c r="Y17" i="7"/>
  <c r="AA17" i="7"/>
  <c r="AC17" i="7"/>
  <c r="AE17" i="7"/>
  <c r="AG17" i="7"/>
  <c r="W862" i="3"/>
  <c r="E18" i="7"/>
  <c r="G18" i="7"/>
  <c r="I18" i="7"/>
  <c r="K18" i="7"/>
  <c r="M18" i="7"/>
  <c r="O18" i="7"/>
  <c r="Q18" i="7"/>
  <c r="S18" i="7"/>
  <c r="U18" i="7"/>
  <c r="W18" i="7"/>
  <c r="Y18" i="7"/>
  <c r="AA18" i="7"/>
  <c r="AC18" i="7"/>
  <c r="AE18" i="7"/>
  <c r="AG18" i="7"/>
  <c r="E19" i="7"/>
  <c r="W872" i="3"/>
  <c r="W879" i="3"/>
  <c r="E21" i="7"/>
  <c r="G21" i="7"/>
  <c r="I21" i="7"/>
  <c r="K21" i="7"/>
  <c r="M21" i="7"/>
  <c r="O21" i="7"/>
  <c r="Q21" i="7"/>
  <c r="S21" i="7"/>
  <c r="U21" i="7"/>
  <c r="W21" i="7"/>
  <c r="Y21" i="7"/>
  <c r="AA21" i="7"/>
  <c r="AC21" i="7"/>
  <c r="AE21" i="7"/>
  <c r="AG21" i="7"/>
  <c r="Z817" i="3"/>
  <c r="E8" i="7"/>
  <c r="AC773" i="3"/>
  <c r="AC774" i="3"/>
  <c r="AC775" i="3"/>
  <c r="AC776" i="3"/>
  <c r="AC787" i="3"/>
  <c r="AC788" i="3"/>
  <c r="AC789" i="3"/>
  <c r="AC790" i="3"/>
  <c r="AC791" i="3"/>
  <c r="AC792" i="3"/>
  <c r="AC793" i="3"/>
  <c r="AC794" i="3"/>
  <c r="AC795" i="3"/>
  <c r="AC796" i="3"/>
  <c r="AD7" i="15"/>
  <c r="CB796" i="3"/>
  <c r="R988" i="3"/>
  <c r="BN597" i="3"/>
  <c r="BN598" i="3"/>
  <c r="DX598" i="3"/>
  <c r="BN599" i="3"/>
  <c r="DX599" i="3"/>
  <c r="BN600" i="3"/>
  <c r="DX600" i="3"/>
  <c r="BN601" i="3"/>
  <c r="DX601" i="3"/>
  <c r="BN602" i="3"/>
  <c r="DX602" i="3"/>
  <c r="BN603" i="3"/>
  <c r="DX603" i="3"/>
  <c r="DX641" i="3" s="1"/>
  <c r="BN604" i="3"/>
  <c r="DX604" i="3"/>
  <c r="DX642" i="3" s="1"/>
  <c r="BN605"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EC598" i="3"/>
  <c r="BS599" i="3"/>
  <c r="EC599" i="3"/>
  <c r="EC637" i="3" s="1"/>
  <c r="BS600" i="3"/>
  <c r="EC600" i="3"/>
  <c r="BS601" i="3"/>
  <c r="EC601" i="3"/>
  <c r="BS602" i="3"/>
  <c r="EC602" i="3"/>
  <c r="BS603" i="3"/>
  <c r="EC603" i="3"/>
  <c r="BS604" i="3"/>
  <c r="EC604" i="3"/>
  <c r="BS605" i="3"/>
  <c r="EC605" i="3"/>
  <c r="BS606" i="3"/>
  <c r="EC606" i="3"/>
  <c r="BS607" i="3"/>
  <c r="EC607" i="3"/>
  <c r="BS608" i="3"/>
  <c r="EC608" i="3"/>
  <c r="EC646" i="3" s="1"/>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BX598" i="3"/>
  <c r="EH598" i="3"/>
  <c r="BX599" i="3"/>
  <c r="EH599" i="3"/>
  <c r="EH637" i="3" s="1"/>
  <c r="BX600" i="3"/>
  <c r="EH600" i="3"/>
  <c r="BX601" i="3"/>
  <c r="EH601" i="3"/>
  <c r="BX602" i="3"/>
  <c r="EH602" i="3"/>
  <c r="BX603" i="3"/>
  <c r="EH603" i="3"/>
  <c r="EH641" i="3" s="1"/>
  <c r="BX604" i="3"/>
  <c r="EH604" i="3"/>
  <c r="BX605"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EM597" i="3"/>
  <c r="EM598" i="3"/>
  <c r="EM599" i="3"/>
  <c r="EM637" i="3" s="1"/>
  <c r="EM600" i="3"/>
  <c r="EM601" i="3"/>
  <c r="EM602" i="3"/>
  <c r="EM603" i="3"/>
  <c r="EM641" i="3" s="1"/>
  <c r="EM604" i="3"/>
  <c r="EM605" i="3"/>
  <c r="EM606" i="3"/>
  <c r="EM607" i="3"/>
  <c r="EM608" i="3"/>
  <c r="EM646" i="3" s="1"/>
  <c r="EM609" i="3"/>
  <c r="EM610" i="3"/>
  <c r="EM611" i="3"/>
  <c r="EM612" i="3"/>
  <c r="EM613" i="3"/>
  <c r="EM614" i="3"/>
  <c r="EM615" i="3"/>
  <c r="EM616" i="3"/>
  <c r="EM617" i="3"/>
  <c r="EM618" i="3"/>
  <c r="EM619"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EW597" i="3"/>
  <c r="EW598" i="3"/>
  <c r="EW599" i="3"/>
  <c r="EW600" i="3"/>
  <c r="EW601" i="3"/>
  <c r="EW602" i="3"/>
  <c r="EW603" i="3"/>
  <c r="EW641" i="3" s="1"/>
  <c r="EW604" i="3"/>
  <c r="EW605" i="3"/>
  <c r="EW606" i="3"/>
  <c r="EW607" i="3"/>
  <c r="EW608" i="3"/>
  <c r="EW609" i="3"/>
  <c r="EW610" i="3"/>
  <c r="EW611" i="3"/>
  <c r="EW612" i="3"/>
  <c r="EW613" i="3"/>
  <c r="EW614" i="3"/>
  <c r="EW615" i="3"/>
  <c r="EW616" i="3"/>
  <c r="EW617" i="3"/>
  <c r="EW618" i="3"/>
  <c r="EW619" i="3"/>
  <c r="EW631" i="3"/>
  <c r="ER597" i="3"/>
  <c r="ER598" i="3"/>
  <c r="ER599" i="3"/>
  <c r="ER600" i="3"/>
  <c r="ER601" i="3"/>
  <c r="ER602" i="3"/>
  <c r="ER603" i="3"/>
  <c r="ER641" i="3" s="1"/>
  <c r="ER604" i="3"/>
  <c r="ER605" i="3"/>
  <c r="ER606" i="3"/>
  <c r="ER607" i="3"/>
  <c r="ER608" i="3"/>
  <c r="ER646" i="3" s="1"/>
  <c r="ER609" i="3"/>
  <c r="ER610" i="3"/>
  <c r="ER611" i="3"/>
  <c r="ER612" i="3"/>
  <c r="ER613" i="3"/>
  <c r="ER614" i="3"/>
  <c r="ER615" i="3"/>
  <c r="ER616" i="3"/>
  <c r="ER617" i="3"/>
  <c r="ER618" i="3"/>
  <c r="ER619"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AJ1000" i="3"/>
  <c r="AJ1006" i="3"/>
  <c r="AJ1010" i="3"/>
  <c r="AJ1012" i="3"/>
  <c r="AJ1028" i="3"/>
  <c r="AZ846" i="3"/>
  <c r="AJ1031" i="3"/>
  <c r="AJ1040"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c r="BI600" i="3"/>
  <c r="BK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O639" i="3"/>
  <c r="AO641" i="3"/>
  <c r="AB48" i="15"/>
  <c r="AD64" i="15"/>
  <c r="AD67" i="15"/>
  <c r="W700" i="3"/>
  <c r="BG226" i="3"/>
  <c r="BG227" i="3"/>
  <c r="BG228" i="3"/>
  <c r="BG229" i="3"/>
  <c r="BG243" i="3"/>
  <c r="BO245" i="3"/>
  <c r="T267"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c r="AO28" i="20"/>
  <c r="AO29" i="20"/>
  <c r="AO24" i="20"/>
  <c r="AO25" i="20"/>
  <c r="AO21" i="20"/>
  <c r="AO20" i="20"/>
  <c r="AO22" i="20"/>
  <c r="AO16" i="20"/>
  <c r="AO15" i="20"/>
  <c r="AO14" i="20"/>
  <c r="AO13" i="20"/>
  <c r="G122" i="21"/>
  <c r="G119" i="21"/>
  <c r="E121" i="21"/>
  <c r="I9" i="21"/>
  <c r="S26" i="4"/>
  <c r="E26" i="13"/>
  <c r="B26" i="4"/>
  <c r="G90" i="21"/>
  <c r="G94" i="21"/>
  <c r="G77" i="21"/>
  <c r="G81" i="21"/>
  <c r="M20" i="21"/>
  <c r="M21" i="21"/>
  <c r="S21" i="21"/>
  <c r="M22" i="21"/>
  <c r="S22" i="21"/>
  <c r="M23" i="21"/>
  <c r="S23" i="21"/>
  <c r="M24" i="21"/>
  <c r="T24" i="21"/>
  <c r="M25" i="21"/>
  <c r="S25" i="21"/>
  <c r="M26" i="21"/>
  <c r="M27" i="21"/>
  <c r="S27" i="21"/>
  <c r="M28" i="21"/>
  <c r="T28" i="21"/>
  <c r="O28" i="21"/>
  <c r="P28" i="21" a="1"/>
  <c r="P28" i="21"/>
  <c r="R28" i="21"/>
  <c r="M29" i="21"/>
  <c r="M30" i="21"/>
  <c r="M31" i="21"/>
  <c r="S31" i="21"/>
  <c r="M32" i="21"/>
  <c r="M33" i="21"/>
  <c r="T33" i="21"/>
  <c r="M34" i="21"/>
  <c r="S34" i="21"/>
  <c r="M35" i="21"/>
  <c r="S35" i="21"/>
  <c r="M36" i="21"/>
  <c r="R36" i="21"/>
  <c r="M37" i="21"/>
  <c r="O37" i="21"/>
  <c r="M38" i="21"/>
  <c r="O38" i="21"/>
  <c r="M39" i="21"/>
  <c r="S39" i="21"/>
  <c r="M40" i="21"/>
  <c r="S40" i="21"/>
  <c r="M41" i="21"/>
  <c r="Q41" i="21" a="1"/>
  <c r="Q41" i="21"/>
  <c r="M42" i="21"/>
  <c r="Q42" i="21" a="1"/>
  <c r="Q42" i="21"/>
  <c r="M43" i="21"/>
  <c r="S43" i="21"/>
  <c r="M44" i="21"/>
  <c r="S44" i="2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G4" i="8"/>
  <c r="G5" i="8"/>
  <c r="G6" i="8"/>
  <c r="G102" i="21"/>
  <c r="G88" i="21"/>
  <c r="G92" i="21"/>
  <c r="G10" i="8"/>
  <c r="CS649" i="3"/>
  <c r="E104" i="21"/>
  <c r="E95" i="21"/>
  <c r="B85" i="21"/>
  <c r="B60" i="21"/>
  <c r="B51" i="21"/>
  <c r="B42" i="21"/>
  <c r="B33" i="21"/>
  <c r="B18" i="21"/>
  <c r="G7" i="8"/>
  <c r="AV775" i="3"/>
  <c r="AK274" i="20"/>
  <c r="T803" i="20"/>
  <c r="AF803" i="20"/>
  <c r="B24" i="4"/>
  <c r="R36" i="4"/>
  <c r="B36" i="4"/>
  <c r="B66" i="4"/>
  <c r="B67" i="4"/>
  <c r="B68" i="4"/>
  <c r="B69" i="4"/>
  <c r="R66" i="4"/>
  <c r="R67" i="4"/>
  <c r="R68" i="4"/>
  <c r="A104" i="11"/>
  <c r="C101" i="11"/>
  <c r="C102" i="11"/>
  <c r="C103" i="11"/>
  <c r="C104" i="11"/>
  <c r="B101" i="11"/>
  <c r="B102" i="11"/>
  <c r="B103" i="11"/>
  <c r="B104" i="11"/>
  <c r="C85" i="11"/>
  <c r="C86" i="11"/>
  <c r="C87" i="11"/>
  <c r="D87" i="11"/>
  <c r="C88" i="11"/>
  <c r="C89" i="11"/>
  <c r="D89" i="11"/>
  <c r="C90" i="11"/>
  <c r="C91" i="11"/>
  <c r="D91" i="11"/>
  <c r="C92" i="11"/>
  <c r="D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D32" i="11"/>
  <c r="C33" i="11"/>
  <c r="D33" i="11"/>
  <c r="C34" i="11"/>
  <c r="D34" i="11"/>
  <c r="C35" i="11"/>
  <c r="C36" i="11"/>
  <c r="C37" i="11"/>
  <c r="C38" i="11"/>
  <c r="B31" i="11"/>
  <c r="B32" i="11"/>
  <c r="B33" i="11"/>
  <c r="B34" i="11"/>
  <c r="B35" i="11"/>
  <c r="B36" i="11"/>
  <c r="B37" i="11"/>
  <c r="B38" i="11"/>
  <c r="C24" i="11"/>
  <c r="C25" i="11"/>
  <c r="C26" i="11"/>
  <c r="C27" i="11"/>
  <c r="B25" i="11"/>
  <c r="B26" i="11"/>
  <c r="D70" i="4"/>
  <c r="C70" i="4"/>
  <c r="B70" i="4"/>
  <c r="C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AH725" i="3"/>
  <c r="BV675" i="3" s="1"/>
  <c r="BA677" i="3"/>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B59" i="4"/>
  <c r="C80" i="11"/>
  <c r="C81" i="11"/>
  <c r="B80" i="11"/>
  <c r="B81" i="11"/>
  <c r="D81" i="11"/>
  <c r="I96" i="13"/>
  <c r="J96" i="13"/>
  <c r="J81" i="13"/>
  <c r="I81" i="13"/>
  <c r="G81" i="13"/>
  <c r="F81" i="13"/>
  <c r="D81" i="13"/>
  <c r="C81" i="13"/>
  <c r="H80" i="13"/>
  <c r="E80" i="13"/>
  <c r="B80" i="13"/>
  <c r="R80" i="4"/>
  <c r="S70" i="4"/>
  <c r="E70" i="13"/>
  <c r="D81" i="4"/>
  <c r="F81" i="4"/>
  <c r="G81" i="4"/>
  <c r="H81" i="4"/>
  <c r="I81" i="4"/>
  <c r="J81" i="4"/>
  <c r="K81" i="4"/>
  <c r="L81" i="4"/>
  <c r="M81" i="4"/>
  <c r="N81" i="4"/>
  <c r="O81" i="4"/>
  <c r="P81" i="4"/>
  <c r="Q81" i="4"/>
  <c r="S81" i="4"/>
  <c r="E81" i="13"/>
  <c r="T81" i="4"/>
  <c r="H81" i="13"/>
  <c r="C81" i="4"/>
  <c r="B81" i="13"/>
  <c r="B80" i="4"/>
  <c r="A76" i="13"/>
  <c r="A61" i="13"/>
  <c r="A37" i="13"/>
  <c r="A25" i="13"/>
  <c r="A103" i="13"/>
  <c r="A95" i="13"/>
  <c r="A94" i="13"/>
  <c r="A93" i="13"/>
  <c r="G8" i="8"/>
  <c r="G9" i="8"/>
  <c r="G11" i="8"/>
  <c r="G12" i="8"/>
  <c r="G13" i="8"/>
  <c r="G14" i="8"/>
  <c r="G15" i="8"/>
  <c r="G16"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4"/>
  <c r="B42" i="13"/>
  <c r="B41" i="13"/>
  <c r="B40" i="13"/>
  <c r="B37" i="13"/>
  <c r="B35" i="13"/>
  <c r="B34" i="13"/>
  <c r="B33" i="13"/>
  <c r="B32" i="13"/>
  <c r="B31" i="13"/>
  <c r="B30" i="13"/>
  <c r="B29" i="13"/>
  <c r="B27" i="13"/>
  <c r="B25" i="13"/>
  <c r="B23" i="13"/>
  <c r="B22" i="13"/>
  <c r="B21" i="13"/>
  <c r="B20" i="13"/>
  <c r="B19" i="13"/>
  <c r="B18" i="13"/>
  <c r="B17" i="13"/>
  <c r="B5" i="13"/>
  <c r="B6" i="13"/>
  <c r="B7" i="13"/>
  <c r="C8" i="4"/>
  <c r="B8" i="4"/>
  <c r="C12" i="4"/>
  <c r="B12" i="13"/>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5" i="4"/>
  <c r="R94" i="4"/>
  <c r="R93" i="4"/>
  <c r="R92" i="4"/>
  <c r="R90" i="4"/>
  <c r="R89" i="4"/>
  <c r="R88" i="4"/>
  <c r="R87" i="4"/>
  <c r="R86" i="4"/>
  <c r="R85" i="4"/>
  <c r="R76" i="4"/>
  <c r="R75" i="4"/>
  <c r="R72" i="4"/>
  <c r="R73" i="4"/>
  <c r="R77" i="4"/>
  <c r="R74" i="4"/>
  <c r="R65" i="4"/>
  <c r="R61" i="4"/>
  <c r="R59" i="4"/>
  <c r="R58" i="4"/>
  <c r="R57" i="4"/>
  <c r="B56" i="4"/>
  <c r="R53" i="4"/>
  <c r="R52" i="4"/>
  <c r="R51" i="4"/>
  <c r="R50" i="4"/>
  <c r="R48" i="4"/>
  <c r="R47" i="4"/>
  <c r="R43" i="4"/>
  <c r="R41" i="4"/>
  <c r="R40" i="4"/>
  <c r="R42" i="4"/>
  <c r="R37" i="4"/>
  <c r="R35" i="4"/>
  <c r="R34" i="4"/>
  <c r="R33" i="4"/>
  <c r="R32" i="4"/>
  <c r="R31" i="4"/>
  <c r="R30" i="4"/>
  <c r="R29" i="4"/>
  <c r="R27" i="4"/>
  <c r="R25" i="4"/>
  <c r="R23" i="4"/>
  <c r="R22" i="4"/>
  <c r="R19" i="4"/>
  <c r="R18" i="4"/>
  <c r="R17" i="4"/>
  <c r="R15" i="4"/>
  <c r="R14" i="4"/>
  <c r="R13" i="4"/>
  <c r="R9" i="4"/>
  <c r="R11" i="4"/>
  <c r="R7" i="4"/>
  <c r="R6" i="4"/>
  <c r="R5" i="4"/>
  <c r="B5" i="11"/>
  <c r="D5" i="11"/>
  <c r="C5" i="11"/>
  <c r="B6" i="11"/>
  <c r="C6" i="11"/>
  <c r="B7" i="11"/>
  <c r="C7" i="11"/>
  <c r="C8" i="11"/>
  <c r="B8" i="11"/>
  <c r="B10" i="11"/>
  <c r="C10" i="11"/>
  <c r="D10" i="11"/>
  <c r="B11" i="11"/>
  <c r="C11" i="11"/>
  <c r="B14" i="11"/>
  <c r="C14" i="11"/>
  <c r="B15" i="11"/>
  <c r="C15" i="11"/>
  <c r="B16" i="11"/>
  <c r="C16" i="11"/>
  <c r="B18" i="11"/>
  <c r="C18" i="11"/>
  <c r="D18" i="11"/>
  <c r="B19" i="11"/>
  <c r="C19" i="11"/>
  <c r="B20" i="11"/>
  <c r="C20" i="11"/>
  <c r="B21" i="11"/>
  <c r="C21" i="11"/>
  <c r="D21" i="11"/>
  <c r="B22" i="11"/>
  <c r="C22" i="11"/>
  <c r="B23" i="11"/>
  <c r="C23" i="11"/>
  <c r="B24" i="11"/>
  <c r="B28" i="11"/>
  <c r="C28" i="11"/>
  <c r="D28" i="11"/>
  <c r="B30" i="11"/>
  <c r="C30" i="11"/>
  <c r="D30" i="11"/>
  <c r="B41" i="11"/>
  <c r="C41" i="11"/>
  <c r="C42" i="11"/>
  <c r="B42" i="11"/>
  <c r="B44" i="11"/>
  <c r="C44" i="11"/>
  <c r="B46" i="11"/>
  <c r="C46" i="11"/>
  <c r="C55" i="11"/>
  <c r="B47" i="11"/>
  <c r="D47" i="11"/>
  <c r="C47" i="11"/>
  <c r="B48" i="11"/>
  <c r="B49" i="11"/>
  <c r="B50" i="11"/>
  <c r="B51" i="11"/>
  <c r="D51" i="11"/>
  <c r="B52" i="11"/>
  <c r="B53" i="11"/>
  <c r="C48" i="11"/>
  <c r="C49" i="11"/>
  <c r="D49" i="11"/>
  <c r="C50" i="11"/>
  <c r="C51" i="11"/>
  <c r="C52" i="11"/>
  <c r="C53" i="11"/>
  <c r="B57" i="11"/>
  <c r="B63" i="11"/>
  <c r="C57" i="11"/>
  <c r="B58" i="11"/>
  <c r="C58" i="11"/>
  <c r="B59" i="11"/>
  <c r="C59" i="11"/>
  <c r="D59" i="11"/>
  <c r="B60" i="11"/>
  <c r="C60" i="11"/>
  <c r="B61" i="11"/>
  <c r="C61" i="11"/>
  <c r="B62" i="11"/>
  <c r="C62" i="11"/>
  <c r="B66" i="11"/>
  <c r="C66" i="11"/>
  <c r="D66" i="11"/>
  <c r="B73" i="11"/>
  <c r="C73" i="11"/>
  <c r="B74" i="11"/>
  <c r="C74" i="11"/>
  <c r="B75" i="11"/>
  <c r="C75" i="11"/>
  <c r="B76" i="11"/>
  <c r="C76" i="11"/>
  <c r="C78" i="11"/>
  <c r="B77" i="11"/>
  <c r="C77" i="11"/>
  <c r="B84" i="11"/>
  <c r="C84" i="11"/>
  <c r="B100" i="11"/>
  <c r="B105" i="11"/>
  <c r="C100" i="11"/>
  <c r="A4" i="8"/>
  <c r="A5" i="8"/>
  <c r="A6" i="8"/>
  <c r="A7" i="8"/>
  <c r="A8" i="8"/>
  <c r="A9" i="8"/>
  <c r="A10" i="8"/>
  <c r="A11" i="8"/>
  <c r="A12" i="8"/>
  <c r="A13" i="8"/>
  <c r="A14" i="8"/>
  <c r="A15" i="8"/>
  <c r="A16" i="8"/>
  <c r="A17" i="8"/>
  <c r="A18" i="8"/>
  <c r="D18" i="8"/>
  <c r="A19" i="8"/>
  <c r="D19" i="8"/>
  <c r="A20" i="8"/>
  <c r="D20" i="8"/>
  <c r="A21" i="8"/>
  <c r="D21" i="8"/>
  <c r="A22" i="8"/>
  <c r="D22" i="8"/>
  <c r="A23" i="8"/>
  <c r="D23" i="8"/>
  <c r="A24" i="8"/>
  <c r="D24" i="8"/>
  <c r="A25" i="8"/>
  <c r="D25" i="8"/>
  <c r="A26" i="8"/>
  <c r="D26" i="8"/>
  <c r="A27" i="8"/>
  <c r="D27" i="8"/>
  <c r="A38" i="8"/>
  <c r="D38" i="8"/>
  <c r="G16" i="7"/>
  <c r="I16" i="7"/>
  <c r="K16" i="7"/>
  <c r="M16" i="7"/>
  <c r="O16" i="7"/>
  <c r="Q16" i="7"/>
  <c r="S16" i="7"/>
  <c r="U16" i="7"/>
  <c r="W16" i="7"/>
  <c r="Y16" i="7"/>
  <c r="AA16" i="7"/>
  <c r="AC16" i="7"/>
  <c r="AE16" i="7"/>
  <c r="AG16" i="7"/>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H54" i="13"/>
  <c r="T96" i="4"/>
  <c r="H96" i="13"/>
  <c r="C38" i="4"/>
  <c r="B38" i="13"/>
  <c r="C54" i="4"/>
  <c r="B54" i="4"/>
  <c r="C62" i="4"/>
  <c r="B62" i="13"/>
  <c r="C77" i="4"/>
  <c r="B77" i="4"/>
  <c r="C96" i="4"/>
  <c r="B96" i="4"/>
  <c r="B96" i="13"/>
  <c r="B104" i="13"/>
  <c r="D8" i="4"/>
  <c r="D11" i="4"/>
  <c r="D26" i="4"/>
  <c r="D38" i="4"/>
  <c r="D42" i="4"/>
  <c r="D54" i="4"/>
  <c r="D62" i="4"/>
  <c r="D77" i="4"/>
  <c r="D96" i="4"/>
  <c r="D104" i="4"/>
  <c r="B104" i="4"/>
  <c r="S38" i="4"/>
  <c r="E38" i="13"/>
  <c r="S42" i="4"/>
  <c r="E42" i="13"/>
  <c r="S96" i="4"/>
  <c r="E96" i="13"/>
  <c r="E104" i="13"/>
  <c r="F2" i="4"/>
  <c r="G2" i="4"/>
  <c r="H2" i="4"/>
  <c r="I2" i="4"/>
  <c r="J2" i="4"/>
  <c r="K2" i="4"/>
  <c r="L2" i="4"/>
  <c r="M2" i="4"/>
  <c r="N2" i="4"/>
  <c r="O2" i="4"/>
  <c r="P2" i="4"/>
  <c r="Q2" i="4"/>
  <c r="B4" i="4"/>
  <c r="B5" i="4"/>
  <c r="B6" i="4"/>
  <c r="B7" i="4"/>
  <c r="F8" i="4"/>
  <c r="G8" i="4"/>
  <c r="G11" i="4"/>
  <c r="G12" i="4"/>
  <c r="H8" i="4"/>
  <c r="H11" i="4"/>
  <c r="I8" i="4"/>
  <c r="I11" i="4"/>
  <c r="J8" i="4"/>
  <c r="J11" i="4"/>
  <c r="J26" i="4"/>
  <c r="J38" i="4"/>
  <c r="J42" i="4"/>
  <c r="J54" i="4"/>
  <c r="J62" i="4"/>
  <c r="J70" i="4"/>
  <c r="J77" i="4"/>
  <c r="J96" i="4"/>
  <c r="K8" i="4"/>
  <c r="K11" i="4"/>
  <c r="L8" i="4"/>
  <c r="L11" i="4"/>
  <c r="M8" i="4"/>
  <c r="M11" i="4"/>
  <c r="N8" i="4"/>
  <c r="O8" i="4"/>
  <c r="Q8" i="4"/>
  <c r="Q11" i="4"/>
  <c r="B10" i="4"/>
  <c r="E11" i="4"/>
  <c r="F11" i="4"/>
  <c r="F26" i="4"/>
  <c r="F38" i="4"/>
  <c r="F42" i="4"/>
  <c r="F54" i="4"/>
  <c r="F62" i="4"/>
  <c r="N11" i="4"/>
  <c r="O11" i="4"/>
  <c r="B13" i="4"/>
  <c r="B14" i="4"/>
  <c r="B15" i="4"/>
  <c r="B17" i="4"/>
  <c r="B18" i="4"/>
  <c r="B19" i="4"/>
  <c r="B20" i="4"/>
  <c r="R20" i="4"/>
  <c r="B21" i="4"/>
  <c r="R21" i="4"/>
  <c r="B22" i="4"/>
  <c r="B23" i="4"/>
  <c r="B25" i="4"/>
  <c r="G26" i="4"/>
  <c r="H26" i="4"/>
  <c r="H63" i="4"/>
  <c r="H97" i="4"/>
  <c r="H105"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R45" i="4"/>
  <c r="B46" i="4"/>
  <c r="R46" i="4"/>
  <c r="B47" i="4"/>
  <c r="B48" i="4"/>
  <c r="B49" i="4"/>
  <c r="R49" i="4"/>
  <c r="B50" i="4"/>
  <c r="B51" i="4"/>
  <c r="B52" i="4"/>
  <c r="B53" i="4"/>
  <c r="G54" i="4"/>
  <c r="H54" i="4"/>
  <c r="K54" i="4"/>
  <c r="L54" i="4"/>
  <c r="O54" i="4"/>
  <c r="Q54" i="4"/>
  <c r="B57" i="4"/>
  <c r="B58" i="4"/>
  <c r="B60" i="4"/>
  <c r="R60" i="4"/>
  <c r="B61" i="4"/>
  <c r="G62" i="4"/>
  <c r="H62" i="4"/>
  <c r="K62" i="4"/>
  <c r="L62" i="4"/>
  <c r="O62" i="4"/>
  <c r="O70" i="4"/>
  <c r="O77" i="4"/>
  <c r="O96" i="4"/>
  <c r="O104" i="4"/>
  <c r="Q62" i="4"/>
  <c r="B65" i="4"/>
  <c r="F70" i="4"/>
  <c r="G70" i="4"/>
  <c r="H70" i="4"/>
  <c r="I70" i="4"/>
  <c r="K70" i="4"/>
  <c r="L70" i="4"/>
  <c r="Q70" i="4"/>
  <c r="B72" i="4"/>
  <c r="B73" i="4"/>
  <c r="B74" i="4"/>
  <c r="B75" i="4"/>
  <c r="B76" i="4"/>
  <c r="E77" i="4"/>
  <c r="F77" i="4"/>
  <c r="G77" i="4"/>
  <c r="H77" i="4"/>
  <c r="I77" i="4"/>
  <c r="K77" i="4"/>
  <c r="L77" i="4"/>
  <c r="Q77" i="4"/>
  <c r="B79" i="4"/>
  <c r="R79" i="4"/>
  <c r="R81" i="4"/>
  <c r="B83" i="4"/>
  <c r="R83" i="4"/>
  <c r="B84" i="4"/>
  <c r="B85" i="4"/>
  <c r="B86" i="4"/>
  <c r="N186" i="27"/>
  <c r="B87" i="4"/>
  <c r="B88" i="4"/>
  <c r="B89" i="4"/>
  <c r="B90" i="4"/>
  <c r="B91" i="4"/>
  <c r="B92" i="4"/>
  <c r="B93" i="4"/>
  <c r="B94" i="4"/>
  <c r="B95" i="4"/>
  <c r="F96" i="4"/>
  <c r="G96" i="4"/>
  <c r="H96" i="4"/>
  <c r="I96" i="4"/>
  <c r="K96" i="4"/>
  <c r="L96" i="4"/>
  <c r="Q96" i="4"/>
  <c r="B101" i="4"/>
  <c r="B102" i="4"/>
  <c r="B103" i="4"/>
  <c r="F104" i="4"/>
  <c r="G104" i="4"/>
  <c r="H104" i="4"/>
  <c r="K104" i="4"/>
  <c r="L104" i="4"/>
  <c r="Q104" i="4"/>
  <c r="E108" i="4"/>
  <c r="J108" i="4"/>
  <c r="J99" i="4"/>
  <c r="I99" i="4"/>
  <c r="I104" i="4"/>
  <c r="K108" i="4"/>
  <c r="L108" i="4"/>
  <c r="M108" i="4"/>
  <c r="N108" i="4"/>
  <c r="O108" i="4"/>
  <c r="P108" i="4"/>
  <c r="Q108" i="4"/>
  <c r="B131" i="4"/>
  <c r="I184" i="3"/>
  <c r="W418" i="3"/>
  <c r="AF418" i="3"/>
  <c r="AP571" i="20"/>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X718" i="3"/>
  <c r="AH718" i="3"/>
  <c r="BA668" i="3"/>
  <c r="X719" i="3"/>
  <c r="AH719" i="3"/>
  <c r="BA669" i="3"/>
  <c r="X720" i="3"/>
  <c r="AH720" i="3"/>
  <c r="BV670" i="3" s="1"/>
  <c r="BA670" i="3"/>
  <c r="X721" i="3"/>
  <c r="AH721" i="3"/>
  <c r="G667" i="3"/>
  <c r="Z667" i="3"/>
  <c r="BA671" i="3"/>
  <c r="X722" i="3"/>
  <c r="AH722" i="3"/>
  <c r="BA672" i="3"/>
  <c r="X723" i="3"/>
  <c r="AH723" i="3"/>
  <c r="BA673" i="3"/>
  <c r="X724" i="3"/>
  <c r="AH724" i="3"/>
  <c r="BV674" i="3" s="1"/>
  <c r="G675" i="3"/>
  <c r="Z675" i="3"/>
  <c r="BA679" i="3"/>
  <c r="BA680" i="3"/>
  <c r="BA681" i="3"/>
  <c r="BA682" i="3"/>
  <c r="BA683" i="3"/>
  <c r="BA684" i="3"/>
  <c r="BA685" i="3"/>
  <c r="BA686" i="3"/>
  <c r="G683" i="3"/>
  <c r="Z683" i="3"/>
  <c r="BA687" i="3"/>
  <c r="BA688" i="3"/>
  <c r="BA689" i="3"/>
  <c r="BA690" i="3"/>
  <c r="X730" i="3"/>
  <c r="X731" i="3"/>
  <c r="AH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I63" i="13"/>
  <c r="I97" i="13"/>
  <c r="I105" i="13"/>
  <c r="I107" i="13"/>
  <c r="D54" i="11"/>
  <c r="D53" i="11"/>
  <c r="J63" i="13"/>
  <c r="J97" i="13"/>
  <c r="J105" i="13"/>
  <c r="J107" i="13"/>
  <c r="L12" i="4"/>
  <c r="D48" i="11"/>
  <c r="D80" i="11"/>
  <c r="D52" i="11"/>
  <c r="I12" i="4"/>
  <c r="D6" i="11"/>
  <c r="L63" i="4"/>
  <c r="L97" i="4"/>
  <c r="L105" i="4"/>
  <c r="Q12" i="4"/>
  <c r="B11" i="4"/>
  <c r="O63" i="4"/>
  <c r="O97" i="4"/>
  <c r="O105" i="4"/>
  <c r="D36" i="11"/>
  <c r="G63" i="13"/>
  <c r="G97" i="13"/>
  <c r="G105" i="13"/>
  <c r="G107" i="13"/>
  <c r="D20" i="11"/>
  <c r="D8" i="11"/>
  <c r="D85" i="11"/>
  <c r="D102" i="11"/>
  <c r="D94" i="11"/>
  <c r="K12" i="4"/>
  <c r="C12" i="13"/>
  <c r="D63" i="4"/>
  <c r="D97" i="4"/>
  <c r="D105" i="4"/>
  <c r="D7" i="11"/>
  <c r="J12" i="4"/>
  <c r="D22" i="11"/>
  <c r="O12" i="4"/>
  <c r="I63" i="4"/>
  <c r="I97" i="4"/>
  <c r="D95" i="11"/>
  <c r="D25" i="11"/>
  <c r="B11" i="13"/>
  <c r="D12" i="4"/>
  <c r="H12" i="4"/>
  <c r="B9" i="11"/>
  <c r="D9" i="11"/>
  <c r="D23" i="11"/>
  <c r="D19" i="11"/>
  <c r="D73" i="11"/>
  <c r="D44" i="11"/>
  <c r="D35" i="11"/>
  <c r="D31" i="11"/>
  <c r="D15" i="11"/>
  <c r="D63" i="13"/>
  <c r="D97" i="13"/>
  <c r="D105" i="13"/>
  <c r="D14" i="11"/>
  <c r="Q63" i="4"/>
  <c r="Q97" i="4"/>
  <c r="Q105" i="4"/>
  <c r="C105" i="11"/>
  <c r="N63" i="4"/>
  <c r="N97" i="4"/>
  <c r="N105" i="4"/>
  <c r="N12" i="4"/>
  <c r="D60" i="11"/>
  <c r="M12" i="4"/>
  <c r="D74" i="11"/>
  <c r="D38" i="11"/>
  <c r="P63" i="4"/>
  <c r="P97" i="4"/>
  <c r="P105" i="4"/>
  <c r="C9" i="11"/>
  <c r="D12" i="13"/>
  <c r="D58" i="11"/>
  <c r="D62" i="11"/>
  <c r="D24" i="11"/>
  <c r="D101" i="11"/>
  <c r="D90" i="11"/>
  <c r="R38" i="4"/>
  <c r="C63" i="13"/>
  <c r="C97" i="13"/>
  <c r="C105" i="13"/>
  <c r="D103" i="11"/>
  <c r="D88" i="11"/>
  <c r="D42" i="11"/>
  <c r="D16" i="11"/>
  <c r="D86" i="11"/>
  <c r="F63" i="13"/>
  <c r="F97" i="13"/>
  <c r="F105" i="13"/>
  <c r="F107" i="13"/>
  <c r="AD199" i="20"/>
  <c r="D77" i="11"/>
  <c r="M63" i="4"/>
  <c r="M97" i="4"/>
  <c r="M105" i="4"/>
  <c r="J63" i="4"/>
  <c r="J97" i="4"/>
  <c r="D41" i="11"/>
  <c r="C12" i="11"/>
  <c r="K63" i="4"/>
  <c r="K97" i="4"/>
  <c r="K105" i="4"/>
  <c r="D104" i="11"/>
  <c r="D11" i="11"/>
  <c r="D96" i="11"/>
  <c r="C82" i="11"/>
  <c r="E26" i="4"/>
  <c r="H63" i="13"/>
  <c r="B12" i="11"/>
  <c r="D12" i="11"/>
  <c r="C13" i="11"/>
  <c r="B13" i="11"/>
  <c r="D46" i="11"/>
  <c r="B81" i="4"/>
  <c r="E81" i="4"/>
  <c r="D100" i="11"/>
  <c r="D105" i="11"/>
  <c r="B97" i="11"/>
  <c r="B54" i="13"/>
  <c r="D61" i="11"/>
  <c r="D76" i="11"/>
  <c r="B78" i="11"/>
  <c r="D78" i="11"/>
  <c r="B77" i="13"/>
  <c r="D75" i="11"/>
  <c r="B82" i="11"/>
  <c r="D82" i="11"/>
  <c r="B39" i="11"/>
  <c r="B38" i="4"/>
  <c r="C39" i="11"/>
  <c r="D39" i="11"/>
  <c r="B26" i="13"/>
  <c r="B43" i="11"/>
  <c r="C43" i="11"/>
  <c r="D43" i="11"/>
  <c r="D93" i="11"/>
  <c r="D13" i="11"/>
  <c r="AH728" i="3"/>
  <c r="AH730" i="3"/>
  <c r="AH729" i="3"/>
  <c r="BV679" i="3" s="1"/>
  <c r="AH727" i="3"/>
  <c r="AH726" i="3"/>
  <c r="Q30" i="21" a="1"/>
  <c r="Q30" i="21"/>
  <c r="G67" i="21"/>
  <c r="AA29" i="7"/>
  <c r="R44" i="21"/>
  <c r="O29" i="7"/>
  <c r="AY1002" i="3"/>
  <c r="I1047" i="3"/>
  <c r="C798" i="3"/>
  <c r="G40" i="7"/>
  <c r="G43" i="7"/>
  <c r="AE28" i="7"/>
  <c r="Y29" i="7"/>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E20" i="7"/>
  <c r="G20" i="7"/>
  <c r="I20" i="7"/>
  <c r="K20" i="7"/>
  <c r="M20" i="7"/>
  <c r="O20" i="7"/>
  <c r="Q20" i="7"/>
  <c r="S20" i="7"/>
  <c r="U20" i="7"/>
  <c r="W20" i="7"/>
  <c r="Y20" i="7"/>
  <c r="AA20" i="7"/>
  <c r="AC20" i="7"/>
  <c r="AE20" i="7"/>
  <c r="AG20" i="7"/>
  <c r="AY1010" i="3"/>
  <c r="AF1016" i="3"/>
  <c r="AJ1015" i="3"/>
  <c r="BT703" i="3"/>
  <c r="BU701" i="3"/>
  <c r="BV701" i="3"/>
  <c r="AJ1035" i="3"/>
  <c r="AZ843" i="3"/>
  <c r="AZ851" i="3"/>
  <c r="AO65" i="20"/>
  <c r="AP364" i="20"/>
  <c r="AQ364" i="20"/>
  <c r="AK524" i="20"/>
  <c r="T802" i="20"/>
  <c r="AF802" i="20"/>
  <c r="BG703" i="3"/>
  <c r="BS632" i="3"/>
  <c r="EC648" i="3"/>
  <c r="EC597" i="3"/>
  <c r="AI7" i="15"/>
  <c r="DX597" i="3"/>
  <c r="BN632" i="3"/>
  <c r="DX669" i="3"/>
  <c r="CS632" i="3"/>
  <c r="BG632" i="3"/>
  <c r="X1047" i="3"/>
  <c r="AG29" i="7"/>
  <c r="AC28" i="7"/>
  <c r="K29" i="7"/>
  <c r="S29" i="7"/>
  <c r="AG28" i="7"/>
  <c r="Y28" i="7"/>
  <c r="U28" i="7"/>
  <c r="S28" i="7"/>
  <c r="Q28" i="7"/>
  <c r="W28" i="7"/>
  <c r="I28" i="7"/>
  <c r="O28" i="7"/>
  <c r="AA28" i="7"/>
  <c r="G28" i="7"/>
  <c r="M28" i="7"/>
  <c r="K28" i="7"/>
  <c r="AG40" i="7"/>
  <c r="AG43" i="7"/>
  <c r="S40" i="7"/>
  <c r="S43" i="7"/>
  <c r="AK172" i="20"/>
  <c r="AP355" i="20"/>
  <c r="AQ355" i="20"/>
  <c r="AS349" i="20"/>
  <c r="T805" i="20"/>
  <c r="AO17" i="20"/>
  <c r="AO36" i="20"/>
  <c r="AK56" i="20"/>
  <c r="T797" i="20"/>
  <c r="AF797" i="20"/>
  <c r="T44" i="21"/>
  <c r="P44" i="21" a="1"/>
  <c r="P44" i="21"/>
  <c r="Q21" i="21" a="1"/>
  <c r="Q21" i="21"/>
  <c r="T21" i="21"/>
  <c r="O21" i="21"/>
  <c r="P21" i="21" a="1"/>
  <c r="P21" i="21"/>
  <c r="R21" i="21"/>
  <c r="G32" i="7"/>
  <c r="I32" i="7"/>
  <c r="K32" i="7"/>
  <c r="M32" i="7"/>
  <c r="O32" i="7"/>
  <c r="Q32" i="7"/>
  <c r="S32" i="7"/>
  <c r="U32" i="7"/>
  <c r="W32" i="7"/>
  <c r="Y32" i="7"/>
  <c r="AA32" i="7"/>
  <c r="AC32" i="7"/>
  <c r="AE32" i="7"/>
  <c r="AG32" i="7"/>
  <c r="AC40" i="7"/>
  <c r="AC43" i="7"/>
  <c r="I40" i="7"/>
  <c r="I43" i="7"/>
  <c r="T30" i="21"/>
  <c r="P43" i="21" a="1"/>
  <c r="P43" i="21"/>
  <c r="G33" i="7"/>
  <c r="I33" i="7"/>
  <c r="K33" i="7"/>
  <c r="M33" i="7"/>
  <c r="O33" i="7"/>
  <c r="Q33" i="7"/>
  <c r="S33" i="7"/>
  <c r="U33" i="7"/>
  <c r="W33" i="7"/>
  <c r="Y33" i="7"/>
  <c r="AA33" i="7"/>
  <c r="AC33" i="7"/>
  <c r="AE33" i="7"/>
  <c r="AG33" i="7"/>
  <c r="K40" i="7"/>
  <c r="K43"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I29" i="7"/>
  <c r="Q28" i="21" a="1"/>
  <c r="Q28" i="21"/>
  <c r="AD27" i="15"/>
  <c r="DR632" i="3"/>
  <c r="S24" i="21"/>
  <c r="B27" i="11"/>
  <c r="S30" i="21"/>
  <c r="O40" i="21"/>
  <c r="T7" i="15"/>
  <c r="E43" i="7"/>
  <c r="AC29" i="7"/>
  <c r="M29" i="7"/>
  <c r="Q44" i="21" a="1"/>
  <c r="Q44" i="21"/>
  <c r="Q40" i="7"/>
  <c r="Q43" i="7"/>
  <c r="U40" i="7"/>
  <c r="U43" i="7"/>
  <c r="G29" i="7"/>
  <c r="Q29" i="7"/>
  <c r="O36" i="21"/>
  <c r="AA40" i="7"/>
  <c r="AA43" i="7"/>
  <c r="Y40" i="7"/>
  <c r="Y43" i="7"/>
  <c r="M40" i="7"/>
  <c r="M43" i="7"/>
  <c r="AE29" i="7"/>
  <c r="P36" i="21" a="1"/>
  <c r="P36" i="21"/>
  <c r="S28" i="21"/>
  <c r="AE40" i="7"/>
  <c r="AE43" i="7"/>
  <c r="W40" i="7"/>
  <c r="W43" i="7"/>
  <c r="W29" i="7"/>
  <c r="P40" i="21" a="1"/>
  <c r="P40" i="21"/>
  <c r="O40" i="7"/>
  <c r="O43" i="7"/>
  <c r="U29" i="7"/>
  <c r="Q25" i="21" a="1"/>
  <c r="Q25" i="21"/>
  <c r="S36" i="21"/>
  <c r="T38" i="21"/>
  <c r="S42" i="21"/>
  <c r="T27" i="21"/>
  <c r="O27" i="21"/>
  <c r="P27" i="21" a="1"/>
  <c r="P27" i="21"/>
  <c r="R27" i="21"/>
  <c r="AD68" i="15"/>
  <c r="BS641" i="3"/>
  <c r="BW642" i="3"/>
  <c r="DH632" i="3"/>
  <c r="S33" i="21"/>
  <c r="CM641" i="3"/>
  <c r="CQ642" i="3"/>
  <c r="BX641" i="3"/>
  <c r="CB642" i="3"/>
  <c r="DC632" i="3"/>
  <c r="CC641" i="3"/>
  <c r="CG642" i="3"/>
  <c r="Q39" i="21" a="1"/>
  <c r="Q39" i="21"/>
  <c r="DM632" i="3"/>
  <c r="R39" i="21"/>
  <c r="Q27" i="21" a="1"/>
  <c r="Q27" i="21"/>
  <c r="CH641" i="3"/>
  <c r="CL642" i="3"/>
  <c r="CM655" i="3"/>
  <c r="CQ656" i="3"/>
  <c r="AC797" i="3"/>
  <c r="G8" i="7"/>
  <c r="G9" i="7"/>
  <c r="E9" i="7"/>
  <c r="CX655" i="3"/>
  <c r="Q35" i="21" a="1"/>
  <c r="Q35" i="21"/>
  <c r="Q43" i="21" a="1"/>
  <c r="Q43" i="21"/>
  <c r="O35" i="21"/>
  <c r="Q31" i="21" a="1"/>
  <c r="Q31" i="21"/>
  <c r="R987" i="3"/>
  <c r="G121" i="21"/>
  <c r="G123" i="21"/>
  <c r="I15" i="21"/>
  <c r="R986" i="3"/>
  <c r="R985" i="3"/>
  <c r="AC777" i="3"/>
  <c r="O34" i="21"/>
  <c r="T22" i="21"/>
  <c r="S41" i="21"/>
  <c r="E99" i="20"/>
  <c r="O44" i="21"/>
  <c r="R41" i="21"/>
  <c r="T41" i="21"/>
  <c r="Q23" i="21" a="1"/>
  <c r="Q23" i="21"/>
  <c r="E98" i="20"/>
  <c r="Q40" i="21" a="1"/>
  <c r="Q40" i="21"/>
  <c r="O41" i="21"/>
  <c r="R40" i="21"/>
  <c r="T40" i="21"/>
  <c r="AC883" i="3"/>
  <c r="P34" i="21" a="1"/>
  <c r="P34" i="21"/>
  <c r="P41" i="21" a="1"/>
  <c r="P41" i="21"/>
  <c r="Q29" i="21" a="1"/>
  <c r="Q29" i="21"/>
  <c r="CX632" i="3"/>
  <c r="Q34" i="21" a="1"/>
  <c r="Q34" i="21"/>
  <c r="R38" i="21"/>
  <c r="T35" i="21"/>
  <c r="T23" i="21"/>
  <c r="BN641" i="3"/>
  <c r="BR642" i="3"/>
  <c r="P35" i="21" a="1"/>
  <c r="P35" i="21"/>
  <c r="R35" i="21"/>
  <c r="R989" i="3"/>
  <c r="BX655" i="3"/>
  <c r="CB656" i="3"/>
  <c r="DC652" i="3"/>
  <c r="DC655" i="3"/>
  <c r="Q32" i="21" a="1"/>
  <c r="Q32" i="21"/>
  <c r="T32" i="21"/>
  <c r="O32" i="21"/>
  <c r="P32" i="21" a="1"/>
  <c r="P32" i="21"/>
  <c r="R32" i="21"/>
  <c r="S32" i="21"/>
  <c r="S26" i="21"/>
  <c r="T26" i="21"/>
  <c r="O26" i="21"/>
  <c r="P26" i="21" a="1"/>
  <c r="P26" i="21"/>
  <c r="R26" i="21"/>
  <c r="Q26" i="21" a="1"/>
  <c r="Q26" i="21"/>
  <c r="BK632" i="3"/>
  <c r="X1051" i="3"/>
  <c r="BS655" i="3"/>
  <c r="BW656" i="3"/>
  <c r="T20" i="21"/>
  <c r="M18" i="21"/>
  <c r="T37" i="21"/>
  <c r="Q37" i="21" a="1"/>
  <c r="Q37" i="21"/>
  <c r="P37" i="21" a="1"/>
  <c r="P37" i="21"/>
  <c r="R37" i="21"/>
  <c r="S37" i="21"/>
  <c r="DR655" i="3"/>
  <c r="CH655" i="3"/>
  <c r="CL656" i="3"/>
  <c r="DM645" i="3"/>
  <c r="DM655" i="3"/>
  <c r="DH655" i="3"/>
  <c r="AC884" i="3"/>
  <c r="CC655" i="3"/>
  <c r="CG656" i="3"/>
  <c r="BX632" i="3"/>
  <c r="CS648" i="3"/>
  <c r="CS655" i="3"/>
  <c r="BN655" i="3"/>
  <c r="P39" i="21" a="1"/>
  <c r="P39" i="21"/>
  <c r="O39" i="21"/>
  <c r="T36" i="21"/>
  <c r="T31" i="21"/>
  <c r="O31" i="21"/>
  <c r="P31" i="21" a="1"/>
  <c r="P31" i="21"/>
  <c r="R31" i="21"/>
  <c r="AV116" i="20"/>
  <c r="AW115" i="20"/>
  <c r="Q36" i="21" a="1"/>
  <c r="Q36" i="21"/>
  <c r="O42" i="21"/>
  <c r="T39" i="21"/>
  <c r="Q22" i="21" a="1"/>
  <c r="Q22" i="21"/>
  <c r="S38" i="21"/>
  <c r="S29" i="21"/>
  <c r="S20" i="21"/>
  <c r="P38" i="21" a="1"/>
  <c r="P38" i="21"/>
  <c r="T29" i="21"/>
  <c r="O29" i="21"/>
  <c r="P29" i="21" a="1"/>
  <c r="P29" i="21"/>
  <c r="R29" i="21"/>
  <c r="Q38" i="21" a="1"/>
  <c r="Q38" i="21"/>
  <c r="Q20" i="21" a="1"/>
  <c r="Q20" i="21"/>
  <c r="R43" i="21"/>
  <c r="T43" i="21"/>
  <c r="P42" i="21" a="1"/>
  <c r="P42" i="21"/>
  <c r="R42" i="21"/>
  <c r="R34" i="21"/>
  <c r="T42" i="21"/>
  <c r="T34" i="21"/>
  <c r="G19" i="7"/>
  <c r="I19" i="7"/>
  <c r="K19" i="7"/>
  <c r="M19" i="7"/>
  <c r="O19" i="7"/>
  <c r="Q19" i="7"/>
  <c r="S19" i="7"/>
  <c r="U19" i="7"/>
  <c r="W19" i="7"/>
  <c r="Y19" i="7"/>
  <c r="AA19" i="7"/>
  <c r="AC19" i="7"/>
  <c r="AE19" i="7"/>
  <c r="AG19" i="7"/>
  <c r="Q33" i="21" a="1"/>
  <c r="Q33" i="21"/>
  <c r="T25" i="21"/>
  <c r="O43" i="21"/>
  <c r="Q24" i="21" a="1"/>
  <c r="Q24" i="21"/>
  <c r="E25" i="21"/>
  <c r="G53" i="21"/>
  <c r="E24" i="21"/>
  <c r="E22" i="21"/>
  <c r="F22" i="21"/>
  <c r="I15" i="7"/>
  <c r="E26" i="21"/>
  <c r="E23" i="21"/>
  <c r="F23" i="21"/>
  <c r="G23" i="21"/>
  <c r="AY1004" i="3"/>
  <c r="DX635" i="3"/>
  <c r="BH702" i="3"/>
  <c r="BH701" i="3"/>
  <c r="BI701" i="3"/>
  <c r="BU669" i="3"/>
  <c r="BV669" i="3"/>
  <c r="BU677" i="3"/>
  <c r="BU685" i="3"/>
  <c r="BV685" i="3"/>
  <c r="BU693" i="3"/>
  <c r="BV693" i="3"/>
  <c r="BU702" i="3"/>
  <c r="BV702" i="3"/>
  <c r="BU670" i="3"/>
  <c r="BU678" i="3"/>
  <c r="BV678" i="3"/>
  <c r="BU686" i="3"/>
  <c r="BV686" i="3"/>
  <c r="BU694" i="3"/>
  <c r="BV694" i="3"/>
  <c r="BU668" i="3"/>
  <c r="BV668" i="3"/>
  <c r="BU671" i="3"/>
  <c r="BV671" i="3"/>
  <c r="BU679" i="3"/>
  <c r="BU687" i="3"/>
  <c r="BU695" i="3"/>
  <c r="BV695" i="3"/>
  <c r="BU681" i="3"/>
  <c r="BV681" i="3"/>
  <c r="BU689" i="3"/>
  <c r="BV689" i="3"/>
  <c r="BU698" i="3"/>
  <c r="BU684" i="3"/>
  <c r="BU700" i="3"/>
  <c r="BV700" i="3"/>
  <c r="BU672" i="3"/>
  <c r="BV672" i="3"/>
  <c r="BU680" i="3"/>
  <c r="BU688" i="3"/>
  <c r="BV688" i="3"/>
  <c r="BU696" i="3"/>
  <c r="BV696" i="3"/>
  <c r="BU673" i="3"/>
  <c r="BV673" i="3"/>
  <c r="BU697" i="3"/>
  <c r="BV697" i="3"/>
  <c r="BU674" i="3"/>
  <c r="BU682" i="3"/>
  <c r="BV682" i="3"/>
  <c r="BU690" i="3"/>
  <c r="BV690" i="3"/>
  <c r="BU676" i="3"/>
  <c r="BU692" i="3"/>
  <c r="BV692" i="3"/>
  <c r="BU675" i="3"/>
  <c r="BU683" i="3"/>
  <c r="BV683" i="3"/>
  <c r="BU691" i="3"/>
  <c r="BU699" i="3"/>
  <c r="BV699" i="3"/>
  <c r="BH674" i="3"/>
  <c r="BI674" i="3"/>
  <c r="BH675" i="3"/>
  <c r="BI675" i="3"/>
  <c r="BH683" i="3"/>
  <c r="BI683" i="3"/>
  <c r="BH691" i="3"/>
  <c r="BI691" i="3"/>
  <c r="BH699" i="3"/>
  <c r="BI699" i="3"/>
  <c r="BH676" i="3"/>
  <c r="BI676" i="3"/>
  <c r="BH684" i="3"/>
  <c r="BI684" i="3"/>
  <c r="BH692" i="3"/>
  <c r="BI692" i="3"/>
  <c r="BH700" i="3"/>
  <c r="BI700" i="3"/>
  <c r="BH672" i="3"/>
  <c r="BI672" i="3"/>
  <c r="BH688" i="3"/>
  <c r="BH669" i="3"/>
  <c r="BI669" i="3"/>
  <c r="BH677" i="3"/>
  <c r="BI677" i="3"/>
  <c r="BH685" i="3"/>
  <c r="BI685" i="3"/>
  <c r="BH693" i="3"/>
  <c r="BH671" i="3"/>
  <c r="BH687" i="3"/>
  <c r="BI687" i="3"/>
  <c r="BH696" i="3"/>
  <c r="BI696" i="3"/>
  <c r="BH690" i="3"/>
  <c r="BI690" i="3"/>
  <c r="BH670" i="3"/>
  <c r="BI670" i="3"/>
  <c r="BH678" i="3"/>
  <c r="BI678" i="3"/>
  <c r="BH686" i="3"/>
  <c r="BI686" i="3"/>
  <c r="BH694" i="3"/>
  <c r="BI694" i="3"/>
  <c r="BH668" i="3"/>
  <c r="BH679" i="3"/>
  <c r="BI679" i="3"/>
  <c r="BH695" i="3"/>
  <c r="BI695" i="3"/>
  <c r="BH680" i="3"/>
  <c r="BI680" i="3"/>
  <c r="BH682" i="3"/>
  <c r="BI682" i="3"/>
  <c r="BH698" i="3"/>
  <c r="BI698" i="3"/>
  <c r="BH673" i="3"/>
  <c r="BI673" i="3"/>
  <c r="BH681" i="3"/>
  <c r="BI681" i="3"/>
  <c r="BH689" i="3"/>
  <c r="BI689" i="3"/>
  <c r="BH697" i="3"/>
  <c r="BI697" i="3"/>
  <c r="E22" i="7"/>
  <c r="BI702" i="3"/>
  <c r="BI671" i="3"/>
  <c r="BV691" i="3"/>
  <c r="AY684" i="20"/>
  <c r="I14" i="21"/>
  <c r="BV698" i="3"/>
  <c r="AS351" i="20"/>
  <c r="AS347" i="20"/>
  <c r="AK458" i="20"/>
  <c r="T806" i="20"/>
  <c r="AF806" i="20"/>
  <c r="DX661" i="3"/>
  <c r="BR634" i="3"/>
  <c r="BN660" i="3"/>
  <c r="AB985"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c r="T804" i="20"/>
  <c r="AF804" i="20"/>
  <c r="AI27" i="15"/>
  <c r="T793" i="20"/>
  <c r="AF793" i="20"/>
  <c r="AK78" i="20"/>
  <c r="G22" i="7"/>
  <c r="G35" i="7"/>
  <c r="EC645" i="3"/>
  <c r="EC647" i="3"/>
  <c r="EC653" i="3"/>
  <c r="EC649" i="3"/>
  <c r="DX646" i="3"/>
  <c r="EC638" i="3"/>
  <c r="EC650" i="3"/>
  <c r="CS642" i="3"/>
  <c r="EC657" i="3"/>
  <c r="EC656" i="3"/>
  <c r="EC643" i="3"/>
  <c r="EC668" i="3"/>
  <c r="EC669" i="3"/>
  <c r="EC635" i="3"/>
  <c r="EC636" i="3"/>
  <c r="EC651" i="3"/>
  <c r="EC640" i="3"/>
  <c r="EC644" i="3"/>
  <c r="EC655" i="3"/>
  <c r="AW112" i="20"/>
  <c r="AW110" i="20"/>
  <c r="EM636" i="3"/>
  <c r="EC654" i="3"/>
  <c r="EC641" i="3"/>
  <c r="I8" i="7"/>
  <c r="I9" i="7"/>
  <c r="S18" i="21"/>
  <c r="G44" i="21"/>
  <c r="CS641" i="3"/>
  <c r="EC642" i="3"/>
  <c r="AW111" i="20"/>
  <c r="AW114" i="20"/>
  <c r="AG1044" i="3"/>
  <c r="CQ634" i="3"/>
  <c r="EW652" i="3"/>
  <c r="EW647" i="3"/>
  <c r="EW644" i="3"/>
  <c r="EW656" i="3"/>
  <c r="EW650" i="3"/>
  <c r="EW654" i="3"/>
  <c r="EW655" i="3"/>
  <c r="EW657" i="3"/>
  <c r="EW653" i="3"/>
  <c r="EW639" i="3"/>
  <c r="EW648" i="3"/>
  <c r="CM660" i="3"/>
  <c r="EW646" i="3"/>
  <c r="EW645" i="3"/>
  <c r="EW642" i="3"/>
  <c r="EW668" i="3"/>
  <c r="EW649" i="3"/>
  <c r="EW635" i="3"/>
  <c r="EW640" i="3"/>
  <c r="EW638" i="3"/>
  <c r="EW636" i="3"/>
  <c r="EW669" i="3"/>
  <c r="EW632" i="3"/>
  <c r="EW637" i="3"/>
  <c r="CL634" i="3"/>
  <c r="CH660" i="3"/>
  <c r="ER636" i="3"/>
  <c r="ER647" i="3"/>
  <c r="ER651" i="3"/>
  <c r="ER640" i="3"/>
  <c r="ER652" i="3"/>
  <c r="ER643" i="3"/>
  <c r="ER644" i="3"/>
  <c r="ER655" i="3"/>
  <c r="ER669" i="3"/>
  <c r="ER653" i="3"/>
  <c r="ER635" i="3"/>
  <c r="ER638" i="3"/>
  <c r="ER657" i="3"/>
  <c r="ER645" i="3"/>
  <c r="ER649" i="3"/>
  <c r="ER656" i="3"/>
  <c r="ER639" i="3"/>
  <c r="ER654" i="3"/>
  <c r="ER648" i="3"/>
  <c r="EM652" i="3"/>
  <c r="AG1048" i="3"/>
  <c r="ER642" i="3"/>
  <c r="BX660" i="3"/>
  <c r="AB987" i="3"/>
  <c r="AJ987" i="3"/>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DX649" i="3"/>
  <c r="DX640" i="3"/>
  <c r="DX656" i="3"/>
  <c r="DX652" i="3"/>
  <c r="DX647" i="3"/>
  <c r="DX655" i="3"/>
  <c r="DX644" i="3"/>
  <c r="DX654" i="3"/>
  <c r="DX648" i="3"/>
  <c r="CM633" i="3"/>
  <c r="DX651" i="3"/>
  <c r="DX638" i="3"/>
  <c r="DX650" i="3"/>
  <c r="DX643" i="3"/>
  <c r="EH653" i="3"/>
  <c r="BV680" i="3"/>
  <c r="BV684" i="3"/>
  <c r="BV677" i="3"/>
  <c r="BV676" i="3"/>
  <c r="EW651" i="3"/>
  <c r="DX637" i="3"/>
  <c r="ER650" i="3"/>
  <c r="AW113" i="20"/>
  <c r="DX645" i="3"/>
  <c r="BS660" i="3"/>
  <c r="AB986" i="3"/>
  <c r="AJ986" i="3"/>
  <c r="BV687" i="3"/>
  <c r="ER668" i="3"/>
  <c r="BR656" i="3"/>
  <c r="CS658" i="3"/>
  <c r="CS657" i="3"/>
  <c r="CC660" i="3"/>
  <c r="AB988" i="3"/>
  <c r="AJ988" i="3"/>
  <c r="EM650" i="3"/>
  <c r="EM653" i="3"/>
  <c r="EM654" i="3"/>
  <c r="CG634" i="3"/>
  <c r="EM669" i="3"/>
  <c r="EM657" i="3"/>
  <c r="EM655" i="3"/>
  <c r="EM668" i="3"/>
  <c r="EM640" i="3"/>
  <c r="EM645" i="3"/>
  <c r="EM647" i="3"/>
  <c r="EM639" i="3"/>
  <c r="EM649" i="3"/>
  <c r="EM642" i="3"/>
  <c r="EM656" i="3"/>
  <c r="EM644" i="3"/>
  <c r="EM638" i="3"/>
  <c r="EM648" i="3"/>
  <c r="BI688" i="3"/>
  <c r="DR657" i="3"/>
  <c r="EM635" i="3"/>
  <c r="EM643" i="3"/>
  <c r="K15" i="7"/>
  <c r="I22" i="7"/>
  <c r="I35" i="7"/>
  <c r="E27" i="21"/>
  <c r="G22" i="21"/>
  <c r="O33" i="21"/>
  <c r="P33" i="21" a="1"/>
  <c r="P33" i="21"/>
  <c r="R33" i="21"/>
  <c r="O30" i="21"/>
  <c r="P30" i="21" a="1"/>
  <c r="P30" i="21"/>
  <c r="R30" i="21"/>
  <c r="O24" i="21"/>
  <c r="P24" i="21" a="1"/>
  <c r="P24" i="21"/>
  <c r="R24" i="21"/>
  <c r="O25" i="21"/>
  <c r="P25" i="21" a="1"/>
  <c r="P25" i="21"/>
  <c r="R25" i="21"/>
  <c r="CS634" i="3"/>
  <c r="O756" i="3"/>
  <c r="BH703" i="3"/>
  <c r="E35" i="7"/>
  <c r="O22" i="21"/>
  <c r="P22" i="21" a="1"/>
  <c r="P22" i="21"/>
  <c r="R22" i="21"/>
  <c r="O20" i="21"/>
  <c r="P20" i="21" a="1"/>
  <c r="P20" i="21"/>
  <c r="R20" i="21"/>
  <c r="BU703" i="3"/>
  <c r="BI668" i="3"/>
  <c r="AW116" i="20"/>
  <c r="AK180" i="20"/>
  <c r="T800" i="20"/>
  <c r="AF800" i="20"/>
  <c r="T794" i="20"/>
  <c r="AF794" i="20"/>
  <c r="K8" i="7"/>
  <c r="M8" i="7"/>
  <c r="AJ985" i="3"/>
  <c r="AB989" i="3"/>
  <c r="AJ989" i="3"/>
  <c r="M15" i="7"/>
  <c r="K22" i="7"/>
  <c r="K35" i="7"/>
  <c r="F25" i="21"/>
  <c r="G54" i="21"/>
  <c r="G56" i="21"/>
  <c r="G58" i="21"/>
  <c r="E12" i="21"/>
  <c r="F26" i="21"/>
  <c r="G26" i="21"/>
  <c r="G45" i="21"/>
  <c r="G47" i="21"/>
  <c r="G49" i="21"/>
  <c r="E11" i="21"/>
  <c r="AP695" i="20"/>
  <c r="K9" i="7"/>
  <c r="AJ991" i="3"/>
  <c r="AJ1044" i="3"/>
  <c r="AP541" i="20"/>
  <c r="AB990" i="3"/>
  <c r="CS660" i="3"/>
  <c r="U362" i="20"/>
  <c r="P421" i="3"/>
  <c r="M22" i="7"/>
  <c r="M35" i="7"/>
  <c r="O15" i="7"/>
  <c r="M9" i="7"/>
  <c r="O8" i="7"/>
  <c r="G25" i="21"/>
  <c r="F24" i="21"/>
  <c r="B1059" i="3"/>
  <c r="AJ1048" i="3"/>
  <c r="AP542" i="20"/>
  <c r="AP539" i="20"/>
  <c r="AJ1052" i="3"/>
  <c r="G24" i="21"/>
  <c r="F27" i="21"/>
  <c r="G27" i="21"/>
  <c r="O22" i="7"/>
  <c r="O35" i="7"/>
  <c r="Q15" i="7"/>
  <c r="O9" i="7"/>
  <c r="Q8" i="7"/>
  <c r="AP543" i="20"/>
  <c r="T24" i="15"/>
  <c r="AP546" i="20"/>
  <c r="AP545" i="20"/>
  <c r="AP548" i="20"/>
  <c r="AF541" i="20"/>
  <c r="Q22" i="7"/>
  <c r="Q35" i="7"/>
  <c r="S15" i="7"/>
  <c r="G95" i="21"/>
  <c r="G96" i="21"/>
  <c r="G29" i="21"/>
  <c r="G31" i="21"/>
  <c r="E9" i="21"/>
  <c r="G104" i="21"/>
  <c r="G106" i="21"/>
  <c r="G79" i="21"/>
  <c r="G64" i="21"/>
  <c r="Q9" i="7"/>
  <c r="S8" i="7"/>
  <c r="G69" i="21"/>
  <c r="S22" i="7"/>
  <c r="S35" i="7"/>
  <c r="U15" i="7"/>
  <c r="E14" i="21"/>
  <c r="E15" i="21"/>
  <c r="U8" i="7"/>
  <c r="S9" i="7"/>
  <c r="U22" i="7"/>
  <c r="U35" i="7"/>
  <c r="W15" i="7"/>
  <c r="U9" i="7"/>
  <c r="W8" i="7"/>
  <c r="W22" i="7"/>
  <c r="W35" i="7"/>
  <c r="Y15" i="7"/>
  <c r="W9" i="7"/>
  <c r="Y8" i="7"/>
  <c r="Y22" i="7"/>
  <c r="Y35" i="7"/>
  <c r="AA15" i="7"/>
  <c r="Y9" i="7"/>
  <c r="AA8" i="7"/>
  <c r="AC15" i="7"/>
  <c r="AA22" i="7"/>
  <c r="AA35" i="7"/>
  <c r="AC8" i="7"/>
  <c r="AA9" i="7"/>
  <c r="AE15" i="7"/>
  <c r="AC22" i="7"/>
  <c r="AC35" i="7"/>
  <c r="AC9" i="7"/>
  <c r="AE8" i="7"/>
  <c r="AE22" i="7"/>
  <c r="AE35" i="7"/>
  <c r="AG15" i="7"/>
  <c r="AG22" i="7"/>
  <c r="AG35" i="7"/>
  <c r="AE9" i="7"/>
  <c r="AG8" i="7"/>
  <c r="AG9" i="7"/>
  <c r="BI693" i="3"/>
  <c r="BI703" i="3"/>
  <c r="AC753" i="3"/>
  <c r="E87" i="20"/>
  <c r="E88" i="20"/>
  <c r="E89" i="20"/>
  <c r="AP89" i="20"/>
  <c r="E97" i="20"/>
  <c r="Y596" i="20"/>
  <c r="AP576" i="20"/>
  <c r="G62" i="21"/>
  <c r="G65" i="21"/>
  <c r="G83" i="21"/>
  <c r="E13" i="21"/>
  <c r="I105" i="4"/>
  <c r="R26" i="4"/>
  <c r="F12" i="4"/>
  <c r="G63" i="4"/>
  <c r="G97" i="4"/>
  <c r="G105" i="4"/>
  <c r="F63" i="4"/>
  <c r="F97" i="4"/>
  <c r="F105" i="4"/>
  <c r="J104" i="4"/>
  <c r="J105" i="4"/>
  <c r="AM566" i="3"/>
  <c r="D57" i="11"/>
  <c r="H70" i="13"/>
  <c r="H107" i="13"/>
  <c r="H97" i="13"/>
  <c r="E54" i="4"/>
  <c r="D26" i="11"/>
  <c r="D27" i="11"/>
  <c r="D50" i="11"/>
  <c r="E96" i="4"/>
  <c r="R84" i="4"/>
  <c r="R96" i="4"/>
  <c r="C97" i="11"/>
  <c r="D97" i="11"/>
  <c r="AI11" i="15"/>
  <c r="AI23" i="15"/>
  <c r="AI26" i="15"/>
  <c r="AI28" i="15"/>
  <c r="AD11" i="15"/>
  <c r="AD23" i="15"/>
  <c r="AD26" i="15"/>
  <c r="AD28" i="15"/>
  <c r="H105" i="13"/>
  <c r="D84" i="11"/>
  <c r="C63" i="11"/>
  <c r="C64" i="11"/>
  <c r="B62" i="4"/>
  <c r="B63" i="4"/>
  <c r="D70" i="11"/>
  <c r="B71" i="11"/>
  <c r="C71" i="11"/>
  <c r="D71" i="11"/>
  <c r="R69" i="4"/>
  <c r="R70" i="4"/>
  <c r="E62" i="4"/>
  <c r="R56" i="4"/>
  <c r="R62" i="4"/>
  <c r="R54" i="4"/>
  <c r="E54" i="13"/>
  <c r="B55" i="11"/>
  <c r="B64" i="11"/>
  <c r="B98" i="11"/>
  <c r="B106" i="11"/>
  <c r="E63" i="13"/>
  <c r="S97" i="4"/>
  <c r="D55" i="11"/>
  <c r="N187" i="27"/>
  <c r="N193" i="27"/>
  <c r="B12" i="4"/>
  <c r="E8" i="4"/>
  <c r="R4" i="4"/>
  <c r="R8" i="4"/>
  <c r="R99" i="4"/>
  <c r="R104" i="4"/>
  <c r="E104" i="4"/>
  <c r="D63" i="11"/>
  <c r="C98" i="11"/>
  <c r="C106" i="11"/>
  <c r="B63" i="13"/>
  <c r="D106" i="11"/>
  <c r="D64" i="11"/>
  <c r="S105" i="4"/>
  <c r="E97" i="13"/>
  <c r="E63" i="4"/>
  <c r="E97" i="4"/>
  <c r="E12" i="4"/>
  <c r="R12" i="4"/>
  <c r="R63" i="4"/>
  <c r="R97" i="4"/>
  <c r="R105" i="4"/>
  <c r="E105" i="4"/>
  <c r="D98" i="11"/>
  <c r="B97" i="13"/>
  <c r="B97" i="4"/>
  <c r="E105" i="13"/>
  <c r="S107" i="4"/>
  <c r="AG258" i="20"/>
  <c r="AC455" i="3"/>
  <c r="B105" i="13"/>
  <c r="AF540" i="20"/>
  <c r="AF542" i="20"/>
  <c r="AK548" i="20"/>
  <c r="T807" i="20"/>
  <c r="AF807" i="20"/>
  <c r="AC456" i="3"/>
  <c r="E107" i="13"/>
  <c r="AB47" i="15"/>
  <c r="AB49" i="15"/>
  <c r="AC454" i="3"/>
  <c r="F457" i="3"/>
  <c r="AB255" i="20"/>
  <c r="N183" i="27"/>
  <c r="Y11" i="15"/>
  <c r="Y23" i="15"/>
  <c r="Y26" i="15"/>
  <c r="Y28" i="15"/>
  <c r="T11" i="15"/>
  <c r="T23" i="15"/>
  <c r="N184" i="27"/>
  <c r="N194" i="27"/>
  <c r="T26" i="15"/>
  <c r="T28" i="15"/>
  <c r="T29" i="15"/>
  <c r="Y64" i="15"/>
  <c r="Y68" i="15"/>
  <c r="Y69" i="15"/>
  <c r="AD38" i="15"/>
  <c r="AD40" i="15"/>
  <c r="Y38" i="15"/>
  <c r="Y40" i="15"/>
  <c r="Y41" i="15"/>
  <c r="AB54" i="15"/>
  <c r="AB55" i="15"/>
  <c r="AB56" i="15"/>
  <c r="G35" i="21" a="1"/>
  <c r="G35" i="21"/>
  <c r="G36" i="21"/>
  <c r="G40" i="8"/>
  <c r="O23" i="21"/>
  <c r="P23" i="21" a="1"/>
  <c r="P23" i="21"/>
  <c r="R23" i="21"/>
  <c r="G38" i="21"/>
  <c r="G40" i="21"/>
  <c r="E10" i="21"/>
  <c r="E16" i="21"/>
  <c r="H3" i="21"/>
  <c r="AB223" i="20"/>
  <c r="AB239" i="20"/>
  <c r="AB241" i="20"/>
  <c r="AB243" i="20"/>
  <c r="AB249" i="20"/>
  <c r="AD198" i="20"/>
  <c r="AD200" i="20"/>
  <c r="AG257" i="20"/>
  <c r="AG259" i="20"/>
  <c r="AK262" i="20"/>
  <c r="T801" i="20"/>
  <c r="AF801" i="20"/>
  <c r="AB57" i="15"/>
  <c r="M26" i="3"/>
  <c r="P204" i="3"/>
  <c r="AB59" i="15"/>
  <c r="AB77" i="15"/>
  <c r="AB78" i="15"/>
  <c r="M27" i="3"/>
  <c r="P205" i="3"/>
  <c r="AB79" i="15"/>
  <c r="AB81" i="15"/>
  <c r="J82" i="15"/>
  <c r="I10" i="21"/>
  <c r="I11" i="21"/>
  <c r="I16" i="21"/>
  <c r="H4" i="21"/>
  <c r="H5" i="21"/>
  <c r="EC670" i="3" l="1"/>
  <c r="J124" i="20" s="1"/>
  <c r="J127" i="20" s="1"/>
  <c r="J130" i="20" s="1"/>
  <c r="Y800" i="3"/>
  <c r="D40" i="8"/>
  <c r="Y801" i="3"/>
  <c r="E4" i="7" s="1"/>
  <c r="G4" i="7" s="1"/>
  <c r="I4" i="7" s="1"/>
  <c r="ER632" i="3"/>
  <c r="EM670" i="3"/>
  <c r="T124" i="20" s="1"/>
  <c r="T127" i="20" s="1"/>
  <c r="T130" i="20" s="1"/>
  <c r="EW670" i="3"/>
  <c r="AD124" i="20" s="1"/>
  <c r="AD127" i="20" s="1"/>
  <c r="AD130" i="20" s="1"/>
  <c r="EH670" i="3"/>
  <c r="O124" i="20" s="1"/>
  <c r="O127" i="20" s="1"/>
  <c r="O130" i="20" s="1"/>
  <c r="BV703" i="3"/>
  <c r="AH753" i="3" s="1"/>
  <c r="DX632" i="3"/>
  <c r="DX670" i="3"/>
  <c r="E124" i="20" s="1"/>
  <c r="E127" i="20" s="1"/>
  <c r="E130" i="20" s="1"/>
  <c r="D10" i="8"/>
  <c r="I10" i="8" s="1"/>
  <c r="J10" i="8" s="1"/>
  <c r="J40" i="8" s="1"/>
  <c r="EH632" i="3"/>
  <c r="ER637" i="3"/>
  <c r="ER670" i="3" s="1"/>
  <c r="Y124" i="20" s="1"/>
  <c r="Y127" i="20" s="1"/>
  <c r="Y130" i="20" s="1"/>
  <c r="EC632" i="3"/>
  <c r="EM632" i="3"/>
  <c r="E100" i="20"/>
  <c r="AP100" i="20" s="1"/>
  <c r="AK103" i="20" s="1"/>
  <c r="T795" i="20" s="1"/>
  <c r="AF795" i="20" s="1"/>
  <c r="G5" i="7" l="1"/>
  <c r="Z809" i="3"/>
  <c r="E6" i="7" s="1"/>
  <c r="E7" i="7" s="1"/>
  <c r="M959" i="3"/>
  <c r="M960" i="3" s="1"/>
  <c r="E132" i="20"/>
  <c r="E133" i="20" s="1"/>
  <c r="AK137" i="20" s="1"/>
  <c r="T796" i="20" s="1"/>
  <c r="AF796" i="20" s="1"/>
  <c r="AF810" i="20" s="1"/>
  <c r="E5" i="7"/>
  <c r="I5" i="7"/>
  <c r="K4" i="7"/>
  <c r="E11" i="7" l="1"/>
  <c r="E37" i="7" s="1"/>
  <c r="G6" i="7"/>
  <c r="G7" i="7" s="1"/>
  <c r="G11" i="7" s="1"/>
  <c r="G37" i="7" s="1"/>
  <c r="Z818" i="3"/>
  <c r="M4" i="7"/>
  <c r="K5" i="7"/>
  <c r="E49" i="7"/>
  <c r="E45" i="7"/>
  <c r="I6" i="7" l="1"/>
  <c r="I7" i="7" s="1"/>
  <c r="O4" i="7"/>
  <c r="M5" i="7"/>
  <c r="G45" i="7"/>
  <c r="G49" i="7"/>
  <c r="E60" i="7"/>
  <c r="E47" i="7"/>
  <c r="E48" i="7"/>
  <c r="K6" i="7" l="1"/>
  <c r="K7" i="7" s="1"/>
  <c r="K11" i="7" s="1"/>
  <c r="K37" i="7" s="1"/>
  <c r="I11" i="7"/>
  <c r="I37" i="7" s="1"/>
  <c r="I49" i="7" s="1"/>
  <c r="E66" i="7"/>
  <c r="E67" i="7"/>
  <c r="E62" i="7"/>
  <c r="G47" i="7"/>
  <c r="G48" i="7"/>
  <c r="G60" i="7"/>
  <c r="Q4" i="7"/>
  <c r="O5" i="7"/>
  <c r="M6" i="7" l="1"/>
  <c r="I45" i="7"/>
  <c r="I47" i="7" s="1"/>
  <c r="S4" i="7"/>
  <c r="Q5" i="7"/>
  <c r="G67" i="7"/>
  <c r="G62" i="7"/>
  <c r="G66" i="7"/>
  <c r="E70" i="7"/>
  <c r="E72" i="7" s="1"/>
  <c r="K45" i="7"/>
  <c r="K49" i="7"/>
  <c r="O6" i="7"/>
  <c r="M7" i="7"/>
  <c r="M11" i="7" s="1"/>
  <c r="M37" i="7" s="1"/>
  <c r="I60" i="7"/>
  <c r="I48" i="7" l="1"/>
  <c r="G70" i="7"/>
  <c r="G72" i="7" s="1"/>
  <c r="M45" i="7"/>
  <c r="M49" i="7"/>
  <c r="O7" i="7"/>
  <c r="O11" i="7" s="1"/>
  <c r="O37" i="7" s="1"/>
  <c r="Q6" i="7"/>
  <c r="K60" i="7"/>
  <c r="K48" i="7"/>
  <c r="K47" i="7"/>
  <c r="S5" i="7"/>
  <c r="U4" i="7"/>
  <c r="I67" i="7"/>
  <c r="I66" i="7"/>
  <c r="I70" i="7" s="1"/>
  <c r="I62" i="7"/>
  <c r="I72" i="7" s="1"/>
  <c r="O45" i="7" l="1"/>
  <c r="O49" i="7"/>
  <c r="U5" i="7"/>
  <c r="W4" i="7"/>
  <c r="K67" i="7"/>
  <c r="K62" i="7"/>
  <c r="K66" i="7"/>
  <c r="Q7" i="7"/>
  <c r="S6" i="7"/>
  <c r="Q11" i="7"/>
  <c r="Q37" i="7" s="1"/>
  <c r="M48" i="7"/>
  <c r="M47" i="7"/>
  <c r="M60" i="7"/>
  <c r="K70" i="7" l="1"/>
  <c r="K72" i="7" s="1"/>
  <c r="S7" i="7"/>
  <c r="U6" i="7"/>
  <c r="M66" i="7"/>
  <c r="M67" i="7"/>
  <c r="M62" i="7"/>
  <c r="Q49" i="7"/>
  <c r="Q45" i="7"/>
  <c r="Y4" i="7"/>
  <c r="W5" i="7"/>
  <c r="O47" i="7"/>
  <c r="O60" i="7"/>
  <c r="O48" i="7"/>
  <c r="S11" i="7"/>
  <c r="S37" i="7" s="1"/>
  <c r="S45" i="7" l="1"/>
  <c r="S49" i="7"/>
  <c r="O67" i="7"/>
  <c r="O66" i="7"/>
  <c r="O62" i="7"/>
  <c r="Y5" i="7"/>
  <c r="AA4" i="7"/>
  <c r="Q47" i="7"/>
  <c r="Q48" i="7"/>
  <c r="Q60" i="7"/>
  <c r="M70" i="7"/>
  <c r="M72" i="7" s="1"/>
  <c r="U7" i="7"/>
  <c r="U11" i="7" s="1"/>
  <c r="U37" i="7" s="1"/>
  <c r="W6" i="7"/>
  <c r="U49" i="7" l="1"/>
  <c r="U45" i="7"/>
  <c r="Y6" i="7"/>
  <c r="W7" i="7"/>
  <c r="W11" i="7"/>
  <c r="W37" i="7" s="1"/>
  <c r="Q67" i="7"/>
  <c r="Q66" i="7"/>
  <c r="Q70" i="7" s="1"/>
  <c r="Q62" i="7"/>
  <c r="Q72" i="7" s="1"/>
  <c r="AA5" i="7"/>
  <c r="AC4" i="7"/>
  <c r="O70" i="7"/>
  <c r="O72" i="7" s="1"/>
  <c r="S47" i="7"/>
  <c r="S48" i="7"/>
  <c r="S60" i="7"/>
  <c r="W49" i="7" l="1"/>
  <c r="W45" i="7"/>
  <c r="AC5" i="7"/>
  <c r="AE4" i="7"/>
  <c r="AA6" i="7"/>
  <c r="Y7" i="7"/>
  <c r="Y11" i="7"/>
  <c r="Y37" i="7" s="1"/>
  <c r="U48" i="7"/>
  <c r="U60" i="7"/>
  <c r="U47" i="7"/>
  <c r="S62" i="7"/>
  <c r="S67" i="7"/>
  <c r="S66" i="7"/>
  <c r="S70" i="7" s="1"/>
  <c r="S72" i="7" l="1"/>
  <c r="Y49" i="7"/>
  <c r="Y45" i="7"/>
  <c r="U67" i="7"/>
  <c r="U62" i="7"/>
  <c r="U66" i="7"/>
  <c r="U70" i="7" s="1"/>
  <c r="U72" i="7" s="1"/>
  <c r="AC6" i="7"/>
  <c r="AA7" i="7"/>
  <c r="AA11" i="7" s="1"/>
  <c r="AA37" i="7" s="1"/>
  <c r="AG4" i="7"/>
  <c r="AE5" i="7"/>
  <c r="W47" i="7"/>
  <c r="W60" i="7"/>
  <c r="W48" i="7"/>
  <c r="AG5" i="7" l="1"/>
  <c r="AE6" i="7"/>
  <c r="AC7" i="7"/>
  <c r="AC11" i="7"/>
  <c r="AC37" i="7" s="1"/>
  <c r="W67" i="7"/>
  <c r="W62" i="7"/>
  <c r="W66" i="7"/>
  <c r="W70" i="7" s="1"/>
  <c r="AA45" i="7"/>
  <c r="AA49" i="7"/>
  <c r="Y47" i="7"/>
  <c r="Y48" i="7"/>
  <c r="Y60" i="7"/>
  <c r="W72" i="7" l="1"/>
  <c r="AA60" i="7"/>
  <c r="AA48" i="7"/>
  <c r="AA47" i="7"/>
  <c r="Y62" i="7"/>
  <c r="Y66" i="7"/>
  <c r="Y67" i="7"/>
  <c r="AC45" i="7"/>
  <c r="AC49" i="7"/>
  <c r="AE7" i="7"/>
  <c r="AG6" i="7"/>
  <c r="AE11" i="7"/>
  <c r="AE37" i="7" s="1"/>
  <c r="AE49" i="7" l="1"/>
  <c r="AE45" i="7"/>
  <c r="AC48" i="7"/>
  <c r="AC60" i="7"/>
  <c r="AC47" i="7"/>
  <c r="AG7" i="7"/>
  <c r="AG11" i="7"/>
  <c r="AG37" i="7" s="1"/>
  <c r="Y70" i="7"/>
  <c r="Y72" i="7" s="1"/>
  <c r="AA67" i="7"/>
  <c r="AA66" i="7"/>
  <c r="AA62" i="7"/>
  <c r="AA70" i="7" l="1"/>
  <c r="AA72" i="7" s="1"/>
  <c r="AG49" i="7"/>
  <c r="AG45" i="7"/>
  <c r="AC66" i="7"/>
  <c r="AC62" i="7"/>
  <c r="AC67" i="7"/>
  <c r="AE48" i="7"/>
  <c r="AE60" i="7"/>
  <c r="AE47" i="7"/>
  <c r="AE66" i="7" l="1"/>
  <c r="AE62" i="7"/>
  <c r="AE67" i="7"/>
  <c r="AC70" i="7"/>
  <c r="AC72" i="7" s="1"/>
  <c r="AG47" i="7"/>
  <c r="AG48" i="7"/>
  <c r="AG60" i="7"/>
  <c r="AG62" i="7" l="1"/>
  <c r="AG66" i="7"/>
  <c r="AG67" i="7"/>
  <c r="AE70" i="7"/>
  <c r="AE72" i="7" s="1"/>
  <c r="AG70" i="7" l="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CDF5D169-03EB-4174-9734-EB92018FC6D9}">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<sst xmlns="http://schemas.openxmlformats.org/spreadsheetml/2006/main" count="5346" uniqueCount="2785">
  <si>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</si>
  <si>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</si>
  <si>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</si>
  <si>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</si>
  <si>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</si>
  <si>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</si>
  <si>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</si>
  <si>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</si>
  <si>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</si>
  <si>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</si>
  <si>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</si>
  <si>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</si>
  <si>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</si>
  <si>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</si>
  <si>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</si>
  <si>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</si>
  <si>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</si>
  <si>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</si>
  <si>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</si>
  <si>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</si>
  <si>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</si>
  <si>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</si>
  <si>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</si>
  <si>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</si>
  <si>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</si>
  <si>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</si>
  <si>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</si>
  <si>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</si>
  <si>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</si>
  <si>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</si>
  <si>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</si>
  <si>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</si>
  <si>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</si>
  <si>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</si>
  <si>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</si>
  <si>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</si>
  <si>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</si>
  <si>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</si>
  <si>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</si>
  <si>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</si>
  <si>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</si>
  <si>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</si>
  <si>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</si>
  <si>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</si>
  <si>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</si>
  <si>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</si>
  <si>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</si>
  <si>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</si>
  <si>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</si>
  <si>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</si>
  <si>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</si>
  <si>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</si>
  <si>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</si>
  <si>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</si>
  <si>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</si>
  <si>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</si>
  <si>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</si>
  <si>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</si>
  <si>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</si>
  <si>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</si>
  <si>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</si>
  <si>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</si>
  <si>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</si>
  <si>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</si>
  <si>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</si>
  <si>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</si>
  <si>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</si>
  <si>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</si>
  <si>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</si>
  <si>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</si>
  <si>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</si>
  <si>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</si>
  <si>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</si>
  <si>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</si>
  <si>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</si>
  <si>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</si>
  <si>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</si>
  <si>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</si>
  <si>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</si>
  <si>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</si>
  <si>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</si>
  <si>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</si>
  <si>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</si>
  <si>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</si>
  <si>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</si>
  <si>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</si>
  <si>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</si>
  <si>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</si>
  <si>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</si>
  <si>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</si>
  <si>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</si>
  <si>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</si>
  <si>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</si>
  <si>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</si>
  <si>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</si>
  <si>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</si>
  <si>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</si>
  <si>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</si>
  <si>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</si>
  <si>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</si>
  <si>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</si>
  <si>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</si>
  <si>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</si>
  <si>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</si>
  <si>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</si>
  <si>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</si>
  <si>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</si>
  <si>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</si>
  <si>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</si>
  <si>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</si>
  <si>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</si>
  <si>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</si>
  <si>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</si>
  <si>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</si>
  <si>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</si>
  <si>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</si>
  <si>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</si>
  <si>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</si>
  <si>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</si>
  <si>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</si>
  <si>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</si>
  <si>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</si>
  <si>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</si>
  <si>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</si>
  <si>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</si>
  <si>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</si>
  <si>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</si>
  <si>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</si>
  <si>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</si>
  <si>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</si>
  <si>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</si>
  <si>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</si>
  <si>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</si>
  <si>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</si>
  <si>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</si>
  <si>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</si>
  <si>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</si>
  <si>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</si>
  <si>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</si>
  <si>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</si>
  <si>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</si>
  <si>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</si>
  <si>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</si>
  <si>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</si>
  <si>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</si>
  <si>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</si>
  <si>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</si>
  <si>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</si>
  <si>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</si>
  <si>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</si>
  <si>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</si>
  <si>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</si>
  <si>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</si>
  <si>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</si>
  <si>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</si>
  <si>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</si>
  <si>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</si>
  <si>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</si>
  <si>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</si>
  <si>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</si>
  <si>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</si>
  <si>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</si>
  <si>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</si>
  <si>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</si>
  <si>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</si>
  <si>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</si>
  <si>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</si>
  <si>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</si>
  <si>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</si>
  <si>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</si>
  <si>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</si>
  <si>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</si>
  <si>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</si>
  <si>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</si>
  <si>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</si>
  <si>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</si>
  <si>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</si>
  <si>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</si>
  <si>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</si>
  <si>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</si>
  <si>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</si>
  <si>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</si>
  <si>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</si>
  <si>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</si>
  <si>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</si>
  <si>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</si>
  <si>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</si>
  <si>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</si>
  <si>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</si>
  <si>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</si>
  <si>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</si>
  <si>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</si>
  <si>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</si>
  <si>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</si>
  <si>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</si>
  <si>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</si>
  <si>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</si>
  <si>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</si>
  <si>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</si>
  <si>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</si>
  <si>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</si>
  <si>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</si>
  <si>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</si>
  <si>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</si>
  <si>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</si>
  <si>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</si>
  <si>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</si>
  <si>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</si>
  <si>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</si>
  <si>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</si>
  <si>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</si>
  <si>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</si>
  <si>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</si>
  <si>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</si>
  <si>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</si>
  <si>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</si>
  <si>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</si>
  <si>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</si>
  <si>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</si>
  <si>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</si>
  <si>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</si>
  <si>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</si>
  <si>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</si>
  <si>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</si>
  <si>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</si>
  <si>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</si>
  <si>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</si>
  <si>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</si>
  <si>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</si>
  <si>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</si>
  <si>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</si>
  <si>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</si>
  <si>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</si>
  <si>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</si>
  <si>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</si>
  <si>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</si>
  <si>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</si>
  <si>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</si>
  <si>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</si>
  <si>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</si>
  <si>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</si>
  <si>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</si>
  <si>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</si>
  <si>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</si>
  <si>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</si>
  <si>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</si>
  <si>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</si>
  <si>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</si>
  <si>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</si>
  <si>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</si>
  <si>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</si>
  <si>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</si>
  <si>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</si>
  <si>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</si>
  <si>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</si>
  <si>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</si>
  <si>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</si>
  <si>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</si>
  <si>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</si>
  <si>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</si>
  <si>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</si>
  <si>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</si>
  <si>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</si>
  <si>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</si>
  <si>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</si>
  <si>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</si>
  <si>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</si>
  <si>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</si>
  <si>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</si>
  <si>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</si>
  <si>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</si>
  <si>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</si>
  <si>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</si>
  <si>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</si>
  <si>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</si>
  <si>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</si>
  <si>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</si>
  <si>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</si>
  <si>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</si>
  <si>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</si>
  <si>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</si>
  <si>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</si>
  <si>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</si>
  <si>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</si>
  <si>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</si>
  <si>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</si>
  <si>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</si>
  <si>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</si>
  <si>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</si>
  <si>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</si>
  <si>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</si>
  <si>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</si>
  <si>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</si>
  <si>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</si>
  <si>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</si>
  <si>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</si>
  <si>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</si>
  <si>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</si>
  <si>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</si>
  <si>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</si>
  <si>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</si>
  <si>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</si>
  <si>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</si>
  <si>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</si>
  <si>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</si>
  <si>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</si>
  <si>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</si>
  <si>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</si>
  <si>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</si>
  <si>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</si>
  <si>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</si>
  <si>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</si>
  <si>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</si>
  <si>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</si>
  <si>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</si>
  <si>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</si>
  <si>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</si>
  <si>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</si>
  <si>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</si>
  <si>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</si>
  <si>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</si>
  <si>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</si>
  <si>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</si>
  <si>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</si>
  <si>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</si>
  <si>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</si>
  <si>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</si>
  <si>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</si>
  <si>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</si>
  <si>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</si>
  <si>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</si>
  <si>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</si>
  <si>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</si>
  <si>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</si>
  <si>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</si>
  <si>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</si>
  <si>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</si>
  <si>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</si>
  <si>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</si>
  <si>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</si>
  <si>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</si>
  <si>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</si>
  <si>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</si>
  <si>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</si>
  <si>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</si>
  <si>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</si>
  <si>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</si>
  <si>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</si>
  <si>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</si>
  <si>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</si>
  <si>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</si>
  <si>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</si>
  <si>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</si>
  <si>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</si>
  <si>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</si>
  <si>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</si>
  <si>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</si>
  <si>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</si>
  <si>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</si>
  <si>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</si>
  <si>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</si>
  <si>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</si>
  <si>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</si>
  <si>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</si>
  <si>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</si>
  <si>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</si>
  <si>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</si>
  <si>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</si>
  <si>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</si>
  <si>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</si>
  <si>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</si>
  <si>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</si>
  <si>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</si>
  <si>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</si>
  <si>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</si>
  <si>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</si>
  <si>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</si>
  <si>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</si>
  <si>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</si>
  <si>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</si>
  <si>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</si>
  <si>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</si>
  <si>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</si>
  <si>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</si>
  <si>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</si>
  <si>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</si>
  <si>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</si>
  <si>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</si>
  <si>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</si>
  <si>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</si>
  <si>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</si>
  <si>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</si>
  <si>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</si>
  <si>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</si>
  <si>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</si>
  <si>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</si>
  <si>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</si>
  <si>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</si>
  <si>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</si>
  <si>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</si>
  <si>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</si>
  <si>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</si>
  <si>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</si>
  <si>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</si>
  <si>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</si>
  <si>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</si>
  <si>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</si>
  <si>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</si>
  <si>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</si>
  <si>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</si>
  <si>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</si>
  <si>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</si>
  <si>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</si>
  <si>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</si>
  <si>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</si>
  <si>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</si>
  <si>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</si>
  <si>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</si>
  <si>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</si>
  <si>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</si>
  <si>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</si>
  <si>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</si>
  <si>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</si>
  <si>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</si>
  <si>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</si>
  <si>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</si>
  <si>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</si>
  <si>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</si>
  <si>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</si>
  <si>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</si>
  <si>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</si>
  <si>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</si>
  <si>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</si>
  <si>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</si>
  <si>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</si>
  <si>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</si>
  <si>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</si>
  <si>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</si>
  <si>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</si>
  <si>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</si>
  <si>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</si>
  <si>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</si>
  <si>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</si>
  <si>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</si>
  <si>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</si>
  <si>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</si>
  <si>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</si>
  <si>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</si>
  <si>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</si>
  <si>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</si>
  <si>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</si>
  <si>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</si>
  <si>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</si>
  <si>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</si>
  <si>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</si>
  <si>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</si>
  <si>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</si>
  <si>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</si>
  <si>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</si>
  <si>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</si>
  <si>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</si>
  <si>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</si>
  <si>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</si>
  <si>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</si>
  <si>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</si>
  <si>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</si>
  <si>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</si>
  <si>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</si>
  <si>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</si>
  <si>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</si>
  <si>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</si>
  <si>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</si>
  <si>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</si>
  <si>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</si>
  <si>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</si>
  <si>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</si>
  <si>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</si>
  <si>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</si>
  <si>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</si>
  <si>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</si>
  <si>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</si>
  <si>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</si>
  <si>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</si>
  <si>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</si>
  <si>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</si>
  <si>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</si>
  <si>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</si>
  <si>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</si>
  <si>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</si>
  <si>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</si>
  <si>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</si>
  <si>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</si>
  <si>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</si>
  <si>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</si>
  <si>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</si>
  <si>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</si>
  <si>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</si>
  <si>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</si>
  <si>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</si>
  <si>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</si>
  <si>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</si>
  <si>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</si>
  <si>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</si>
  <si>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</si>
  <si>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</si>
  <si>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</si>
  <si>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</si>
  <si>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</si>
  <si>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</si>
  <si>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</si>
  <si>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</si>
  <si>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</si>
  <si>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</si>
  <si>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</si>
  <si>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</si>
  <si>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</si>
  <si>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</si>
  <si>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</si>
  <si>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</si>
  <si>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</si>
  <si>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</si>
  <si>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</si>
  <si>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</si>
  <si>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</si>
  <si>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</si>
  <si>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</si>
  <si>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</si>
  <si>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</si>
  <si>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</si>
  <si>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</si>
  <si>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</si>
  <si>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</si>
  <si>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</si>
  <si>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</si>
  <si>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</si>
  <si>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</si>
  <si>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</si>
  <si>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</si>
  <si>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</si>
  <si>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</si>
  <si>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</si>
  <si>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</si>
  <si>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</si>
  <si>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</si>
  <si>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</si>
  <si>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</si>
  <si>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</si>
  <si>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</si>
  <si>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</si>
  <si>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</si>
  <si>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</si>
  <si>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</si>
  <si>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</si>
  <si>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</si>
  <si>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</si>
  <si>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</si>
  <si>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</si>
  <si>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</si>
  <si>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</si>
  <si>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</si>
  <si>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</si>
  <si>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</si>
  <si>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</si>
  <si>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</si>
  <si>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</si>
  <si>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</si>
  <si>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</si>
  <si>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</si>
  <si>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</si>
  <si>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</si>
  <si>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</si>
  <si>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</si>
  <si>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</si>
  <si>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</si>
  <si>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</si>
  <si>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</si>
  <si>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</si>
  <si>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</si>
  <si>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</si>
  <si>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</si>
  <si>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</si>
  <si>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</si>
  <si>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</si>
  <si>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</si>
  <si>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</si>
  <si>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</si>
  <si>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</si>
  <si>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</si>
  <si>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</si>
  <si>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</si>
  <si>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</si>
  <si>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</si>
  <si>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</si>
  <si>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</si>
  <si>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</si>
  <si>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</si>
  <si>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</si>
  <si>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</si>
  <si>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</si>
  <si>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</si>
  <si>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</si>
  <si>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</si>
  <si>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</si>
  <si>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</si>
  <si>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</si>
  <si>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</si>
  <si>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</si>
  <si>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</si>
  <si>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</si>
  <si>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</si>
  <si>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</si>
  <si>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</si>
  <si>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</si>
  <si>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</si>
  <si>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</si>
  <si>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</si>
  <si>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</si>
  <si>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</si>
  <si>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</si>
  <si>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</si>
  <si>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</si>
  <si>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</si>
  <si>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</si>
  <si>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</si>
  <si>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</si>
  <si>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</si>
  <si>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</si>
  <si>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</si>
  <si>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</si>
  <si>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</si>
  <si>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</si>
  <si>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</si>
  <si>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</si>
  <si>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</si>
  <si>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</si>
  <si>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</si>
  <si>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</si>
  <si>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</si>
  <si>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</si>
  <si>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</si>
  <si>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</si>
  <si>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</si>
  <si>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</si>
  <si>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</si>
  <si>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</si>
  <si>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</si>
  <si>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</si>
  <si>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</si>
  <si>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</si>
  <si>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</si>
  <si>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</si>
  <si>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</si>
  <si>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</si>
  <si>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</si>
  <si>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</si>
  <si>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</si>
  <si>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</si>
  <si>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</si>
  <si>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</si>
  <si>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</si>
  <si>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</si>
  <si>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</si>
  <si>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</si>
  <si>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</si>
  <si>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</si>
  <si>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</si>
  <si>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</si>
  <si>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</si>
  <si>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</si>
  <si>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</si>
  <si>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</si>
  <si>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</si>
  <si>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</si>
  <si>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</si>
  <si>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</si>
  <si>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</si>
  <si>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</si>
  <si>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</si>
  <si>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</si>
  <si>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</si>
  <si>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</si>
  <si>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</si>
  <si>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</si>
  <si>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</si>
  <si>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</si>
  <si>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</si>
  <si>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</si>
  <si>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</si>
  <si>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</si>
  <si>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</si>
  <si>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</si>
  <si>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</si>
  <si>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</si>
  <si>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</si>
  <si>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</si>
  <si>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</si>
  <si>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</si>
  <si>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</si>
  <si>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</si>
  <si>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</si>
  <si>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</si>
  <si>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</si>
  <si>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</si>
  <si>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</si>
  <si>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</si>
  <si>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</si>
  <si>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</si>
  <si>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</si>
  <si>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</si>
  <si>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</si>
  <si>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</si>
  <si>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</si>
  <si>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</si>
  <si>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</si>
  <si>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</si>
  <si>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</si>
  <si>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</si>
  <si>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</si>
  <si>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</si>
  <si>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</si>
  <si>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</si>
  <si>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</si>
  <si>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</si>
  <si>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</si>
  <si>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</si>
  <si>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</si>
  <si>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</si>
  <si>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</si>
  <si>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</si>
  <si>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</si>
  <si>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</si>
  <si>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</si>
  <si>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</si>
  <si>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</si>
  <si>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</si>
  <si>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</si>
  <si>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</si>
  <si>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</si>
  <si>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</si>
  <si>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</si>
  <si>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</si>
  <si>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</si>
  <si>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</si>
  <si>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</si>
  <si>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</si>
  <si>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</si>
  <si>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</si>
  <si>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</si>
  <si>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</si>
  <si>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</si>
  <si>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</si>
  <si>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</si>
  <si>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</si>
  <si>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</si>
  <si>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</si>
  <si>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</si>
  <si>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</si>
  <si>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</si>
  <si>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</si>
  <si>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</si>
  <si>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</si>
  <si>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</si>
  <si>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</si>
  <si>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</si>
  <si>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</si>
  <si>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</si>
  <si>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</si>
  <si>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</si>
  <si>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</si>
  <si>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</si>
  <si>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</si>
  <si>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</si>
  <si>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</si>
  <si>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</si>
  <si>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</si>
  <si>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</si>
  <si>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</si>
  <si>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</si>
  <si>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</si>
  <si>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</si>
  <si>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</si>
  <si>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</si>
  <si>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</si>
  <si>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</si>
  <si>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</si>
  <si>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</si>
  <si>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</si>
  <si>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</si>
  <si>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</si>
  <si>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</si>
  <si>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</si>
  <si>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</si>
  <si>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</si>
  <si>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</si>
  <si>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</si>
  <si>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</si>
  <si>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</si>
  <si>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</si>
  <si>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</si>
  <si>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</si>
  <si>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</si>
  <si>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</si>
  <si>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</si>
  <si>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</si>
  <si>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</si>
  <si>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</si>
  <si>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</si>
  <si>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</si>
  <si>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</si>
  <si>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</si>
  <si>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</si>
  <si>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</si>
  <si>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</si>
  <si>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</si>
  <si>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</si>
  <si>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</si>
  <si>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</si>
  <si>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</si>
  <si>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</si>
  <si>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</si>
  <si>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</si>
  <si>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</si>
  <si>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</si>
  <si>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</si>
  <si>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</si>
  <si>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</si>
  <si>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</si>
  <si>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</si>
  <si>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</si>
  <si>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</si>
  <si>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</si>
  <si>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</si>
  <si>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</si>
  <si>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</si>
  <si>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</si>
  <si>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</si>
  <si>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</si>
  <si>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</si>
  <si>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</si>
  <si>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</si>
  <si>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</si>
  <si>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</si>
  <si>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</si>
  <si>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</si>
  <si>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</si>
  <si>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</si>
  <si>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</si>
  <si>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</si>
  <si>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</si>
  <si>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</si>
  <si>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</si>
  <si>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</si>
  <si>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</si>
  <si>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</si>
  <si>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</si>
  <si>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</si>
  <si>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</si>
  <si>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</si>
  <si>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</si>
  <si>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</si>
  <si>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</si>
  <si>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</si>
  <si>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</si>
  <si>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</si>
  <si>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</si>
  <si>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</si>
  <si>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</si>
  <si>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</si>
  <si>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</si>
  <si>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</si>
  <si>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</si>
  <si>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</si>
  <si>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</si>
  <si>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</si>
  <si>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</si>
  <si>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</si>
  <si>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</si>
  <si>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</si>
  <si>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</si>
  <si>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</si>
  <si>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</si>
  <si>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</si>
  <si>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</si>
  <si>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</si>
  <si>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</si>
  <si>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</si>
  <si>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</si>
  <si>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</si>
  <si>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</si>
  <si>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</si>
  <si>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</si>
  <si>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</si>
  <si>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</si>
  <si>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</si>
  <si>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</si>
  <si>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</si>
  <si>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</si>
  <si>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</si>
  <si>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</si>
  <si>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</si>
  <si>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</si>
  <si>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</si>
  <si>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</si>
  <si>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</si>
  <si>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</si>
  <si>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</si>
  <si>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</si>
  <si>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</si>
  <si>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</si>
  <si>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</si>
  <si>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</si>
  <si>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</si>
  <si>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</si>
  <si>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</si>
  <si>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</si>
  <si>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</si>
  <si>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</si>
  <si>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</si>
  <si>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</si>
  <si>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</si>
  <si>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</si>
  <si>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</si>
  <si>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</si>
  <si>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</si>
  <si>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</si>
  <si>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</si>
  <si>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</si>
  <si>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</si>
  <si>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</si>
  <si>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</si>
  <si>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</si>
  <si>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</si>
  <si>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</si>
  <si>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</si>
  <si>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</si>
  <si>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</si>
  <si>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</si>
  <si>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</si>
  <si>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</si>
  <si>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</si>
  <si>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</si>
  <si>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</si>
  <si>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</si>
  <si>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</si>
  <si>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</si>
  <si>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</si>
  <si>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</si>
  <si>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</si>
  <si>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</si>
  <si>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</si>
  <si>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</si>
  <si>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</si>
  <si>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</si>
  <si>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</si>
  <si>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</si>
  <si>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</si>
  <si>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</si>
  <si>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</si>
  <si>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</si>
  <si>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</si>
  <si>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</si>
  <si>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</si>
  <si>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</si>
  <si>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</si>
  <si>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</si>
  <si>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</si>
  <si>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</si>
  <si>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</si>
  <si>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</si>
  <si>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</si>
  <si>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</si>
  <si>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</si>
  <si>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</si>
  <si>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</si>
  <si>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</si>
  <si>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</si>
  <si>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</si>
  <si>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</si>
  <si>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</si>
  <si>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</si>
  <si>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</si>
  <si>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</si>
  <si>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</si>
  <si>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</si>
  <si>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</si>
  <si>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</si>
  <si>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</si>
  <si>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</si>
  <si>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</si>
  <si>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</si>
  <si>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</si>
  <si>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</si>
  <si>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</si>
  <si>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</si>
  <si>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</si>
  <si>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</si>
  <si>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</si>
  <si>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</si>
  <si>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</si>
  <si>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</si>
  <si>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</si>
  <si>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</si>
  <si>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</si>
  <si>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</si>
  <si>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</si>
  <si>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</si>
  <si>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</si>
  <si>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</si>
  <si>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</si>
  <si>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</si>
  <si>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</si>
  <si>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</si>
  <si>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</si>
  <si>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</si>
  <si>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</si>
  <si>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</si>
  <si>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</si>
  <si>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</si>
  <si>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</si>
  <si>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</si>
  <si>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</si>
  <si>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</si>
  <si>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</si>
  <si>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</si>
  <si>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</si>
  <si>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</si>
  <si>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</si>
  <si>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</si>
  <si>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</si>
  <si>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</si>
  <si>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</si>
  <si>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</si>
  <si>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</si>
  <si>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</si>
  <si>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</si>
  <si>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</si>
  <si>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</si>
  <si>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</si>
  <si>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</si>
  <si>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</si>
  <si>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</si>
  <si>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</si>
  <si>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</si>
  <si>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</si>
  <si>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</si>
  <si>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</si>
  <si>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</si>
  <si>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</si>
  <si>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</si>
  <si>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</si>
  <si>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</si>
  <si>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</si>
  <si>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</si>
  <si>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</si>
  <si>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</si>
  <si>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</si>
  <si>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</si>
  <si>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</si>
  <si>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</si>
  <si>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</si>
  <si>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</si>
  <si>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</si>
  <si>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</si>
  <si>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</si>
  <si>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</si>
  <si>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</si>
  <si>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</si>
  <si>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</si>
  <si>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</si>
  <si>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</si>
  <si>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</si>
  <si>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</si>
  <si>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</si>
  <si>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</si>
  <si>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</si>
  <si>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</si>
  <si>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</si>
  <si>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</si>
  <si>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</si>
  <si>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</si>
  <si>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</si>
  <si>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</si>
  <si>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</si>
  <si>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</si>
  <si>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</si>
  <si>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</si>
  <si>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</si>
  <si>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</si>
  <si>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</si>
  <si>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</si>
  <si>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</si>
  <si>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</si>
  <si>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</si>
  <si>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</si>
  <si>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</si>
  <si>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</si>
  <si>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</si>
  <si>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</si>
  <si>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</si>
  <si>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</si>
  <si>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</si>
  <si>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</si>
  <si>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</si>
  <si>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</si>
  <si>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</si>
  <si>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</si>
  <si>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</si>
  <si>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</si>
  <si>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</si>
  <si>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</si>
  <si>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</si>
  <si>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</si>
  <si>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</si>
  <si>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</si>
  <si>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</si>
  <si>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</si>
  <si>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</si>
  <si>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</si>
  <si>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</si>
  <si>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</si>
  <si>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</si>
  <si>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</si>
  <si>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</si>
  <si>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</si>
  <si>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</si>
  <si>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</si>
  <si>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</si>
  <si>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</si>
  <si>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</si>
  <si>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</si>
  <si>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</si>
  <si>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</si>
  <si>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</si>
  <si>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</si>
  <si>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</si>
  <si>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</si>
  <si>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</si>
  <si>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</si>
  <si>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</si>
  <si>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</si>
  <si>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</si>
  <si>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</si>
  <si>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</si>
  <si>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</si>
  <si>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</si>
  <si>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</si>
  <si>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</si>
  <si>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</si>
  <si>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</si>
  <si>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</si>
  <si>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</si>
  <si>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</si>
  <si>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</si>
  <si>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</si>
  <si>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</si>
  <si>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</si>
  <si>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</si>
  <si>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</si>
  <si>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</si>
  <si>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</si>
  <si>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</si>
  <si>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</si>
  <si>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</si>
  <si>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</si>
  <si>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</si>
  <si>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</si>
  <si>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</si>
  <si>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</si>
  <si>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</si>
  <si>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</si>
  <si>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</si>
  <si>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</si>
  <si>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</si>
  <si>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</si>
  <si>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</si>
  <si>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</si>
  <si>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</si>
  <si>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</si>
  <si>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</si>
  <si>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</si>
  <si>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</si>
  <si>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</si>
  <si>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</si>
  <si>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</si>
  <si>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</si>
  <si>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</si>
  <si>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</si>
  <si>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</si>
  <si>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</si>
  <si>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</si>
  <si>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</si>
  <si>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</si>
  <si>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</si>
  <si>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</si>
  <si>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</si>
  <si>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</si>
  <si>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</si>
  <si>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</si>
  <si>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</si>
  <si>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</si>
  <si>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</si>
  <si>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</si>
  <si>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</si>
  <si>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</si>
  <si>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</si>
  <si>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</si>
  <si>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</si>
  <si>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</si>
  <si>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</si>
  <si>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</si>
  <si>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</si>
  <si>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</si>
  <si>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</si>
  <si>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</si>
  <si>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</si>
  <si>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</si>
  <si>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</si>
  <si>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</si>
  <si>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</si>
  <si>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</si>
  <si>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</si>
  <si>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</si>
  <si>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</si>
  <si>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</si>
  <si>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</si>
  <si>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</si>
  <si>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</si>
  <si>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</si>
  <si>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</si>
  <si>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</si>
  <si>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</si>
  <si>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</si>
  <si>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</si>
  <si>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</si>
  <si>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</si>
  <si>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</si>
  <si>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</si>
  <si>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</si>
  <si>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</si>
  <si>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</si>
  <si>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</si>
  <si>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</si>
  <si>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</si>
  <si>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</si>
  <si>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</si>
  <si>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</si>
  <si>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</si>
  <si>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</si>
  <si>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</si>
  <si>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</si>
  <si>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</si>
  <si>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</si>
  <si>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</si>
  <si>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</si>
  <si>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</si>
  <si>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</si>
  <si>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</si>
  <si>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</si>
  <si>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</si>
  <si>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</si>
  <si>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</si>
  <si>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</si>
  <si>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</si>
  <si>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</si>
  <si>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</si>
  <si>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</si>
  <si>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</si>
  <si>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</si>
  <si>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</si>
  <si>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</si>
  <si>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</si>
  <si>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</si>
  <si>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</si>
  <si>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</si>
  <si>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</si>
  <si>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</si>
  <si>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</si>
  <si>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</si>
  <si>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</si>
  <si>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</si>
  <si>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</si>
  <si>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</si>
  <si>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</si>
  <si>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</si>
  <si>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</si>
  <si>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</si>
  <si>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</si>
  <si>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</si>
  <si>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</si>
  <si>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</si>
  <si>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</si>
  <si>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</si>
  <si>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</si>
  <si>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</si>
  <si>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</si>
  <si>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</si>
  <si>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</si>
  <si>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</si>
  <si>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</si>
  <si>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</si>
  <si>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</si>
  <si>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</si>
  <si>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</si>
  <si>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</si>
  <si>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</si>
  <si>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</si>
  <si>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</si>
  <si>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</si>
  <si>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</si>
  <si>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</si>
  <si>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</si>
  <si>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</si>
  <si>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</si>
  <si>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</si>
  <si>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</si>
  <si>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</si>
  <si>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</si>
  <si>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</si>
  <si>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</si>
  <si>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</si>
  <si>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</si>
  <si>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</si>
  <si>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</si>
  <si>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</si>
  <si>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</si>
  <si>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</si>
  <si>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</si>
  <si>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</si>
  <si>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</si>
  <si>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</si>
  <si>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</si>
  <si>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</si>
  <si>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</si>
  <si>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</si>
  <si>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</si>
  <si>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</si>
  <si>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</si>
  <si>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</si>
  <si>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</si>
  <si>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</si>
  <si>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</si>
  <si>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</si>
  <si>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</si>
  <si>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</si>
  <si>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</si>
  <si>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</si>
  <si>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</si>
  <si>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</si>
  <si>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</si>
  <si>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</si>
  <si>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</si>
  <si>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</si>
  <si>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</si>
  <si>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</si>
  <si>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</si>
  <si>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</si>
  <si>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</si>
  <si>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</si>
  <si>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</si>
  <si>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</si>
  <si>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</si>
  <si>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</si>
  <si>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</si>
  <si>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</si>
  <si>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</si>
  <si>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</si>
  <si>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</si>
  <si>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</si>
  <si>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</si>
  <si>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</si>
  <si>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</si>
  <si>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</si>
  <si>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</si>
  <si>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</si>
  <si>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</si>
  <si>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</si>
  <si>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</si>
  <si>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</si>
  <si>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</si>
  <si>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</si>
  <si>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</si>
  <si>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</si>
  <si>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</si>
  <si>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</si>
  <si>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</si>
  <si>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</si>
  <si>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</si>
  <si>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</si>
  <si>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</si>
  <si>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</si>
  <si>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</si>
  <si>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</si>
  <si>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</si>
  <si>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</si>
  <si>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</si>
  <si>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</si>
  <si>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</si>
  <si>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</si>
  <si>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</si>
  <si>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</si>
  <si>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</si>
  <si>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</si>
  <si>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</si>
  <si>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</si>
  <si>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</si>
  <si>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</si>
  <si>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</si>
  <si>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</si>
  <si>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</si>
  <si>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</si>
  <si>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</si>
  <si>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</si>
  <si>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</si>
  <si>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</si>
  <si>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</si>
  <si>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</si>
  <si>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</si>
  <si>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</si>
  <si>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</si>
  <si>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</si>
  <si>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</si>
  <si>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</si>
  <si>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</si>
  <si>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</si>
  <si>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</si>
  <si>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</si>
  <si>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</si>
  <si>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</si>
  <si>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</si>
  <si>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</si>
  <si>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</si>
  <si>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</si>
  <si>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</si>
  <si>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</si>
  <si>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</si>
  <si>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</si>
  <si>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</si>
  <si>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</si>
  <si>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</si>
  <si>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</si>
  <si>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</si>
  <si>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</si>
  <si>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</si>
  <si>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</si>
  <si>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</si>
  <si>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</si>
  <si>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</si>
  <si>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</si>
  <si>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</si>
  <si>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</si>
  <si>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</si>
  <si>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</si>
  <si>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</si>
  <si>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</si>
  <si>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</si>
  <si>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</si>
  <si>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</si>
  <si>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</si>
  <si>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</si>
  <si>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</si>
  <si>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</si>
  <si>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</si>
  <si>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</si>
  <si>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</si>
  <si>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</si>
  <si>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</si>
  <si>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</si>
  <si>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</si>
  <si>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</si>
  <si>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</si>
  <si>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</si>
  <si>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</si>
  <si>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</si>
  <si>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</si>
  <si>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</si>
  <si>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</si>
  <si>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</si>
  <si>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</si>
  <si>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</si>
  <si>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</si>
  <si>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</si>
  <si>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</si>
  <si>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</si>
  <si>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</si>
  <si>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</si>
  <si>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</si>
  <si>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</si>
  <si>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</si>
  <si>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</si>
  <si>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</si>
  <si>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</si>
  <si>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</si>
  <si>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</si>
  <si>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</si>
  <si>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</si>
  <si>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</si>
  <si>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</si>
  <si>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</si>
  <si>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</si>
  <si>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</si>
  <si>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</si>
  <si>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</si>
  <si>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</si>
  <si>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</si>
  <si>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</si>
  <si>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</si>
  <si>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</si>
  <si>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</si>
  <si>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</si>
  <si>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</si>
  <si>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</si>
  <si>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</si>
  <si>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</si>
  <si>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</si>
  <si>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</si>
  <si>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</si>
  <si>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</si>
  <si>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</si>
  <si>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</si>
  <si>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</si>
  <si>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</si>
  <si>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</si>
  <si>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</si>
  <si>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</si>
  <si>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</si>
  <si>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</si>
  <si>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</si>
  <si>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</si>
  <si>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</si>
  <si>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</si>
  <si>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</si>
  <si>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</si>
  <si>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</si>
  <si>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</si>
  <si>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</si>
  <si>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</si>
  <si>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</si>
  <si>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</si>
  <si>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</si>
  <si>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</si>
  <si>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</si>
  <si>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</si>
  <si>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</si>
  <si>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</si>
  <si>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</si>
  <si>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</si>
  <si>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</si>
  <si>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</si>
  <si>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</si>
  <si>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</si>
  <si>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</si>
  <si>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</si>
  <si>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</si>
  <si>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</si>
  <si>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</si>
  <si>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</si>
  <si>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</si>
  <si>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</si>
  <si>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</si>
  <si>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</si>
  <si>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</si>
  <si>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</si>
  <si>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</si>
  <si>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</si>
  <si>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</si>
  <si>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</si>
  <si>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</si>
  <si>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</si>
  <si>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</si>
  <si>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</si>
  <si>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</si>
  <si>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</si>
  <si>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</si>
  <si>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</si>
  <si>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</si>
  <si>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</si>
  <si>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</si>
  <si>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</si>
  <si>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</si>
  <si>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</si>
  <si>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</si>
  <si>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</si>
  <si>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</si>
  <si>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</si>
  <si>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</si>
  <si>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</si>
  <si>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</si>
  <si>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</si>
  <si>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</si>
  <si>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</si>
  <si>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</si>
  <si>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</si>
  <si>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</si>
  <si>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</si>
  <si>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</si>
  <si>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</si>
  <si>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</si>
  <si>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</si>
  <si>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</si>
  <si>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</si>
  <si>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</si>
  <si>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</si>
  <si>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</si>
  <si>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</si>
  <si>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</si>
  <si>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</si>
  <si>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</si>
  <si>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</si>
  <si>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</si>
  <si>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</si>
  <si>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</si>
  <si>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</si>
  <si>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</si>
  <si>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</si>
  <si>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</si>
  <si>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</si>
  <si>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</si>
  <si>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</si>
  <si>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</si>
  <si>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</si>
  <si>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</si>
  <si>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</si>
  <si>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</si>
  <si>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</si>
  <si>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</si>
  <si>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</si>
  <si>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</si>
  <si>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</si>
  <si>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</si>
  <si>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</si>
  <si>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</si>
  <si>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</si>
  <si>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</si>
  <si>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</si>
  <si>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</si>
  <si>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</si>
  <si>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</si>
  <si>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</si>
  <si>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</si>
  <si>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</si>
  <si>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</si>
  <si>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</si>
  <si>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</si>
  <si>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</si>
  <si>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</si>
  <si>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</si>
  <si>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</si>
  <si>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</si>
  <si>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</si>
  <si>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</si>
  <si>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</si>
  <si>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</si>
  <si>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</si>
  <si>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</si>
  <si>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</si>
  <si>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</si>
  <si>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</si>
  <si>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</si>
  <si>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</si>
  <si>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</si>
  <si>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</si>
  <si>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</si>
  <si>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</si>
  <si>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</si>
  <si>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</si>
  <si>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</si>
  <si>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</si>
  <si>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</si>
  <si>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</si>
  <si>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</si>
  <si>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</si>
  <si>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</si>
  <si>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</si>
  <si>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</si>
  <si>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</si>
  <si>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</si>
  <si>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</si>
  <si>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</si>
  <si>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</si>
  <si>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</si>
  <si>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</si>
  <si>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</si>
  <si>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</si>
  <si>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</si>
  <si>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</si>
  <si>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</si>
  <si>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</si>
  <si>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</si>
  <si>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</si>
  <si>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</si>
  <si>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</si>
  <si>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</si>
  <si>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</si>
  <si>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</si>
  <si>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</si>
  <si>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</si>
  <si>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</si>
  <si>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</si>
  <si>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</si>
  <si>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</si>
  <si>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</si>
  <si>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</si>
  <si>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</si>
  <si>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</si>
  <si>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</si>
  <si>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</si>
  <si>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</si>
  <si>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</si>
  <si>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</si>
  <si>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</si>
  <si>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</si>
  <si>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</si>
  <si>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</si>
  <si>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</si>
  <si>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</si>
  <si>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</si>
  <si>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</si>
  <si>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</si>
  <si>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</si>
  <si>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</si>
  <si>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</si>
  <si>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</si>
  <si>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</si>
  <si>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</si>
  <si>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</si>
  <si>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</si>
  <si>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</si>
  <si>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</si>
  <si>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</si>
  <si>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</si>
  <si>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</si>
  <si>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</si>
  <si>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</si>
  <si>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</si>
  <si>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</si>
  <si>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</si>
  <si>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</si>
  <si>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</si>
  <si>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</si>
  <si>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</si>
  <si>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</si>
  <si>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</si>
  <si>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</si>
  <si>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</si>
  <si>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</si>
  <si>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</si>
  <si>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</si>
  <si>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</si>
  <si>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</si>
  <si>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</si>
  <si>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</si>
  <si>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</si>
  <si>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</si>
  <si>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</si>
  <si>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</si>
  <si>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</si>
  <si>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</si>
  <si>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</si>
  <si>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</si>
  <si>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</si>
  <si>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</si>
  <si>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</si>
  <si>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</si>
  <si>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</si>
  <si>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</si>
  <si>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</si>
  <si>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</si>
  <si>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</si>
  <si>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</si>
  <si>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</si>
  <si>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</si>
  <si>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</si>
  <si>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</si>
  <si>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</si>
  <si>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</si>
  <si>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</si>
  <si>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</si>
  <si>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</si>
  <si>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</si>
  <si>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</si>
  <si>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</si>
  <si>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</si>
  <si>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</si>
  <si>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</si>
  <si>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</si>
  <si>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</si>
  <si>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</si>
  <si>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</si>
  <si>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</si>
  <si>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</si>
  <si>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</si>
  <si>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</si>
  <si>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</si>
  <si>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</si>
  <si>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</si>
  <si>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</si>
  <si>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</si>
  <si>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</si>
  <si>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</si>
  <si>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</si>
  <si>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</si>
  <si>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</si>
  <si>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</si>
  <si>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</si>
  <si>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</si>
  <si>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</si>
  <si>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</si>
  <si>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</si>
  <si>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</si>
  <si>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</si>
  <si>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</si>
  <si>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</si>
  <si>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</si>
  <si>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</si>
  <si>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</si>
  <si>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</si>
  <si>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</si>
  <si>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</si>
  <si>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</si>
  <si>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</si>
  <si>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</si>
  <si>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</si>
  <si>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</si>
  <si>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</si>
  <si>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</si>
  <si>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</si>
  <si>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</si>
  <si>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</si>
  <si>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</si>
  <si>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</si>
  <si>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</si>
  <si>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</si>
  <si>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</si>
  <si>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</si>
  <si>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</si>
  <si>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</si>
  <si>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</si>
  <si>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</si>
  <si>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</si>
  <si>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</si>
  <si>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</si>
  <si>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</si>
  <si>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</si>
  <si>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</si>
  <si>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</si>
  <si>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</si>
  <si>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</si>
  <si>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</si>
  <si>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</si>
  <si>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</si>
  <si>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</si>
  <si>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</si>
  <si>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</si>
  <si>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</si>
  <si>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</si>
  <si>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</si>
  <si>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</si>
  <si>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</si>
  <si>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</si>
  <si>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</si>
  <si>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</si>
  <si>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</si>
  <si>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</si>
  <si>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</si>
  <si>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</si>
  <si>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</si>
  <si>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</si>
  <si>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</si>
  <si>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</si>
  <si>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</si>
  <si>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</si>
  <si>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</si>
  <si>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</si>
  <si>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</si>
  <si>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</si>
  <si>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</si>
  <si>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</si>
  <si>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</si>
  <si>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</si>
  <si>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</si>
  <si>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</si>
  <si>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</si>
  <si>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</si>
  <si>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</si>
  <si>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</si>
  <si>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</si>
  <si>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</si>
  <si>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</si>
  <si>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</si>
  <si>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</si>
  <si>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</si>
  <si>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</si>
  <si>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</si>
  <si>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</si>
  <si>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</si>
  <si>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</si>
  <si>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</si>
  <si>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</si>
  <si>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</si>
  <si>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</si>
  <si>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</si>
  <si>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</si>
  <si>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</si>
  <si>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</si>
  <si>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</si>
  <si>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</si>
  <si>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</si>
  <si>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</si>
  <si>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</si>
  <si>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</si>
  <si>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</si>
  <si>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</si>
  <si>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</si>
  <si>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</si>
  <si>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</si>
  <si>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</si>
  <si>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</si>
  <si>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</si>
  <si>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</si>
  <si>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</si>
  <si>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</si>
  <si>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</si>
  <si>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</si>
  <si>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</si>
  <si>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</si>
  <si>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</si>
  <si>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</si>
  <si>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</si>
  <si>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</si>
  <si>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</si>
  <si>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</si>
  <si>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</si>
  <si>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</si>
  <si>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</si>
  <si>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</si>
  <si>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</si>
  <si>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</si>
  <si>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</si>
  <si>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</si>
  <si>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</si>
  <si>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</si>
  <si>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</si>
  <si>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</si>
  <si>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</si>
  <si>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</si>
  <si>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</si>
  <si>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</si>
  <si>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</si>
  <si>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</si>
  <si>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</si>
  <si>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</si>
  <si>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</si>
  <si>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</si>
  <si>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</si>
  <si>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</si>
  <si>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</si>
  <si>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</si>
  <si>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</si>
  <si>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</si>
  <si>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</si>
  <si>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</si>
  <si>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</si>
  <si>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</si>
  <si>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</si>
  <si>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</si>
  <si>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</si>
  <si>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</si>
  <si>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</si>
  <si>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</si>
  <si>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</si>
  <si>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</si>
  <si>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</si>
  <si>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</si>
  <si>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</si>
  <si>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</si>
  <si>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</si>
  <si>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</si>
  <si>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</si>
  <si>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</si>
  <si>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</si>
  <si>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</si>
  <si>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</si>
  <si>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</si>
  <si>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</si>
  <si>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</si>
  <si>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</si>
  <si>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</si>
  <si>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</si>
  <si>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</si>
  <si>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</si>
  <si>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</si>
  <si>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</si>
  <si>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</si>
  <si>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</si>
  <si>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</si>
  <si>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</si>
  <si>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</si>
  <si>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</si>
  <si>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</si>
  <si>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</si>
  <si>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</si>
  <si>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</si>
  <si>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</si>
  <si>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</si>
  <si>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</si>
  <si>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</si>
  <si>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</si>
  <si>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</si>
  <si>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</si>
  <si>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</si>
  <si>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</si>
  <si>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</si>
  <si>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</si>
  <si>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</si>
  <si>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</si>
  <si>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</si>
  <si>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</si>
  <si>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</si>
  <si>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</si>
  <si>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</si>
  <si>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</si>
  <si>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</si>
  <si>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</si>
  <si>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</si>
  <si>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</si>
  <si>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</si>
  <si>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</si>
  <si>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</si>
  <si>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</si>
  <si>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</si>
  <si>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</si>
  <si>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</si>
  <si>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</si>
  <si>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</si>
  <si>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</si>
  <si>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</si>
  <si>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</si>
  <si>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</si>
  <si>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</si>
  <si>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</si>
  <si>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</si>
  <si>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</si>
  <si>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</si>
  <si>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</si>
  <si>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</si>
  <si>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</si>
  <si>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</si>
  <si>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</si>
  <si>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</si>
  <si>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</si>
  <si>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</si>
  <si>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</si>
  <si>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</si>
  <si>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</si>
  <si>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</si>
  <si>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</si>
  <si>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</si>
  <si>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</si>
  <si>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</si>
  <si>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</si>
  <si>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</si>
  <si>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</si>
  <si>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</si>
  <si>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</si>
  <si>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</si>
  <si>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</si>
  <si>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</si>
  <si>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</si>
  <si>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</si>
  <si>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</si>
  <si>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</si>
  <si>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</si>
  <si>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</si>
  <si>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</si>
  <si>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</si>
  <si>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</si>
  <si>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</si>
  <si>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</si>
  <si>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</si>
  <si>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</si>
  <si>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</si>
  <si>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</si>
  <si>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</si>
  <si>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</si>
  <si>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</si>
  <si>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</si>
  <si>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</si>
  <si>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</si>
  <si>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</si>
  <si>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</si>
  <si>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</si>
  <si>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</si>
  <si>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</si>
  <si>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</si>
  <si>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</si>
  <si>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</si>
  <si>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</si>
  <si>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</si>
  <si>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</si>
  <si>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</si>
  <si>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</si>
  <si>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</si>
  <si>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</si>
  <si>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</si>
  <si>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</si>
  <si>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</si>
  <si>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</si>
  <si>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</si>
  <si>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</si>
  <si>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</si>
  <si>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</si>
  <si>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</si>
  <si>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</si>
  <si>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</si>
  <si>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</si>
  <si>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</si>
  <si>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</si>
  <si>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</si>
  <si>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</si>
  <si>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</si>
  <si>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</si>
  <si>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</si>
  <si>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</si>
  <si>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</si>
  <si>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</si>
  <si>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</si>
  <si>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</si>
  <si>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</si>
  <si>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</si>
  <si>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</si>
  <si>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</si>
  <si>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</si>
  <si>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</si>
  <si>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</si>
  <si>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</si>
  <si>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</si>
  <si>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</si>
  <si>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</si>
  <si>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</si>
  <si>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</si>
  <si>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</si>
  <si>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</si>
  <si>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</si>
  <si>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</si>
  <si>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</si>
  <si>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</si>
  <si>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</si>
  <si>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</si>
  <si>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</si>
  <si>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</si>
  <si>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</si>
  <si>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</si>
  <si>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</si>
  <si>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</si>
  <si>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</si>
  <si>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</si>
  <si>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</si>
  <si>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</si>
  <si>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</si>
  <si>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</si>
  <si>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</si>
  <si>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</si>
  <si>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</si>
  <si>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</si>
  <si>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</si>
  <si>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</si>
  <si>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</si>
  <si>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</si>
  <si>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</si>
  <si>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</si>
  <si>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</si>
  <si>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</si>
  <si>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</si>
  <si>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</si>
  <si>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</si>
  <si>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</si>
  <si>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</si>
  <si>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</si>
  <si>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</si>
  <si>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</si>
  <si>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</si>
  <si>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</si>
  <si>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</si>
  <si>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</si>
  <si>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</si>
  <si>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</si>
  <si>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</si>
  <si>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</si>
  <si>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</si>
  <si>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</si>
  <si>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</si>
  <si>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</si>
  <si>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</si>
  <si>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</si>
  <si>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</si>
  <si>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</si>
  <si>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</si>
  <si>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</si>
  <si>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</si>
  <si>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</si>
  <si>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</si>
  <si>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</si>
  <si>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</si>
  <si>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</si>
  <si>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</si>
  <si>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</si>
  <si>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</si>
  <si>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</si>
  <si>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</si>
  <si>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</si>
  <si>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</si>
  <si>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</si>
  <si>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</si>
  <si>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</si>
  <si>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</si>
  <si>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</si>
  <si>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</si>
  <si>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</si>
  <si>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</si>
  <si>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</si>
  <si>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</si>
  <si>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</si>
  <si>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</si>
  <si>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</si>
  <si>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</si>
  <si>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</si>
  <si>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</si>
  <si>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</si>
  <si>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</si>
  <si>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</si>
  <si>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</si>
  <si>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</si>
  <si>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</si>
  <si>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</si>
  <si>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</si>
  <si>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</si>
  <si>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</si>
  <si>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</si>
  <si>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</si>
  <si>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</si>
  <si>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</si>
  <si>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</si>
  <si>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</si>
  <si>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</si>
  <si>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</si>
  <si>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</si>
  <si>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</si>
  <si>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</si>
  <si>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</si>
  <si>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</si>
  <si>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</si>
  <si>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</si>
  <si>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</si>
  <si>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</si>
  <si>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</si>
  <si>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</si>
  <si>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</si>
  <si>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</si>
  <si>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</si>
  <si>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</si>
  <si>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</si>
  <si>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</si>
  <si>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</si>
  <si>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</si>
  <si>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</si>
  <si>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</si>
  <si>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</si>
  <si>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</si>
  <si>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</si>
  <si>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</si>
  <si>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</si>
  <si>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</si>
  <si>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</si>
  <si>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</si>
  <si>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</si>
  <si>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</si>
  <si>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</si>
  <si>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</si>
  <si>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</si>
  <si>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</si>
  <si>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</si>
  <si>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</si>
  <si>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</si>
  <si>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</si>
  <si>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</si>
  <si>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</si>
  <si>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</si>
  <si>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</si>
  <si>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</si>
  <si>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</si>
  <si>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</si>
  <si>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</si>
  <si>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</si>
  <si>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</si>
  <si>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</si>
  <si>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</si>
  <si>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</si>
  <si>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</si>
  <si>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</si>
  <si>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</si>
  <si>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</si>
  <si>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</si>
  <si>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</si>
  <si>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</si>
  <si>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</si>
  <si>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</si>
  <si>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</si>
  <si>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</si>
  <si>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</si>
  <si>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</si>
  <si>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</si>
  <si>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</si>
  <si>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</si>
  <si>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</si>
  <si>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</si>
  <si>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</si>
  <si>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</si>
  <si>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</si>
  <si>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</si>
  <si>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</si>
  <si>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</si>
  <si>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</si>
  <si>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</si>
  <si>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</si>
  <si>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</si>
  <si>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</si>
  <si>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</si>
  <si>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</si>
  <si>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</si>
  <si>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</si>
  <si>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</si>
  <si>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</si>
  <si>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</si>
  <si>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</si>
  <si>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</si>
  <si>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</si>
  <si>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</si>
  <si>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</si>
  <si>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</si>
  <si>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</si>
  <si>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</si>
  <si>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</si>
  <si>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</si>
  <si>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</si>
  <si>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</si>
  <si>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</si>
  <si>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</si>
  <si>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</si>
  <si>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</si>
  <si>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</si>
  <si>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</si>
  <si>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</si>
  <si>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</si>
  <si>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</si>
  <si>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</si>
  <si>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</si>
  <si>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</si>
  <si>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</si>
  <si>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</si>
  <si>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</si>
  <si>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</si>
  <si>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</si>
  <si>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</si>
  <si>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</si>
  <si>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</si>
  <si>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</si>
  <si>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</si>
  <si>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</si>
  <si>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</si>
  <si>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</si>
  <si>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</si>
  <si>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</si>
  <si>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</si>
  <si>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</si>
  <si>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</si>
  <si>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</si>
  <si>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</si>
  <si>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</si>
  <si>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</si>
  <si>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</si>
  <si>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</si>
  <si>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</si>
  <si>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</si>
  <si>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</si>
  <si>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</si>
  <si>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</si>
  <si>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</si>
  <si>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</si>
  <si>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</si>
  <si>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</si>
  <si>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</si>
  <si>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</si>
  <si>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</si>
  <si>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</si>
  <si>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</si>
  <si>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</si>
  <si>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</si>
  <si>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</si>
  <si>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</si>
  <si>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</si>
  <si>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</si>
  <si>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</si>
  <si>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</si>
  <si>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</si>
  <si>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</si>
  <si>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</si>
  <si>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</si>
  <si>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</si>
  <si>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</si>
  <si>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</si>
  <si>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</si>
  <si>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</si>
  <si>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</si>
  <si>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</si>
  <si>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</si>
  <si>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</si>
  <si>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</si>
  <si>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</si>
  <si>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</si>
  <si>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</si>
  <si>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</si>
  <si>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</si>
  <si>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</si>
  <si>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</si>
  <si>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</si>
  <si>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</si>
  <si>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</si>
  <si>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</si>
  <si>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</si>
  <si>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</si>
  <si>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</si>
  <si>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</si>
  <si>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</si>
  <si>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</si>
  <si>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</si>
  <si>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</si>
  <si>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</si>
  <si>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</si>
  <si>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</si>
  <si>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</si>
  <si>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</si>
  <si>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</si>
  <si>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</si>
  <si>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</si>
  <si>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</si>
  <si>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</si>
  <si>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</si>
  <si>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</si>
  <si>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</si>
  <si>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</si>
  <si>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</si>
  <si>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</si>
  <si>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</si>
  <si>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</si>
  <si>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</si>
  <si>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</si>
  <si>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</si>
  <si>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</si>
  <si>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</si>
  <si>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</si>
  <si>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</si>
  <si>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</si>
  <si>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</si>
  <si>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</si>
  <si>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</si>
  <si>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</si>
  <si>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</si>
  <si>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</si>
  <si>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</si>
  <si>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</si>
  <si>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</si>
  <si>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</si>
  <si>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</si>
  <si>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</si>
  <si>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</si>
  <si>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</si>
  <si>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</si>
  <si>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</si>
  <si>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</si>
  <si>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</si>
  <si>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</si>
  <si>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</si>
  <si>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</si>
  <si>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</si>
  <si>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</si>
  <si>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</si>
  <si>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</si>
  <si>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</si>
  <si>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</si>
  <si>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</si>
  <si>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</si>
  <si>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</si>
  <si>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</si>
  <si>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</si>
  <si>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</si>
  <si>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</si>
  <si>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</si>
  <si>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</si>
  <si>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</si>
  <si>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</si>
  <si>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</si>
  <si>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</si>
  <si>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</si>
  <si>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</si>
  <si>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</si>
  <si>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</si>
  <si>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</si>
  <si>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</si>
  <si>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</si>
  <si>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</si>
  <si>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</si>
  <si>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</si>
  <si>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</si>
  <si>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</si>
  <si>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</si>
  <si>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</si>
  <si>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</si>
  <si>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</si>
  <si>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</si>
  <si>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</si>
  <si>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</si>
  <si>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</si>
  <si>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</si>
  <si>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</si>
  <si>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</si>
  <si>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</si>
  <si>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</si>
  <si>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</si>
  <si>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</si>
  <si>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</si>
  <si>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</si>
  <si>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</si>
  <si>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</si>
  <si>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</si>
  <si>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</si>
  <si>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</si>
  <si>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</si>
  <si>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</si>
  <si>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</si>
  <si>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</si>
  <si>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</si>
  <si>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</si>
  <si>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</si>
  <si>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</si>
  <si>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</si>
  <si>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</si>
  <si>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</si>
  <si>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</si>
  <si>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</si>
  <si>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</si>
  <si>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</si>
  <si>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</si>
  <si>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</si>
  <si>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</si>
  <si>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</si>
  <si>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</si>
  <si>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</si>
  <si>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</si>
  <si>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</si>
  <si>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</si>
  <si>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</si>
  <si>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</si>
  <si>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</si>
  <si>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</si>
  <si>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</si>
  <si>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</si>
  <si>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</si>
  <si>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</si>
  <si>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</si>
  <si>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</si>
  <si>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</si>
  <si>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</si>
  <si>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</si>
  <si>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</si>
  <si>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</si>
  <si>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</si>
  <si>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</si>
  <si>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</si>
  <si>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</si>
  <si>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</si>
  <si>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</si>
  <si>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</si>
  <si>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</si>
  <si>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</si>
  <si>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</si>
  <si>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</si>
  <si>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</si>
  <si>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</si>
  <si>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</si>
  <si>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</si>
  <si>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</si>
  <si>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</si>
  <si>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</si>
  <si>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</si>
  <si>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</si>
  <si>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</si>
  <si>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</si>
  <si>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</si>
  <si>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</si>
  <si>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</si>
  <si>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</si>
  <si>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</si>
  <si>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</si>
  <si>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</si>
  <si>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</si>
  <si>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</si>
  <si>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</si>
  <si>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</si>
  <si>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</si>
  <si>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</si>
  <si>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</si>
  <si>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</si>
  <si>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</si>
  <si>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</si>
  <si>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</si>
  <si>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</si>
  <si>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</si>
  <si>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</si>
  <si>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</si>
  <si>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</si>
  <si>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</si>
  <si>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</si>
  <si>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</si>
  <si>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</si>
  <si>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</si>
  <si>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</si>
  <si>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</si>
  <si>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</si>
  <si>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</si>
  <si>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</si>
  <si>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</si>
  <si>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</si>
  <si>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</si>
  <si>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</si>
  <si>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</si>
  <si>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</si>
  <si>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</si>
  <si>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</si>
  <si>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</si>
  <si>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</si>
  <si>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</si>
  <si>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</si>
  <si>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Shiloh Arms</t>
  </si>
  <si>
    <t xml:space="preserve">Sacramento Housing and Redevelopment Agency </t>
  </si>
  <si>
    <t xml:space="preserve">Ms. Christine Weichert </t>
  </si>
  <si>
    <t>801 12th Street, 4th Floor</t>
  </si>
  <si>
    <t xml:space="preserve">Sacramento CA </t>
  </si>
  <si>
    <t>916-440-1353</t>
  </si>
  <si>
    <t>cweichert@shra.org</t>
  </si>
  <si>
    <t>4009 23rd Ave</t>
  </si>
  <si>
    <t xml:space="preserve">Sacramento </t>
  </si>
  <si>
    <t>020-0283-020</t>
  </si>
  <si>
    <t>40%/60%</t>
  </si>
  <si>
    <t>OAHS Shiloh TC LP</t>
  </si>
  <si>
    <t xml:space="preserve">Kingdom Vivante, LLC </t>
  </si>
  <si>
    <t>Managing GP</t>
  </si>
  <si>
    <t xml:space="preserve">6451 Box Springs Blvd </t>
  </si>
  <si>
    <t xml:space="preserve">Riverside </t>
  </si>
  <si>
    <t>CA</t>
  </si>
  <si>
    <t>William Leach</t>
  </si>
  <si>
    <t>951-538-6244</t>
  </si>
  <si>
    <t>william@kingdomdevelopment.net</t>
  </si>
  <si>
    <t xml:space="preserve">980 Sylvan Avenue </t>
  </si>
  <si>
    <t>Englewood Ciffs, New Jersey, 07632</t>
  </si>
  <si>
    <t>David Baruch</t>
  </si>
  <si>
    <t>201-793-3117</t>
  </si>
  <si>
    <t>davidb@OAHSaffordable.com</t>
  </si>
  <si>
    <t xml:space="preserve">Irwin Partners Architects </t>
  </si>
  <si>
    <t>245 Fischer Avenue, Suite B2</t>
  </si>
  <si>
    <t xml:space="preserve">Costa Mesa, CA 92626 </t>
  </si>
  <si>
    <t>Melisa Pence</t>
  </si>
  <si>
    <t>714-557-2448</t>
  </si>
  <si>
    <t>mpence@ipaoc.com</t>
  </si>
  <si>
    <t xml:space="preserve">Paragon Construction Company </t>
  </si>
  <si>
    <t>2124 East Geneva Driver</t>
  </si>
  <si>
    <t>Tempe, AZ 85282</t>
  </si>
  <si>
    <t xml:space="preserve">Kyle Weaver </t>
  </si>
  <si>
    <t>602-695-5319</t>
  </si>
  <si>
    <t>kyle.weaver@paragonconstructionco.com</t>
  </si>
  <si>
    <t>Nixon Peabody</t>
  </si>
  <si>
    <t xml:space="preserve">Tower 46, 55 West 46th Street </t>
  </si>
  <si>
    <t>New York, NY 10036-4120</t>
  </si>
  <si>
    <t>Aaron Yowell</t>
  </si>
  <si>
    <t>212-940-3161</t>
  </si>
  <si>
    <t>ayowell@nixonpeabody.com</t>
  </si>
  <si>
    <t>Cohn Reznick</t>
  </si>
  <si>
    <t>1301 6th Avenue</t>
  </si>
  <si>
    <t>New York, NY 10019</t>
  </si>
  <si>
    <t>Mike Bisson</t>
  </si>
  <si>
    <t>646-834-4154</t>
  </si>
  <si>
    <t>Mike.Bisson@CohnReznick.com</t>
  </si>
  <si>
    <t>Riverside CA 92507</t>
  </si>
  <si>
    <t xml:space="preserve">William Leach </t>
  </si>
  <si>
    <t>Gill Group</t>
  </si>
  <si>
    <t>512 N. One Mile Road</t>
  </si>
  <si>
    <t>Dexter, MO 63841</t>
  </si>
  <si>
    <t xml:space="preserve">Todd Gill </t>
  </si>
  <si>
    <t>800-428-3320</t>
  </si>
  <si>
    <t>todd.gill@gillgroup.com</t>
  </si>
  <si>
    <t xml:space="preserve">Nova Group, GBC </t>
  </si>
  <si>
    <t>5320 W, 23rd Street</t>
  </si>
  <si>
    <t>St.Louis Park, NM 55416</t>
  </si>
  <si>
    <t xml:space="preserve">Kristin Tate </t>
  </si>
  <si>
    <t>832-541-4487</t>
  </si>
  <si>
    <t>kristin.tate@novagroupgbc.com</t>
  </si>
  <si>
    <t xml:space="preserve">Sacramento Housing &amp; Redevelopment Agency </t>
  </si>
  <si>
    <t>801 12th Street</t>
  </si>
  <si>
    <t>Sacramento, CA, 95814</t>
  </si>
  <si>
    <t>Whitney Hinton</t>
  </si>
  <si>
    <t>916-440-1325</t>
  </si>
  <si>
    <t>wbonner@shra.org</t>
  </si>
  <si>
    <t>Orbach Affordable Management, LLC</t>
  </si>
  <si>
    <t>Appraisal</t>
  </si>
  <si>
    <t>The subject is an existing property that consists of a one-story garden-style and 17 two-story walk-up or townhouse style buildings containing 106 units and an accessory building.</t>
  </si>
  <si>
    <t>One or Two Story Garden</t>
  </si>
  <si>
    <t>Seller Note</t>
  </si>
  <si>
    <t xml:space="preserve">Seller Credit </t>
  </si>
  <si>
    <t xml:space="preserve">Deferred Costs </t>
  </si>
  <si>
    <t>Perm Bond Proceeds</t>
  </si>
  <si>
    <t xml:space="preserve">Seller Note </t>
  </si>
  <si>
    <t>1 bedroom</t>
  </si>
  <si>
    <t>2 bedroom</t>
  </si>
  <si>
    <t>3 bedroom</t>
  </si>
  <si>
    <t>4 bedroom</t>
  </si>
  <si>
    <t xml:space="preserve">Orbach Affordable Housing Solutions, LLC </t>
  </si>
  <si>
    <t>HUD</t>
  </si>
  <si>
    <t xml:space="preserve">OAHS Shiloh AGP LLC </t>
  </si>
  <si>
    <t>Administrative GP</t>
  </si>
  <si>
    <t xml:space="preserve">Englewood Cliffs </t>
  </si>
  <si>
    <t>980 Sylvan Ave,</t>
  </si>
  <si>
    <t>NJ</t>
  </si>
  <si>
    <t>Jay Reinhard</t>
  </si>
  <si>
    <t>August</t>
  </si>
  <si>
    <t>Office supplies, postage, expenses, copier, software licensing, toner</t>
  </si>
  <si>
    <t>Payroll tax and benefits</t>
  </si>
  <si>
    <t>Fire Safety, Supplies, HVAC, Tools, &amp; Appliances</t>
  </si>
  <si>
    <t>Employee Benefits</t>
  </si>
  <si>
    <t>Internet</t>
  </si>
  <si>
    <t xml:space="preserve">Operating Income </t>
  </si>
  <si>
    <t>PNA</t>
  </si>
  <si>
    <t>Equity Bridge Counsel</t>
  </si>
  <si>
    <t>Fixed</t>
  </si>
  <si>
    <t>350 Fifth Ave, Suite 4830</t>
  </si>
  <si>
    <t>New York, NY 10118</t>
  </si>
  <si>
    <t>212-297-1800</t>
  </si>
  <si>
    <t>Englewood Cliffs, New Jersey 07632</t>
  </si>
  <si>
    <t xml:space="preserve">David Baruch </t>
  </si>
  <si>
    <t xml:space="preserve">2277 Watt Ave </t>
  </si>
  <si>
    <t>Sacramento CA 95825</t>
  </si>
  <si>
    <t>Costas Paleologos</t>
  </si>
  <si>
    <t>916-486-2300</t>
  </si>
  <si>
    <t>OAHS Shiloh Apartments LP</t>
  </si>
  <si>
    <t>Meyer Orbach</t>
  </si>
  <si>
    <t xml:space="preserve">Co-general partner manager </t>
  </si>
  <si>
    <t>Project-based contract (PBC)</t>
  </si>
  <si>
    <t xml:space="preserve">yes </t>
  </si>
  <si>
    <t>R-1 single dwelling zone, Density 23.9 units per acre</t>
  </si>
  <si>
    <t xml:space="preserve">Bond Issuance Fees </t>
  </si>
  <si>
    <t>NA</t>
  </si>
  <si>
    <t>Orbach Affordable Housing Solutions LLC</t>
  </si>
  <si>
    <t>HUD HAP</t>
  </si>
  <si>
    <t xml:space="preserve">PNC - Tax Credit Proceeds </t>
  </si>
  <si>
    <t xml:space="preserve">PNC-Equity Bridge Loan </t>
  </si>
  <si>
    <t>Ready Capital - Tax Exempt Bonds</t>
  </si>
  <si>
    <t>Cody Z. Langeness</t>
  </si>
  <si>
    <t>350 Fifth Avenue, Suite 4830</t>
  </si>
  <si>
    <t xml:space="preserve">Ready Capital </t>
  </si>
  <si>
    <t xml:space="preserve">350 Fifth Ave, Suite 4830 </t>
  </si>
  <si>
    <t>cody.langeness@readycapital.com</t>
  </si>
  <si>
    <t>Not Applicable</t>
  </si>
  <si>
    <t>980 Sylvan Ave, Englewood Cliffs New Jersey NJ 07632</t>
  </si>
  <si>
    <t>Lender Inspection</t>
  </si>
  <si>
    <t>President of Sole Member of AGP</t>
  </si>
  <si>
    <t xml:space="preserve">Kingdom Development, Inc. </t>
  </si>
  <si>
    <t>Orbach Affordable Housing Solutions, LLC</t>
  </si>
  <si>
    <t>Kingdom Development, Inc.</t>
  </si>
  <si>
    <t>Consultant, General Partner</t>
  </si>
  <si>
    <t xml:space="preserve">Residential multifamily </t>
  </si>
  <si>
    <t>Seller Credit</t>
  </si>
  <si>
    <t>Tax-exempt Loan</t>
  </si>
  <si>
    <t>Taxable Loan</t>
  </si>
  <si>
    <t>Tax Credit Proceeds</t>
  </si>
  <si>
    <t>Deferred Costs</t>
  </si>
  <si>
    <t>Conventional Loan</t>
  </si>
  <si>
    <t>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</si>
</sst>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25610">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4"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4"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60" fillId="0" borderId="0" applyFont="0" applyFill="0" applyBorder="0" applyAlignment="0" applyProtection="0"/>
    <xf numFmtId="44" fontId="24" fillId="0" borderId="0" applyFont="0" applyFill="0" applyBorder="0" applyAlignment="0" applyProtection="0"/>
    <xf numFmtId="44" fontId="70" fillId="0" borderId="0" applyFont="0" applyFill="0" applyBorder="0" applyAlignment="0" applyProtection="0"/>
    <xf numFmtId="44" fontId="2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4" fillId="0" borderId="0" applyFont="0" applyFill="0" applyBorder="0" applyAlignment="0" applyProtection="0"/>
    <xf numFmtId="44" fontId="60" fillId="0" borderId="0" applyFont="0" applyFill="0" applyBorder="0" applyAlignment="0" applyProtection="0"/>
    <xf numFmtId="44" fontId="24" fillId="0" borderId="0" applyFont="0" applyFill="0" applyBorder="0" applyAlignment="0" applyProtection="0"/>
    <xf numFmtId="44" fontId="71"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5" fillId="0" borderId="0" applyFont="0" applyFill="0" applyBorder="0" applyAlignment="0" applyProtection="0"/>
    <xf numFmtId="44" fontId="24"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7" fillId="0" borderId="0" applyNumberFormat="0" applyBorder="0"/>
    <xf numFmtId="0" fontId="18" fillId="0" borderId="0" applyBorder="0" applyAlignment="0"/>
    <xf numFmtId="0" fontId="19"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4" fillId="0" borderId="0"/>
    <xf numFmtId="0" fontId="24"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4" fillId="0" borderId="0"/>
    <xf numFmtId="0" fontId="84" fillId="0" borderId="0"/>
    <xf numFmtId="0" fontId="24"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60" fillId="0" borderId="0">
      <alignment vertical="top"/>
    </xf>
    <xf numFmtId="0" fontId="84" fillId="0" borderId="0"/>
    <xf numFmtId="0" fontId="84" fillId="0" borderId="0"/>
    <xf numFmtId="0" fontId="84" fillId="0" borderId="0"/>
    <xf numFmtId="0" fontId="84" fillId="0" borderId="0"/>
    <xf numFmtId="0" fontId="2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84" fillId="0" borderId="0"/>
    <xf numFmtId="0" fontId="84" fillId="0" borderId="0"/>
    <xf numFmtId="0" fontId="84" fillId="0" borderId="0"/>
    <xf numFmtId="0" fontId="15" fillId="0" borderId="0" applyProtection="0">
      <protection locked="0"/>
    </xf>
    <xf numFmtId="0" fontId="24" fillId="0" borderId="0" applyProtection="0">
      <protection locked="0"/>
    </xf>
    <xf numFmtId="0" fontId="24" fillId="0" borderId="0" applyProtection="0">
      <protection locked="0"/>
    </xf>
    <xf numFmtId="0" fontId="61" fillId="0" borderId="0"/>
    <xf numFmtId="0" fontId="15"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0"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5" fillId="0" borderId="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9" fontId="15" fillId="0" borderId="0" applyFont="0" applyFill="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7"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0" fillId="0" borderId="0" applyNumberFormat="0" applyFill="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44" fontId="15" fillId="0" borderId="0" applyFont="0" applyFill="0" applyBorder="0" applyAlignment="0" applyProtection="0"/>
    <xf numFmtId="9" fontId="119" fillId="0" borderId="0" applyFont="0" applyFill="0" applyBorder="0" applyAlignment="0" applyProtection="0"/>
    <xf numFmtId="0" fontId="119" fillId="0" borderId="0"/>
    <xf numFmtId="0" fontId="9" fillId="0" borderId="0"/>
    <xf numFmtId="0" fontId="15" fillId="0" borderId="0"/>
    <xf numFmtId="43" fontId="9" fillId="0" borderId="0" applyFont="0" applyFill="0" applyBorder="0" applyAlignment="0" applyProtection="0"/>
    <xf numFmtId="9" fontId="9"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15" fillId="0" borderId="0" applyBorder="0"/>
    <xf numFmtId="43" fontId="157" fillId="0" borderId="0" applyFont="0" applyFill="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4" fontId="16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15"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2" fillId="0" borderId="0" xfId="0" applyFont="1"/>
    <xf numFmtId="0" fontId="15" fillId="0" borderId="0" xfId="0" applyFont="1"/>
    <xf numFmtId="0" fontId="24" fillId="0" borderId="0" xfId="0" applyFont="1"/>
    <xf numFmtId="0" fontId="0" fillId="0" borderId="4" xfId="0" applyBorder="1"/>
    <xf numFmtId="0" fontId="24" fillId="0" borderId="0" xfId="0" applyFont="1" applyAlignment="1">
      <alignment horizontal="center"/>
    </xf>
    <xf numFmtId="0" fontId="15"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2" fillId="0" borderId="4" xfId="0" applyFont="1" applyBorder="1"/>
    <xf numFmtId="164" fontId="0" fillId="0" borderId="0" xfId="0" applyNumberFormat="1" applyAlignment="1">
      <alignment horizontal="right"/>
    </xf>
    <xf numFmtId="0" fontId="22" fillId="0" borderId="0" xfId="0" applyFont="1" applyAlignment="1">
      <alignment horizontal="center"/>
    </xf>
    <xf numFmtId="0" fontId="15" fillId="0" borderId="0" xfId="543"/>
    <xf numFmtId="0" fontId="24" fillId="0" borderId="0" xfId="0" applyFont="1" applyAlignment="1">
      <alignment horizontal="left" vertical="top" wrapText="1"/>
    </xf>
    <xf numFmtId="0" fontId="30" fillId="0" borderId="0" xfId="0" applyFont="1"/>
    <xf numFmtId="0" fontId="23" fillId="0" borderId="0" xfId="0" applyFont="1" applyAlignment="1">
      <alignment vertical="top"/>
    </xf>
    <xf numFmtId="0" fontId="23" fillId="0" borderId="0" xfId="0" applyFont="1" applyAlignment="1">
      <alignment vertical="top" wrapText="1"/>
    </xf>
    <xf numFmtId="0" fontId="24" fillId="0" borderId="0" xfId="0" applyFont="1" applyAlignment="1">
      <alignment horizontal="left" indent="4"/>
    </xf>
    <xf numFmtId="0" fontId="23" fillId="0" borderId="0" xfId="0" applyFont="1" applyAlignment="1">
      <alignment horizontal="left" vertical="top"/>
    </xf>
    <xf numFmtId="0" fontId="23" fillId="0" borderId="0" xfId="0" applyFont="1" applyAlignment="1">
      <alignment horizontal="left"/>
    </xf>
    <xf numFmtId="0" fontId="23" fillId="0" borderId="0" xfId="0" applyFont="1"/>
    <xf numFmtId="0" fontId="35" fillId="0" borderId="0" xfId="543" applyFont="1"/>
    <xf numFmtId="1" fontId="23" fillId="0" borderId="0" xfId="0" applyNumberFormat="1" applyFont="1" applyAlignment="1">
      <alignment horizontal="left"/>
    </xf>
    <xf numFmtId="0" fontId="25" fillId="0" borderId="0" xfId="0" applyFont="1"/>
    <xf numFmtId="1" fontId="23" fillId="0" borderId="0" xfId="0" applyNumberFormat="1" applyFont="1" applyAlignment="1">
      <alignment horizontal="right"/>
    </xf>
    <xf numFmtId="0" fontId="0" fillId="0" borderId="0" xfId="0" applyAlignment="1">
      <alignment horizontal="right"/>
    </xf>
    <xf numFmtId="0" fontId="34" fillId="0" borderId="0" xfId="0" applyFont="1"/>
    <xf numFmtId="0" fontId="27" fillId="0" borderId="0" xfId="0" applyFont="1"/>
    <xf numFmtId="172" fontId="15" fillId="0" borderId="0" xfId="543" applyNumberFormat="1"/>
    <xf numFmtId="9" fontId="15" fillId="0" borderId="0" xfId="543" applyNumberFormat="1" applyAlignment="1">
      <alignment horizontal="left"/>
    </xf>
    <xf numFmtId="168" fontId="15" fillId="0" borderId="0" xfId="543" applyNumberFormat="1"/>
    <xf numFmtId="0" fontId="24" fillId="0" borderId="0" xfId="0" applyFont="1" applyAlignment="1">
      <alignment horizontal="right"/>
    </xf>
    <xf numFmtId="0" fontId="38" fillId="0" borderId="0" xfId="0" applyFont="1"/>
    <xf numFmtId="0" fontId="24" fillId="0" borderId="0" xfId="0" applyFont="1" applyAlignment="1">
      <alignment horizontal="left"/>
    </xf>
    <xf numFmtId="0" fontId="26" fillId="0" borderId="0" xfId="0" applyFont="1"/>
    <xf numFmtId="0" fontId="28" fillId="0" borderId="0" xfId="0" applyFont="1"/>
    <xf numFmtId="0" fontId="22"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2" fillId="0" borderId="1" xfId="0" applyFont="1" applyBorder="1" applyAlignment="1">
      <alignment horizontal="center" wrapText="1"/>
    </xf>
    <xf numFmtId="0" fontId="22"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2" fillId="0" borderId="4" xfId="0" applyFont="1" applyBorder="1" applyAlignment="1">
      <alignment horizontal="center"/>
    </xf>
    <xf numFmtId="0" fontId="31" fillId="0" borderId="3" xfId="0" applyFont="1" applyBorder="1" applyAlignment="1">
      <alignment horizontal="left"/>
    </xf>
    <xf numFmtId="0" fontId="31" fillId="0" borderId="9" xfId="0" applyFont="1" applyBorder="1" applyAlignment="1">
      <alignment horizontal="left"/>
    </xf>
    <xf numFmtId="0" fontId="22" fillId="0" borderId="4" xfId="0" applyFont="1" applyBorder="1" applyAlignment="1">
      <alignment horizontal="right"/>
    </xf>
    <xf numFmtId="0" fontId="22" fillId="0" borderId="5" xfId="0" applyFont="1" applyBorder="1" applyAlignment="1">
      <alignment horizontal="right"/>
    </xf>
    <xf numFmtId="0" fontId="31" fillId="0" borderId="0" xfId="0" applyFont="1" applyAlignment="1">
      <alignment horizontal="left"/>
    </xf>
    <xf numFmtId="0" fontId="22" fillId="0" borderId="0" xfId="0" applyFont="1" applyAlignment="1">
      <alignment horizontal="right"/>
    </xf>
    <xf numFmtId="0" fontId="22"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4" fillId="0" borderId="11" xfId="0" applyFont="1" applyBorder="1" applyAlignment="1">
      <alignment horizontal="left"/>
    </xf>
    <xf numFmtId="0" fontId="22" fillId="0" borderId="9" xfId="0" applyFont="1" applyBorder="1"/>
    <xf numFmtId="164" fontId="0" fillId="0" borderId="0" xfId="0" applyNumberFormat="1" applyAlignment="1">
      <alignment horizontal="center"/>
    </xf>
    <xf numFmtId="0" fontId="0" fillId="0" borderId="12" xfId="0" applyBorder="1"/>
    <xf numFmtId="0" fontId="24" fillId="0" borderId="3" xfId="0" applyFont="1" applyBorder="1"/>
    <xf numFmtId="0" fontId="24" fillId="0" borderId="0" xfId="543" applyFont="1"/>
    <xf numFmtId="0" fontId="40" fillId="0" borderId="0" xfId="543" applyFont="1"/>
    <xf numFmtId="49" fontId="15" fillId="0" borderId="0" xfId="543" applyNumberFormat="1"/>
    <xf numFmtId="0" fontId="38" fillId="0" borderId="0" xfId="543" applyFont="1"/>
    <xf numFmtId="168" fontId="35" fillId="0" borderId="6" xfId="543" applyNumberFormat="1" applyFont="1" applyBorder="1" applyAlignment="1">
      <alignment horizontal="left"/>
    </xf>
    <xf numFmtId="168" fontId="35" fillId="0" borderId="6" xfId="543" applyNumberFormat="1" applyFont="1" applyBorder="1" applyAlignment="1">
      <alignment horizontal="center"/>
    </xf>
    <xf numFmtId="0" fontId="15" fillId="0" borderId="8" xfId="543" applyBorder="1"/>
    <xf numFmtId="0" fontId="35" fillId="0" borderId="0" xfId="543" applyFont="1" applyAlignment="1">
      <alignment horizontal="center"/>
    </xf>
    <xf numFmtId="0" fontId="34" fillId="0" borderId="9" xfId="543" applyFont="1" applyBorder="1" applyAlignment="1">
      <alignment horizontal="left" vertical="top" wrapText="1"/>
    </xf>
    <xf numFmtId="0" fontId="34" fillId="0" borderId="6" xfId="543" applyFont="1" applyBorder="1" applyAlignment="1">
      <alignment horizontal="center" vertical="top" wrapText="1"/>
    </xf>
    <xf numFmtId="0" fontId="15" fillId="0" borderId="9" xfId="543" applyBorder="1"/>
    <xf numFmtId="0" fontId="15" fillId="0" borderId="10" xfId="543" applyBorder="1"/>
    <xf numFmtId="0" fontId="15" fillId="0" borderId="1" xfId="543" applyBorder="1"/>
    <xf numFmtId="0" fontId="35" fillId="0" borderId="2" xfId="543" applyFont="1" applyBorder="1" applyAlignment="1">
      <alignment horizontal="center"/>
    </xf>
    <xf numFmtId="0" fontId="37" fillId="0" borderId="8" xfId="543" applyFont="1" applyBorder="1" applyAlignment="1">
      <alignment horizontal="left" vertical="top" wrapText="1"/>
    </xf>
    <xf numFmtId="0" fontId="34" fillId="0" borderId="0" xfId="543" applyFont="1" applyAlignment="1">
      <alignment horizontal="center" vertical="top" wrapText="1"/>
    </xf>
    <xf numFmtId="0" fontId="15" fillId="0" borderId="12" xfId="543" applyBorder="1"/>
    <xf numFmtId="0" fontId="37" fillId="0" borderId="0" xfId="543" applyFont="1" applyAlignment="1">
      <alignment horizontal="center" vertical="top" wrapText="1"/>
    </xf>
    <xf numFmtId="0" fontId="37" fillId="0" borderId="9" xfId="543" applyFont="1" applyBorder="1" applyAlignment="1">
      <alignment horizontal="left" vertical="top" wrapText="1"/>
    </xf>
    <xf numFmtId="0" fontId="15" fillId="0" borderId="2" xfId="543" applyBorder="1"/>
    <xf numFmtId="0" fontId="15" fillId="0" borderId="7" xfId="543" applyBorder="1"/>
    <xf numFmtId="0" fontId="34" fillId="0" borderId="0" xfId="543" applyFont="1"/>
    <xf numFmtId="0" fontId="15" fillId="0" borderId="0" xfId="543" applyAlignment="1">
      <alignment horizontal="center"/>
    </xf>
    <xf numFmtId="0" fontId="23" fillId="0" borderId="6" xfId="543" applyFont="1" applyBorder="1" applyAlignment="1">
      <alignment vertical="top" wrapText="1"/>
    </xf>
    <xf numFmtId="0" fontId="24" fillId="0" borderId="0" xfId="0" applyFont="1" applyAlignment="1">
      <alignment horizontal="left" vertical="top"/>
    </xf>
    <xf numFmtId="0" fontId="0" fillId="2" borderId="2" xfId="0" applyFill="1" applyBorder="1"/>
    <xf numFmtId="0" fontId="0" fillId="2" borderId="7" xfId="0" applyFill="1" applyBorder="1"/>
    <xf numFmtId="0" fontId="22" fillId="0" borderId="6" xfId="0" applyFont="1" applyBorder="1" applyAlignment="1">
      <alignment horizontal="right"/>
    </xf>
    <xf numFmtId="0" fontId="21" fillId="0" borderId="0" xfId="0" applyFont="1" applyAlignment="1">
      <alignment horizontal="center" vertical="center"/>
    </xf>
    <xf numFmtId="0" fontId="22" fillId="0" borderId="0" xfId="0" applyFont="1" applyAlignment="1">
      <alignment vertical="top"/>
    </xf>
    <xf numFmtId="166" fontId="0" fillId="0" borderId="0" xfId="0" applyNumberFormat="1" applyAlignment="1">
      <alignment horizontal="right"/>
    </xf>
    <xf numFmtId="0" fontId="45" fillId="0" borderId="0" xfId="0" applyFont="1"/>
    <xf numFmtId="0" fontId="32" fillId="0" borderId="0" xfId="0" applyFont="1"/>
    <xf numFmtId="0" fontId="16" fillId="0" borderId="0" xfId="244" applyBorder="1" applyProtection="1"/>
    <xf numFmtId="0" fontId="16" fillId="0" borderId="0" xfId="244" applyFill="1" applyBorder="1" applyAlignment="1">
      <alignment horizontal="center" vertical="center"/>
    </xf>
    <xf numFmtId="0" fontId="15" fillId="0" borderId="3" xfId="543" applyBorder="1"/>
    <xf numFmtId="0" fontId="37" fillId="0" borderId="4" xfId="543" applyFont="1" applyBorder="1" applyAlignment="1">
      <alignment horizontal="right" vertical="top" wrapText="1"/>
    </xf>
    <xf numFmtId="0" fontId="24" fillId="0" borderId="6" xfId="0" applyFont="1" applyBorder="1"/>
    <xf numFmtId="0" fontId="24" fillId="0" borderId="2" xfId="0" applyFont="1" applyBorder="1"/>
    <xf numFmtId="0" fontId="24" fillId="0" borderId="7" xfId="0" applyFont="1" applyBorder="1"/>
    <xf numFmtId="0" fontId="24" fillId="0" borderId="12" xfId="0" applyFont="1" applyBorder="1"/>
    <xf numFmtId="0" fontId="24" fillId="0" borderId="9" xfId="0" applyFont="1" applyBorder="1"/>
    <xf numFmtId="0" fontId="24" fillId="0" borderId="10" xfId="0" applyFont="1" applyBorder="1"/>
    <xf numFmtId="0" fontId="29" fillId="0" borderId="6" xfId="0" applyFont="1" applyBorder="1" applyAlignment="1">
      <alignment vertical="top" wrapText="1"/>
    </xf>
    <xf numFmtId="0" fontId="29" fillId="0" borderId="5" xfId="0" applyFont="1" applyBorder="1" applyAlignment="1">
      <alignment vertical="top" wrapText="1"/>
    </xf>
    <xf numFmtId="0" fontId="29" fillId="0" borderId="4" xfId="0" applyFont="1" applyBorder="1" applyAlignment="1">
      <alignment vertical="top" wrapText="1"/>
    </xf>
    <xf numFmtId="0" fontId="29" fillId="2" borderId="6" xfId="0" applyFont="1" applyFill="1" applyBorder="1" applyAlignment="1">
      <alignment vertical="top" wrapText="1"/>
    </xf>
    <xf numFmtId="0" fontId="0" fillId="0" borderId="8" xfId="0" applyBorder="1"/>
    <xf numFmtId="0" fontId="22" fillId="0" borderId="2" xfId="0" applyFont="1" applyBorder="1"/>
    <xf numFmtId="0" fontId="24" fillId="0" borderId="0" xfId="0" applyFont="1" applyAlignment="1">
      <alignment vertical="top"/>
    </xf>
    <xf numFmtId="0" fontId="24" fillId="0" borderId="0" xfId="0" applyFont="1" applyAlignment="1">
      <alignment vertical="top" wrapText="1"/>
    </xf>
    <xf numFmtId="0" fontId="15" fillId="0" borderId="0" xfId="0" applyFont="1" applyAlignment="1">
      <alignment horizontal="left"/>
    </xf>
    <xf numFmtId="0" fontId="15" fillId="0" borderId="0" xfId="0" applyFont="1" applyAlignment="1">
      <alignment vertical="top"/>
    </xf>
    <xf numFmtId="0" fontId="44" fillId="0" borderId="0" xfId="0" applyFont="1"/>
    <xf numFmtId="0" fontId="15" fillId="0" borderId="3" xfId="0" applyFont="1" applyBorder="1"/>
    <xf numFmtId="0" fontId="15"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9" fillId="3" borderId="4" xfId="0" applyFont="1" applyFill="1" applyBorder="1" applyAlignment="1">
      <alignment vertical="top" wrapText="1"/>
    </xf>
    <xf numFmtId="0" fontId="29" fillId="3" borderId="5" xfId="0" applyFont="1" applyFill="1" applyBorder="1" applyAlignment="1">
      <alignment vertical="top" wrapText="1"/>
    </xf>
    <xf numFmtId="0" fontId="47" fillId="0" borderId="0" xfId="0" applyFont="1"/>
    <xf numFmtId="0" fontId="24" fillId="0" borderId="4" xfId="0" applyFont="1" applyBorder="1"/>
    <xf numFmtId="0" fontId="22" fillId="0" borderId="2" xfId="0" applyFont="1" applyBorder="1" applyAlignment="1">
      <alignment horizontal="center"/>
    </xf>
    <xf numFmtId="0" fontId="22" fillId="0" borderId="0" xfId="0" applyFont="1" applyAlignment="1">
      <alignment horizontal="center" vertical="center" wrapText="1"/>
    </xf>
    <xf numFmtId="0" fontId="22" fillId="0" borderId="7" xfId="543" applyFont="1" applyBorder="1" applyAlignment="1">
      <alignment horizontal="right"/>
    </xf>
    <xf numFmtId="0" fontId="23" fillId="0" borderId="9" xfId="543" applyFont="1" applyBorder="1"/>
    <xf numFmtId="0" fontId="24" fillId="0" borderId="6" xfId="543" applyFont="1" applyBorder="1"/>
    <xf numFmtId="0" fontId="23" fillId="0" borderId="6" xfId="543" applyFont="1" applyBorder="1" applyAlignment="1">
      <alignment horizontal="right"/>
    </xf>
    <xf numFmtId="0" fontId="22" fillId="0" borderId="0" xfId="0" applyFont="1" applyAlignment="1">
      <alignment horizontal="center" vertical="center"/>
    </xf>
    <xf numFmtId="0" fontId="24"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8"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4" fillId="0" borderId="0" xfId="0" applyNumberFormat="1" applyFont="1" applyAlignment="1">
      <alignment horizontal="left"/>
    </xf>
    <xf numFmtId="0" fontId="56" fillId="0" borderId="0" xfId="0" applyFont="1"/>
    <xf numFmtId="0" fontId="15" fillId="0" borderId="0" xfId="244" applyFont="1" applyFill="1" applyBorder="1" applyAlignment="1" applyProtection="1">
      <alignment horizontal="left"/>
    </xf>
    <xf numFmtId="0" fontId="46" fillId="0" borderId="0" xfId="0" applyFont="1"/>
    <xf numFmtId="0" fontId="46" fillId="0" borderId="0" xfId="244" applyFont="1" applyFill="1" applyBorder="1" applyAlignment="1" applyProtection="1">
      <alignment horizontal="left"/>
    </xf>
    <xf numFmtId="0" fontId="21" fillId="3" borderId="11" xfId="0" applyFont="1" applyFill="1" applyBorder="1" applyAlignment="1">
      <alignment vertical="top"/>
    </xf>
    <xf numFmtId="0" fontId="0" fillId="7" borderId="0" xfId="0" applyFill="1"/>
    <xf numFmtId="0" fontId="35" fillId="0" borderId="0" xfId="0" applyFont="1"/>
    <xf numFmtId="0" fontId="58" fillId="0" borderId="0" xfId="0" applyFont="1"/>
    <xf numFmtId="0" fontId="33" fillId="0" borderId="0" xfId="0" applyFont="1" applyAlignment="1">
      <alignment horizontal="center"/>
    </xf>
    <xf numFmtId="0" fontId="33" fillId="0" borderId="0" xfId="0" applyFont="1"/>
    <xf numFmtId="0" fontId="33" fillId="0" borderId="0" xfId="0" applyFont="1" applyAlignment="1">
      <alignment horizontal="left"/>
    </xf>
    <xf numFmtId="49" fontId="22" fillId="0" borderId="0" xfId="0" applyNumberFormat="1" applyFont="1" applyAlignment="1">
      <alignment horizontal="center"/>
    </xf>
    <xf numFmtId="0" fontId="50" fillId="0" borderId="0" xfId="0" applyFont="1" applyAlignment="1">
      <alignment horizontal="center"/>
    </xf>
    <xf numFmtId="0" fontId="49" fillId="0" borderId="0" xfId="244" applyFont="1" applyAlignment="1" applyProtection="1">
      <alignment horizontal="center"/>
    </xf>
    <xf numFmtId="0" fontId="24" fillId="0" borderId="0" xfId="0" quotePrefix="1" applyFont="1" applyAlignment="1">
      <alignment horizontal="left"/>
    </xf>
    <xf numFmtId="49" fontId="24" fillId="0" borderId="0" xfId="0" applyNumberFormat="1" applyFont="1" applyAlignment="1">
      <alignment horizontal="center"/>
    </xf>
    <xf numFmtId="0" fontId="22" fillId="0" borderId="0" xfId="0" quotePrefix="1" applyFont="1" applyAlignment="1">
      <alignment horizontal="center"/>
    </xf>
    <xf numFmtId="49" fontId="0" fillId="0" borderId="0" xfId="0" applyNumberFormat="1"/>
    <xf numFmtId="0" fontId="47" fillId="0" borderId="0" xfId="0" applyFont="1" applyAlignment="1">
      <alignment horizontal="left"/>
    </xf>
    <xf numFmtId="49" fontId="24" fillId="0" borderId="0" xfId="0" applyNumberFormat="1" applyFont="1"/>
    <xf numFmtId="49" fontId="22" fillId="0" borderId="0" xfId="0" applyNumberFormat="1" applyFont="1" applyAlignment="1">
      <alignment horizontal="left"/>
    </xf>
    <xf numFmtId="168" fontId="24" fillId="0" borderId="0" xfId="0" applyNumberFormat="1" applyFont="1" applyAlignment="1">
      <alignment horizontal="center"/>
    </xf>
    <xf numFmtId="168" fontId="34"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5" fillId="0" borderId="0" xfId="0" applyFont="1" applyAlignment="1">
      <alignment vertical="top" wrapText="1"/>
    </xf>
    <xf numFmtId="0" fontId="53" fillId="0" borderId="4" xfId="0" applyFont="1" applyBorder="1" applyAlignment="1">
      <alignment horizontal="right"/>
    </xf>
    <xf numFmtId="0" fontId="60" fillId="0" borderId="0" xfId="0" applyFont="1"/>
    <xf numFmtId="3" fontId="24" fillId="0" borderId="0" xfId="0" applyNumberFormat="1" applyFont="1" applyAlignment="1">
      <alignment horizontal="center"/>
    </xf>
    <xf numFmtId="168" fontId="15" fillId="0" borderId="0" xfId="0" applyNumberFormat="1" applyFont="1" applyAlignment="1">
      <alignment horizontal="left" vertical="top"/>
    </xf>
    <xf numFmtId="168" fontId="24" fillId="0" borderId="0" xfId="0" applyNumberFormat="1"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0" fillId="0" borderId="0" xfId="0" applyAlignment="1">
      <alignment vertical="center"/>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2" fillId="0" borderId="0" xfId="542" applyFont="1" applyProtection="1">
      <protection locked="0"/>
    </xf>
    <xf numFmtId="0" fontId="15" fillId="0" borderId="0" xfId="539" applyProtection="1"/>
    <xf numFmtId="0" fontId="35" fillId="8" borderId="0" xfId="539" applyFont="1" applyFill="1" applyAlignment="1" applyProtection="1">
      <alignment horizontal="centerContinuous"/>
    </xf>
    <xf numFmtId="4" fontId="24" fillId="0" borderId="0" xfId="0" applyNumberFormat="1" applyFont="1"/>
    <xf numFmtId="0" fontId="22" fillId="0" borderId="0" xfId="543" applyFont="1"/>
    <xf numFmtId="0" fontId="24" fillId="0" borderId="0" xfId="543" applyFont="1" applyAlignment="1">
      <alignment horizontal="left"/>
    </xf>
    <xf numFmtId="0" fontId="24" fillId="0" borderId="15" xfId="0" applyFont="1" applyBorder="1"/>
    <xf numFmtId="0" fontId="24" fillId="0" borderId="11" xfId="0" applyFont="1" applyBorder="1"/>
    <xf numFmtId="2" fontId="38" fillId="0" borderId="11" xfId="0" applyNumberFormat="1" applyFont="1" applyBorder="1"/>
    <xf numFmtId="0" fontId="15" fillId="0" borderId="0" xfId="0" applyFont="1" applyProtection="1">
      <protection locked="0"/>
    </xf>
    <xf numFmtId="0" fontId="63" fillId="0" borderId="0" xfId="0" applyFont="1" applyAlignment="1">
      <alignment horizontal="center"/>
    </xf>
    <xf numFmtId="0" fontId="24" fillId="0" borderId="0" xfId="271"/>
    <xf numFmtId="0" fontId="22" fillId="0" borderId="0" xfId="271" applyFont="1"/>
    <xf numFmtId="0" fontId="24" fillId="0" borderId="0" xfId="271" applyAlignment="1">
      <alignment horizontal="left"/>
    </xf>
    <xf numFmtId="0" fontId="16" fillId="0" borderId="0" xfId="244" applyFill="1" applyBorder="1" applyProtection="1">
      <protection locked="0"/>
    </xf>
    <xf numFmtId="168" fontId="22" fillId="0" borderId="2" xfId="543" applyNumberFormat="1" applyFont="1" applyBorder="1" applyAlignment="1">
      <alignment horizontal="center" vertical="center"/>
    </xf>
    <xf numFmtId="0" fontId="37" fillId="0" borderId="0" xfId="543" applyFont="1" applyAlignment="1">
      <alignment horizontal="right" vertical="top" wrapText="1"/>
    </xf>
    <xf numFmtId="0" fontId="35" fillId="0" borderId="2" xfId="543" applyFont="1" applyBorder="1" applyAlignment="1">
      <alignment horizontal="right" vertical="top" wrapText="1"/>
    </xf>
    <xf numFmtId="0" fontId="20" fillId="0" borderId="0" xfId="0" applyFont="1"/>
    <xf numFmtId="0" fontId="65" fillId="0" borderId="0" xfId="0" applyFont="1"/>
    <xf numFmtId="0" fontId="63" fillId="0" borderId="0" xfId="0" applyFont="1"/>
    <xf numFmtId="0" fontId="35"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2" fillId="0" borderId="0" xfId="0" applyNumberFormat="1" applyFont="1" applyAlignment="1">
      <alignment horizontal="center"/>
    </xf>
    <xf numFmtId="3" fontId="0" fillId="0" borderId="0" xfId="0" applyNumberFormat="1" applyAlignment="1">
      <alignment horizontal="center"/>
    </xf>
    <xf numFmtId="3" fontId="24" fillId="0" borderId="0" xfId="0" applyNumberFormat="1" applyFont="1"/>
    <xf numFmtId="0" fontId="64" fillId="0" borderId="0" xfId="0" applyFont="1"/>
    <xf numFmtId="168" fontId="20" fillId="0" borderId="0" xfId="0" applyNumberFormat="1" applyFont="1"/>
    <xf numFmtId="10" fontId="20" fillId="0" borderId="0" xfId="0" applyNumberFormat="1" applyFont="1" applyAlignment="1">
      <alignment horizontal="center"/>
    </xf>
    <xf numFmtId="3" fontId="67" fillId="0" borderId="0" xfId="0" applyNumberFormat="1" applyFont="1"/>
    <xf numFmtId="3" fontId="20" fillId="0" borderId="0" xfId="0" applyNumberFormat="1" applyFont="1"/>
    <xf numFmtId="168" fontId="64" fillId="0" borderId="0" xfId="0" applyNumberFormat="1" applyFont="1"/>
    <xf numFmtId="168" fontId="64" fillId="0" borderId="0" xfId="0" applyNumberFormat="1" applyFont="1" applyAlignment="1">
      <alignment horizontal="center"/>
    </xf>
    <xf numFmtId="0" fontId="20" fillId="5" borderId="0" xfId="0" applyFont="1" applyFill="1" applyAlignment="1">
      <alignment horizontal="left"/>
    </xf>
    <xf numFmtId="0" fontId="20" fillId="5" borderId="0" xfId="0" applyFont="1" applyFill="1"/>
    <xf numFmtId="10" fontId="20" fillId="0" borderId="0" xfId="0" applyNumberFormat="1" applyFont="1"/>
    <xf numFmtId="172" fontId="20" fillId="0" borderId="0" xfId="0" applyNumberFormat="1" applyFont="1"/>
    <xf numFmtId="172" fontId="20" fillId="0" borderId="0" xfId="0" applyNumberFormat="1" applyFont="1" applyAlignment="1">
      <alignment horizontal="center"/>
    </xf>
    <xf numFmtId="0" fontId="20" fillId="0" borderId="6" xfId="0" applyFont="1" applyBorder="1"/>
    <xf numFmtId="10" fontId="20" fillId="0" borderId="6" xfId="0" applyNumberFormat="1" applyFont="1" applyBorder="1" applyAlignment="1">
      <alignment horizontal="center"/>
    </xf>
    <xf numFmtId="3" fontId="20" fillId="0" borderId="6" xfId="0" applyNumberFormat="1" applyFont="1" applyBorder="1"/>
    <xf numFmtId="10" fontId="24" fillId="0" borderId="0" xfId="0" applyNumberFormat="1" applyFont="1" applyAlignment="1">
      <alignment horizontal="center"/>
    </xf>
    <xf numFmtId="3" fontId="24" fillId="0" borderId="0" xfId="0" applyNumberFormat="1" applyFont="1" applyAlignment="1">
      <alignment vertical="top"/>
    </xf>
    <xf numFmtId="10" fontId="22" fillId="0" borderId="0" xfId="0" applyNumberFormat="1" applyFont="1" applyAlignment="1">
      <alignment horizontal="center"/>
    </xf>
    <xf numFmtId="0" fontId="63" fillId="0" borderId="6" xfId="0" applyFont="1" applyBorder="1" applyAlignment="1">
      <alignment horizontal="center"/>
    </xf>
    <xf numFmtId="172" fontId="24" fillId="0" borderId="0" xfId="0" applyNumberFormat="1" applyFont="1" applyAlignment="1">
      <alignment horizontal="center"/>
    </xf>
    <xf numFmtId="10" fontId="68" fillId="0" borderId="0" xfId="0" applyNumberFormat="1" applyFont="1" applyAlignment="1">
      <alignment horizontal="center"/>
    </xf>
    <xf numFmtId="4" fontId="24" fillId="0" borderId="0" xfId="271" applyNumberFormat="1" applyAlignment="1">
      <alignment horizontal="left"/>
    </xf>
    <xf numFmtId="0" fontId="24" fillId="0" borderId="0" xfId="271" applyAlignment="1">
      <alignment horizontal="center"/>
    </xf>
    <xf numFmtId="0" fontId="24" fillId="9" borderId="6" xfId="0" applyFont="1" applyFill="1" applyBorder="1"/>
    <xf numFmtId="0" fontId="24" fillId="0" borderId="4" xfId="271" applyBorder="1"/>
    <xf numFmtId="0" fontId="24" fillId="0" borderId="6" xfId="271" applyBorder="1"/>
    <xf numFmtId="0" fontId="24" fillId="0" borderId="1" xfId="0" applyFont="1" applyBorder="1"/>
    <xf numFmtId="168" fontId="24" fillId="0" borderId="3" xfId="0" applyNumberFormat="1" applyFont="1" applyBorder="1" applyAlignment="1">
      <alignment vertical="top"/>
    </xf>
    <xf numFmtId="168" fontId="24" fillId="0" borderId="4" xfId="0" applyNumberFormat="1" applyFont="1" applyBorder="1" applyAlignment="1">
      <alignment vertical="top"/>
    </xf>
    <xf numFmtId="168" fontId="24" fillId="0" borderId="5" xfId="0" applyNumberFormat="1" applyFont="1" applyBorder="1" applyAlignment="1">
      <alignment vertical="top"/>
    </xf>
    <xf numFmtId="168" fontId="24" fillId="0" borderId="8" xfId="0" applyNumberFormat="1" applyFont="1" applyBorder="1" applyAlignment="1">
      <alignment vertical="top"/>
    </xf>
    <xf numFmtId="168" fontId="24" fillId="0" borderId="0" xfId="0" applyNumberFormat="1" applyFont="1" applyAlignment="1">
      <alignment vertical="top"/>
    </xf>
    <xf numFmtId="0" fontId="24" fillId="0" borderId="0" xfId="0" applyFont="1" applyAlignment="1">
      <alignment horizontal="right" vertical="top"/>
    </xf>
    <xf numFmtId="0" fontId="24"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4" fillId="5" borderId="4" xfId="0" applyFont="1" applyFill="1" applyBorder="1" applyAlignment="1" applyProtection="1">
      <alignment horizontal="left" vertical="top"/>
      <protection locked="0"/>
    </xf>
    <xf numFmtId="0" fontId="24"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4" fontId="24" fillId="0" borderId="0" xfId="0" applyNumberFormat="1" applyFont="1" applyAlignment="1">
      <alignment horizontal="center"/>
    </xf>
    <xf numFmtId="4" fontId="0" fillId="0" borderId="0" xfId="0" applyNumberFormat="1"/>
    <xf numFmtId="0" fontId="34" fillId="0" borderId="1" xfId="543" applyFont="1" applyBorder="1" applyAlignment="1">
      <alignment horizontal="left" vertical="top" wrapText="1"/>
    </xf>
    <xf numFmtId="0" fontId="34" fillId="0" borderId="12" xfId="543" applyFont="1" applyBorder="1" applyAlignment="1">
      <alignment horizontal="center" vertical="top" wrapText="1"/>
    </xf>
    <xf numFmtId="0" fontId="34" fillId="0" borderId="8" xfId="543" applyFont="1" applyBorder="1" applyAlignment="1">
      <alignment horizontal="left" vertical="top" wrapText="1"/>
    </xf>
    <xf numFmtId="0" fontId="29" fillId="3" borderId="4" xfId="271" applyFont="1" applyFill="1" applyBorder="1" applyAlignment="1">
      <alignment vertical="top" wrapText="1"/>
    </xf>
    <xf numFmtId="0" fontId="21" fillId="3" borderId="11" xfId="271" applyFont="1" applyFill="1" applyBorder="1" applyAlignment="1">
      <alignment vertical="top"/>
    </xf>
    <xf numFmtId="0" fontId="22" fillId="0" borderId="9" xfId="271" applyFont="1" applyBorder="1" applyAlignment="1">
      <alignment horizontal="center" wrapText="1"/>
    </xf>
    <xf numFmtId="0" fontId="29" fillId="3" borderId="4" xfId="271" applyFont="1" applyFill="1" applyBorder="1" applyAlignment="1" applyProtection="1">
      <alignment vertical="top" wrapText="1"/>
      <protection locked="0"/>
    </xf>
    <xf numFmtId="0" fontId="29" fillId="3" borderId="5" xfId="271" applyFont="1" applyFill="1" applyBorder="1" applyAlignment="1" applyProtection="1">
      <alignment vertical="top" wrapText="1"/>
      <protection locked="0"/>
    </xf>
    <xf numFmtId="0" fontId="22" fillId="0" borderId="13" xfId="271" applyFont="1" applyBorder="1" applyAlignment="1">
      <alignment horizontal="center" wrapText="1"/>
    </xf>
    <xf numFmtId="0" fontId="47" fillId="2" borderId="11" xfId="271" applyFont="1" applyFill="1" applyBorder="1" applyAlignment="1">
      <alignment horizontal="left" vertical="top" wrapText="1"/>
    </xf>
    <xf numFmtId="0" fontId="24" fillId="0" borderId="11" xfId="271" applyBorder="1" applyAlignment="1" applyProtection="1">
      <alignment vertical="top" wrapText="1"/>
      <protection locked="0"/>
    </xf>
    <xf numFmtId="168" fontId="24" fillId="5" borderId="11" xfId="271" applyNumberFormat="1" applyFill="1" applyBorder="1" applyAlignment="1" applyProtection="1">
      <alignment vertical="top" wrapText="1"/>
      <protection locked="0"/>
    </xf>
    <xf numFmtId="0" fontId="24" fillId="5" borderId="3" xfId="271" applyFill="1" applyBorder="1" applyAlignment="1" applyProtection="1">
      <alignment vertical="top" wrapText="1"/>
      <protection locked="0"/>
    </xf>
    <xf numFmtId="0" fontId="24" fillId="5" borderId="11" xfId="271" applyFill="1" applyBorder="1" applyAlignment="1" applyProtection="1">
      <alignment vertical="top" wrapText="1"/>
      <protection locked="0"/>
    </xf>
    <xf numFmtId="0" fontId="24" fillId="0" borderId="11" xfId="271" applyBorder="1" applyAlignment="1">
      <alignment horizontal="right" vertical="top" wrapText="1"/>
    </xf>
    <xf numFmtId="168" fontId="24" fillId="0" borderId="11" xfId="271" applyNumberFormat="1" applyBorder="1" applyAlignment="1">
      <alignment vertical="top" wrapText="1"/>
    </xf>
    <xf numFmtId="0" fontId="22" fillId="0" borderId="11" xfId="271" applyFont="1" applyBorder="1" applyAlignment="1">
      <alignment horizontal="right" vertical="top" wrapText="1"/>
    </xf>
    <xf numFmtId="0" fontId="24" fillId="5" borderId="11" xfId="271" applyFill="1" applyBorder="1" applyAlignment="1" applyProtection="1">
      <alignment horizontal="right" vertical="top" wrapText="1"/>
      <protection locked="0"/>
    </xf>
    <xf numFmtId="168" fontId="22" fillId="0" borderId="11" xfId="271" applyNumberFormat="1" applyFont="1" applyBorder="1" applyAlignment="1">
      <alignment vertical="top" wrapText="1"/>
    </xf>
    <xf numFmtId="0" fontId="32" fillId="0" borderId="11" xfId="271" applyFont="1" applyBorder="1" applyAlignment="1">
      <alignment horizontal="right" vertical="top" wrapText="1"/>
    </xf>
    <xf numFmtId="0" fontId="29" fillId="0" borderId="0" xfId="271" applyFont="1" applyAlignment="1" applyProtection="1">
      <alignment horizontal="right" vertical="top" wrapText="1"/>
      <protection locked="0"/>
    </xf>
    <xf numFmtId="0" fontId="29" fillId="0" borderId="0" xfId="271" applyFont="1" applyAlignment="1" applyProtection="1">
      <alignment vertical="top" wrapText="1"/>
      <protection locked="0"/>
    </xf>
    <xf numFmtId="0" fontId="24" fillId="0" borderId="5" xfId="271" applyBorder="1" applyAlignment="1" applyProtection="1">
      <alignment vertical="top" wrapText="1"/>
      <protection locked="0"/>
    </xf>
    <xf numFmtId="0" fontId="22" fillId="0" borderId="3" xfId="271" applyFont="1" applyBorder="1" applyAlignment="1">
      <alignment horizontal="left" vertical="top"/>
    </xf>
    <xf numFmtId="0" fontId="24" fillId="0" borderId="4" xfId="271" applyBorder="1" applyAlignment="1" applyProtection="1">
      <alignment horizontal="left" vertical="top"/>
      <protection locked="0"/>
    </xf>
    <xf numFmtId="0" fontId="24" fillId="0" borderId="4" xfId="271" applyBorder="1" applyAlignment="1" applyProtection="1">
      <alignment vertical="top" wrapText="1"/>
      <protection locked="0"/>
    </xf>
    <xf numFmtId="0" fontId="29" fillId="0" borderId="0" xfId="271" applyFont="1" applyAlignment="1">
      <alignment vertical="top" wrapText="1"/>
    </xf>
    <xf numFmtId="0" fontId="24" fillId="0" borderId="4" xfId="271" applyBorder="1" applyAlignment="1">
      <alignment vertical="top" wrapText="1"/>
    </xf>
    <xf numFmtId="0" fontId="47"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61" fillId="0" borderId="0" xfId="542"/>
    <xf numFmtId="0" fontId="24" fillId="8" borderId="0" xfId="542" quotePrefix="1" applyFont="1" applyFill="1" applyAlignment="1">
      <alignment horizontal="left"/>
    </xf>
    <xf numFmtId="0" fontId="24" fillId="8" borderId="0" xfId="542" applyFont="1" applyFill="1"/>
    <xf numFmtId="0" fontId="32"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4" fillId="0" borderId="0" xfId="271" applyAlignment="1">
      <alignment horizontal="left" vertical="top"/>
    </xf>
    <xf numFmtId="0" fontId="22" fillId="0" borderId="0" xfId="271" applyFont="1" applyAlignment="1">
      <alignment horizontal="right"/>
    </xf>
    <xf numFmtId="0" fontId="23" fillId="0" borderId="0" xfId="271" applyFont="1" applyAlignment="1">
      <alignment horizontal="center"/>
    </xf>
    <xf numFmtId="5" fontId="24" fillId="0" borderId="0" xfId="542" applyNumberFormat="1" applyFont="1"/>
    <xf numFmtId="1" fontId="24" fillId="0" borderId="15" xfId="271" applyNumberFormat="1" applyBorder="1"/>
    <xf numFmtId="1" fontId="24" fillId="0" borderId="14" xfId="271" applyNumberFormat="1" applyBorder="1"/>
    <xf numFmtId="0" fontId="23" fillId="0" borderId="6" xfId="271" applyFont="1" applyBorder="1" applyAlignment="1">
      <alignment horizontal="left"/>
    </xf>
    <xf numFmtId="0" fontId="23" fillId="0" borderId="6" xfId="271" applyFont="1" applyBorder="1" applyAlignment="1">
      <alignment horizontal="right"/>
    </xf>
    <xf numFmtId="165" fontId="24" fillId="0" borderId="0" xfId="271" applyNumberFormat="1"/>
    <xf numFmtId="170" fontId="24" fillId="0" borderId="14" xfId="271" applyNumberFormat="1" applyBorder="1"/>
    <xf numFmtId="1" fontId="22" fillId="0" borderId="11" xfId="271" applyNumberFormat="1" applyFont="1" applyBorder="1"/>
    <xf numFmtId="165" fontId="22" fillId="0" borderId="11" xfId="271" applyNumberFormat="1" applyFont="1" applyBorder="1"/>
    <xf numFmtId="3" fontId="55" fillId="0" borderId="11" xfId="0" applyNumberFormat="1" applyFont="1" applyBorder="1" applyAlignment="1">
      <alignment vertical="top" wrapText="1"/>
    </xf>
    <xf numFmtId="166" fontId="24" fillId="0" borderId="0" xfId="0" applyNumberFormat="1" applyFont="1"/>
    <xf numFmtId="0" fontId="0" fillId="0" borderId="0" xfId="0" applyProtection="1">
      <protection locked="0"/>
    </xf>
    <xf numFmtId="0" fontId="22" fillId="0" borderId="0" xfId="271" applyFont="1" applyAlignment="1">
      <alignment horizontal="left"/>
    </xf>
    <xf numFmtId="0" fontId="20" fillId="0" borderId="0" xfId="0" applyFont="1" applyProtection="1">
      <protection locked="0"/>
    </xf>
    <xf numFmtId="0" fontId="20" fillId="0" borderId="0" xfId="271" applyFont="1" applyProtection="1">
      <protection locked="0"/>
    </xf>
    <xf numFmtId="168" fontId="20" fillId="0" borderId="0" xfId="271" applyNumberFormat="1" applyFont="1" applyProtection="1">
      <protection locked="0"/>
    </xf>
    <xf numFmtId="49" fontId="24" fillId="0" borderId="0" xfId="271" applyNumberFormat="1"/>
    <xf numFmtId="0" fontId="28" fillId="0" borderId="1" xfId="0" applyFont="1" applyBorder="1"/>
    <xf numFmtId="0" fontId="15" fillId="0" borderId="2" xfId="0" applyFont="1" applyBorder="1" applyAlignment="1">
      <alignment horizontal="left"/>
    </xf>
    <xf numFmtId="0" fontId="15" fillId="0" borderId="2" xfId="0" applyFont="1" applyBorder="1"/>
    <xf numFmtId="0" fontId="28" fillId="0" borderId="8" xfId="0" applyFont="1" applyBorder="1"/>
    <xf numFmtId="0" fontId="28" fillId="0" borderId="9" xfId="0" applyFont="1" applyBorder="1"/>
    <xf numFmtId="0" fontId="22"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4" fillId="5" borderId="0" xfId="0" applyNumberFormat="1" applyFont="1" applyFill="1" applyAlignment="1">
      <alignment horizontal="center"/>
    </xf>
    <xf numFmtId="0" fontId="24" fillId="0" borderId="0" xfId="271" applyAlignment="1" applyProtection="1">
      <alignment horizontal="left"/>
      <protection locked="0"/>
    </xf>
    <xf numFmtId="0" fontId="24" fillId="0" borderId="0" xfId="0" applyFont="1" applyAlignment="1" applyProtection="1">
      <alignment horizontal="left"/>
      <protection locked="0"/>
    </xf>
    <xf numFmtId="0" fontId="74" fillId="0" borderId="0" xfId="0" applyFont="1" applyAlignment="1">
      <alignment horizontal="left" vertical="center"/>
    </xf>
    <xf numFmtId="0" fontId="34" fillId="0" borderId="2" xfId="543" applyFont="1" applyBorder="1" applyAlignment="1">
      <alignment horizontal="center" vertical="top" wrapText="1"/>
    </xf>
    <xf numFmtId="49" fontId="45" fillId="0" borderId="0" xfId="0" applyNumberFormat="1" applyFont="1" applyAlignment="1">
      <alignment horizontal="center"/>
    </xf>
    <xf numFmtId="0" fontId="50" fillId="0" borderId="0" xfId="271" applyFont="1" applyAlignment="1">
      <alignment horizontal="center"/>
    </xf>
    <xf numFmtId="49" fontId="24" fillId="0" borderId="0" xfId="271" applyNumberForma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29"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2" fillId="0" borderId="0" xfId="0" applyFont="1" applyAlignment="1">
      <alignment horizontal="left" vertical="top" wrapText="1"/>
    </xf>
    <xf numFmtId="0" fontId="24" fillId="0" borderId="0" xfId="0" applyFont="1" applyAlignment="1">
      <alignment horizontal="right" vertical="top" wrapText="1"/>
    </xf>
    <xf numFmtId="10" fontId="24"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2" fillId="0" borderId="2" xfId="543" applyFont="1" applyBorder="1" applyAlignment="1">
      <alignment horizontal="center"/>
    </xf>
    <xf numFmtId="0" fontId="0" fillId="0" borderId="0" xfId="543" applyFont="1"/>
    <xf numFmtId="0" fontId="16"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2" fillId="8" borderId="11" xfId="542" applyFont="1" applyFill="1" applyBorder="1" applyAlignment="1">
      <alignment horizontal="left"/>
    </xf>
    <xf numFmtId="0" fontId="22"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2" fillId="0" borderId="0" xfId="271" applyFont="1" applyAlignment="1" applyProtection="1">
      <alignment horizontal="center" wrapText="1"/>
      <protection locked="0"/>
    </xf>
    <xf numFmtId="0" fontId="24" fillId="0" borderId="0" xfId="271" applyAlignment="1" applyProtection="1">
      <alignment vertical="top" wrapText="1"/>
      <protection locked="0"/>
    </xf>
    <xf numFmtId="0" fontId="22" fillId="0" borderId="0" xfId="271" applyFont="1" applyAlignment="1" applyProtection="1">
      <alignment vertical="top" wrapText="1"/>
      <protection locked="0"/>
    </xf>
    <xf numFmtId="0" fontId="22" fillId="0" borderId="8" xfId="271" applyFont="1" applyBorder="1" applyAlignment="1" applyProtection="1">
      <alignment horizontal="center" wrapText="1"/>
      <protection locked="0"/>
    </xf>
    <xf numFmtId="0" fontId="24" fillId="0" borderId="8" xfId="271" applyBorder="1" applyAlignment="1" applyProtection="1">
      <alignment vertical="top" wrapText="1"/>
      <protection locked="0"/>
    </xf>
    <xf numFmtId="0" fontId="22" fillId="0" borderId="8" xfId="271" applyFont="1" applyBorder="1" applyAlignment="1" applyProtection="1">
      <alignment vertical="top" wrapText="1"/>
      <protection locked="0"/>
    </xf>
    <xf numFmtId="0" fontId="15" fillId="0" borderId="0" xfId="0" applyFont="1" applyAlignment="1">
      <alignment horizontal="center"/>
    </xf>
    <xf numFmtId="0" fontId="29" fillId="0" borderId="8" xfId="569" applyFont="1" applyBorder="1" applyAlignment="1">
      <alignment vertical="top" wrapText="1"/>
    </xf>
    <xf numFmtId="0" fontId="29"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8"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2"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0" fillId="0" borderId="0" xfId="569" applyFont="1" applyAlignment="1">
      <alignment vertical="top" wrapText="1"/>
    </xf>
    <xf numFmtId="0" fontId="30" fillId="0" borderId="12" xfId="569" applyFont="1" applyBorder="1" applyAlignment="1">
      <alignment vertical="top" wrapText="1"/>
    </xf>
    <xf numFmtId="0" fontId="30"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5" fillId="0" borderId="0" xfId="569" applyAlignment="1">
      <alignment vertical="top" wrapText="1"/>
    </xf>
    <xf numFmtId="0" fontId="15" fillId="0" borderId="0" xfId="569" applyAlignment="1">
      <alignment vertical="top"/>
    </xf>
    <xf numFmtId="0" fontId="52" fillId="0" borderId="0" xfId="569" applyFont="1" applyAlignment="1">
      <alignment horizontal="right" vertical="top" wrapText="1"/>
    </xf>
    <xf numFmtId="0" fontId="22" fillId="0" borderId="0" xfId="569" applyFont="1" applyAlignment="1">
      <alignment horizontal="left" vertical="top" wrapText="1"/>
    </xf>
    <xf numFmtId="168" fontId="52" fillId="0" borderId="0" xfId="569" applyNumberFormat="1" applyFont="1" applyAlignment="1">
      <alignment horizontal="right" vertical="top" wrapText="1"/>
    </xf>
    <xf numFmtId="0" fontId="15" fillId="0" borderId="0" xfId="569" applyAlignment="1" applyProtection="1">
      <alignment horizontal="left" vertical="top" wrapText="1"/>
      <protection locked="0"/>
    </xf>
    <xf numFmtId="0" fontId="15" fillId="0" borderId="0" xfId="569" applyAlignment="1">
      <alignment horizontal="right" vertical="top" wrapText="1"/>
    </xf>
    <xf numFmtId="0" fontId="15"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29"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5" fillId="0" borderId="0" xfId="569"/>
    <xf numFmtId="0" fontId="21" fillId="0" borderId="0" xfId="569" applyFont="1" applyAlignment="1">
      <alignment horizontal="center" vertical="center"/>
    </xf>
    <xf numFmtId="0" fontId="22" fillId="0" borderId="0" xfId="569" applyFont="1"/>
    <xf numFmtId="0" fontId="15" fillId="0" borderId="1" xfId="569" applyBorder="1"/>
    <xf numFmtId="0" fontId="15" fillId="0" borderId="2" xfId="569" applyBorder="1"/>
    <xf numFmtId="0" fontId="15" fillId="0" borderId="8" xfId="569" applyBorder="1"/>
    <xf numFmtId="0" fontId="15" fillId="0" borderId="9" xfId="569" applyBorder="1"/>
    <xf numFmtId="0" fontId="15" fillId="0" borderId="6" xfId="569" applyBorder="1"/>
    <xf numFmtId="0" fontId="23" fillId="0" borderId="0" xfId="569" applyFont="1"/>
    <xf numFmtId="0" fontId="15" fillId="0" borderId="7" xfId="569" applyBorder="1"/>
    <xf numFmtId="0" fontId="15" fillId="0" borderId="12" xfId="569" applyBorder="1"/>
    <xf numFmtId="0" fontId="15" fillId="0" borderId="10" xfId="569" applyBorder="1"/>
    <xf numFmtId="0" fontId="23" fillId="0" borderId="0" xfId="569" applyFont="1" applyAlignment="1">
      <alignment vertical="top" wrapText="1"/>
    </xf>
    <xf numFmtId="0" fontId="15" fillId="0" borderId="0" xfId="569" applyAlignment="1">
      <alignment horizontal="right"/>
    </xf>
    <xf numFmtId="0" fontId="15" fillId="0" borderId="0" xfId="569" applyAlignment="1">
      <alignment wrapText="1"/>
    </xf>
    <xf numFmtId="0" fontId="15" fillId="0" borderId="0" xfId="569" applyAlignment="1">
      <alignment vertical="center"/>
    </xf>
    <xf numFmtId="0" fontId="39" fillId="0" borderId="0" xfId="569" applyFont="1" applyAlignment="1">
      <alignment vertical="center" wrapText="1"/>
    </xf>
    <xf numFmtId="0" fontId="33" fillId="0" borderId="0" xfId="569" applyFont="1" applyAlignment="1">
      <alignment vertical="top" wrapText="1"/>
    </xf>
    <xf numFmtId="0" fontId="22" fillId="0" borderId="0" xfId="569" applyFont="1" applyAlignment="1">
      <alignment vertical="top" wrapText="1"/>
    </xf>
    <xf numFmtId="0" fontId="23" fillId="0" borderId="0" xfId="569" applyFont="1" applyAlignment="1">
      <alignment horizontal="left" vertical="top" wrapText="1"/>
    </xf>
    <xf numFmtId="164" fontId="15" fillId="0" borderId="0" xfId="569" applyNumberFormat="1" applyAlignment="1">
      <alignment horizontal="right"/>
    </xf>
    <xf numFmtId="168" fontId="15" fillId="0" borderId="0" xfId="569" applyNumberFormat="1" applyAlignment="1">
      <alignment horizontal="right"/>
    </xf>
    <xf numFmtId="0" fontId="106" fillId="0" borderId="0" xfId="569" applyFont="1" applyAlignment="1">
      <alignment horizontal="left" vertical="top" wrapText="1"/>
    </xf>
    <xf numFmtId="168" fontId="15" fillId="0" borderId="0" xfId="569" applyNumberFormat="1" applyAlignment="1">
      <alignment wrapText="1"/>
    </xf>
    <xf numFmtId="0" fontId="20" fillId="0" borderId="11" xfId="253" applyFont="1" applyBorder="1" applyAlignment="1">
      <alignment horizontal="center" wrapText="1"/>
    </xf>
    <xf numFmtId="0" fontId="20" fillId="0" borderId="0" xfId="253" applyFont="1" applyAlignment="1">
      <alignment horizontal="center" wrapText="1"/>
    </xf>
    <xf numFmtId="3" fontId="20" fillId="0" borderId="11" xfId="271" applyNumberFormat="1" applyFont="1" applyBorder="1"/>
    <xf numFmtId="3" fontId="20"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0" fillId="0" borderId="11" xfId="271" applyNumberFormat="1" applyFont="1" applyBorder="1"/>
    <xf numFmtId="168" fontId="20" fillId="0" borderId="0" xfId="271" applyNumberFormat="1" applyFont="1"/>
    <xf numFmtId="0" fontId="20" fillId="0" borderId="0" xfId="271" applyFont="1"/>
    <xf numFmtId="0" fontId="52" fillId="0" borderId="0" xfId="569" applyFont="1" applyAlignment="1">
      <alignment horizontal="left"/>
    </xf>
    <xf numFmtId="0" fontId="15" fillId="0" borderId="3" xfId="569" applyBorder="1"/>
    <xf numFmtId="0" fontId="0" fillId="5" borderId="6" xfId="0" applyFill="1" applyBorder="1" applyProtection="1">
      <protection locked="0"/>
    </xf>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5" fillId="0" borderId="0" xfId="1192" applyNumberFormat="1" applyAlignment="1">
      <alignment horizontal="left" vertical="top" wrapText="1"/>
    </xf>
    <xf numFmtId="0" fontId="15" fillId="0" borderId="0" xfId="0" applyFont="1" applyAlignment="1">
      <alignment horizontal="left" vertical="top" wrapText="1"/>
    </xf>
    <xf numFmtId="0" fontId="15" fillId="0" borderId="0" xfId="271" applyFont="1" applyAlignment="1">
      <alignment horizontal="left" vertical="top" wrapText="1"/>
    </xf>
    <xf numFmtId="0" fontId="22" fillId="0" borderId="12" xfId="543" applyFont="1" applyBorder="1" applyAlignment="1">
      <alignment horizontal="right"/>
    </xf>
    <xf numFmtId="0" fontId="34" fillId="0" borderId="0" xfId="543" applyFont="1" applyAlignment="1">
      <alignment horizontal="center"/>
    </xf>
    <xf numFmtId="4" fontId="15" fillId="0" borderId="0" xfId="569" applyNumberFormat="1" applyAlignment="1">
      <alignment horizontal="left"/>
    </xf>
    <xf numFmtId="0" fontId="15" fillId="0" borderId="0" xfId="569" applyAlignment="1">
      <alignment horizontal="left" vertical="top" wrapText="1"/>
    </xf>
    <xf numFmtId="0" fontId="15" fillId="0" borderId="0" xfId="569" applyAlignment="1">
      <alignment horizontal="left"/>
    </xf>
    <xf numFmtId="0" fontId="15" fillId="0" borderId="0" xfId="1192" applyAlignment="1">
      <alignment horizontal="left"/>
    </xf>
    <xf numFmtId="0" fontId="22" fillId="0" borderId="0" xfId="569" applyFont="1" applyAlignment="1">
      <alignment horizontal="left"/>
    </xf>
    <xf numFmtId="0" fontId="44" fillId="0" borderId="0" xfId="1192" applyFont="1"/>
    <xf numFmtId="0" fontId="52" fillId="0" borderId="11" xfId="0" applyFont="1" applyBorder="1" applyAlignment="1">
      <alignment horizontal="right" vertical="center"/>
    </xf>
    <xf numFmtId="0" fontId="15" fillId="0" borderId="0" xfId="1192" applyAlignment="1">
      <alignment horizontal="left" vertical="top" wrapText="1"/>
    </xf>
    <xf numFmtId="0" fontId="44" fillId="0" borderId="0" xfId="0" applyFont="1" applyAlignment="1">
      <alignment vertical="top" wrapText="1"/>
    </xf>
    <xf numFmtId="0" fontId="44" fillId="0" borderId="0" xfId="0" applyFont="1" applyAlignment="1">
      <alignment horizontal="left" vertical="top" wrapText="1"/>
    </xf>
    <xf numFmtId="6" fontId="53" fillId="0" borderId="0" xfId="569" applyNumberFormat="1" applyFont="1" applyAlignment="1">
      <alignment horizontal="right" vertical="top"/>
    </xf>
    <xf numFmtId="0" fontId="15" fillId="0" borderId="0" xfId="0" applyFont="1" applyAlignment="1">
      <alignment vertical="top" wrapText="1"/>
    </xf>
    <xf numFmtId="168" fontId="24" fillId="0" borderId="0" xfId="0" applyNumberFormat="1" applyFont="1" applyAlignment="1">
      <alignment horizontal="right"/>
    </xf>
    <xf numFmtId="168" fontId="24" fillId="0" borderId="28" xfId="540" applyNumberFormat="1" applyBorder="1" applyAlignment="1" applyProtection="1">
      <alignment horizontal="center"/>
    </xf>
    <xf numFmtId="168" fontId="24" fillId="0" borderId="29" xfId="540" applyNumberFormat="1" applyBorder="1" applyAlignment="1" applyProtection="1">
      <alignment horizontal="center"/>
    </xf>
    <xf numFmtId="168" fontId="24" fillId="0" borderId="30" xfId="540" applyNumberFormat="1" applyBorder="1" applyAlignment="1" applyProtection="1">
      <alignment horizontal="center"/>
    </xf>
    <xf numFmtId="168" fontId="24" fillId="0" borderId="31" xfId="540" applyNumberFormat="1" applyBorder="1" applyAlignment="1" applyProtection="1">
      <alignment horizontal="center"/>
    </xf>
    <xf numFmtId="168" fontId="24" fillId="0" borderId="32" xfId="540" applyNumberFormat="1" applyBorder="1" applyAlignment="1" applyProtection="1">
      <alignment horizontal="center"/>
    </xf>
    <xf numFmtId="168" fontId="24" fillId="0" borderId="33" xfId="540" applyNumberFormat="1" applyBorder="1" applyAlignment="1" applyProtection="1">
      <alignment horizontal="center"/>
    </xf>
    <xf numFmtId="168" fontId="24" fillId="0" borderId="34" xfId="540" applyNumberFormat="1" applyBorder="1" applyAlignment="1" applyProtection="1">
      <alignment horizontal="center"/>
    </xf>
    <xf numFmtId="168" fontId="24" fillId="0" borderId="35" xfId="540" applyNumberFormat="1" applyBorder="1" applyAlignment="1" applyProtection="1">
      <alignment horizontal="center"/>
    </xf>
    <xf numFmtId="168" fontId="24" fillId="0" borderId="36" xfId="540" applyNumberFormat="1" applyBorder="1" applyAlignment="1" applyProtection="1">
      <alignment horizontal="center"/>
    </xf>
    <xf numFmtId="168" fontId="24" fillId="0" borderId="37" xfId="540" applyNumberFormat="1" applyBorder="1" applyAlignment="1" applyProtection="1">
      <alignment horizontal="center"/>
    </xf>
    <xf numFmtId="168" fontId="24" fillId="0" borderId="38" xfId="540" applyNumberFormat="1" applyBorder="1" applyAlignment="1" applyProtection="1">
      <alignment horizontal="center"/>
    </xf>
    <xf numFmtId="168" fontId="24" fillId="0" borderId="39" xfId="540" applyNumberFormat="1" applyBorder="1" applyAlignment="1" applyProtection="1">
      <alignment horizontal="center"/>
    </xf>
    <xf numFmtId="168" fontId="24" fillId="0" borderId="40" xfId="540" applyNumberFormat="1" applyBorder="1" applyAlignment="1" applyProtection="1">
      <alignment horizontal="center"/>
    </xf>
    <xf numFmtId="168" fontId="24" fillId="0" borderId="0" xfId="540" applyNumberFormat="1" applyAlignment="1" applyProtection="1">
      <alignment horizontal="center"/>
    </xf>
    <xf numFmtId="168" fontId="24" fillId="0" borderId="14" xfId="540" applyNumberFormat="1" applyBorder="1" applyAlignment="1" applyProtection="1">
      <alignment horizontal="center"/>
    </xf>
    <xf numFmtId="168" fontId="24" fillId="0" borderId="41" xfId="540" applyNumberFormat="1" applyBorder="1" applyAlignment="1" applyProtection="1">
      <alignment horizontal="center"/>
    </xf>
    <xf numFmtId="168" fontId="24" fillId="0" borderId="42" xfId="540" applyNumberFormat="1" applyBorder="1" applyAlignment="1" applyProtection="1">
      <alignment horizontal="center"/>
    </xf>
    <xf numFmtId="168" fontId="24" fillId="0" borderId="43" xfId="540" applyNumberFormat="1" applyBorder="1" applyAlignment="1" applyProtection="1">
      <alignment horizontal="center"/>
    </xf>
    <xf numFmtId="168" fontId="24" fillId="0" borderId="44" xfId="540" applyNumberFormat="1" applyBorder="1" applyAlignment="1" applyProtection="1">
      <alignment horizontal="center"/>
    </xf>
    <xf numFmtId="0" fontId="15" fillId="0" borderId="0" xfId="1192"/>
    <xf numFmtId="0" fontId="15" fillId="0" borderId="0" xfId="0" applyFont="1" applyAlignment="1">
      <alignment wrapText="1"/>
    </xf>
    <xf numFmtId="0" fontId="44" fillId="0" borderId="0" xfId="0" applyFont="1" applyAlignment="1">
      <alignment horizontal="left" vertical="top"/>
    </xf>
    <xf numFmtId="0" fontId="44" fillId="0" borderId="0" xfId="0" applyFont="1" applyAlignment="1">
      <alignment vertical="top"/>
    </xf>
    <xf numFmtId="0" fontId="15" fillId="0" borderId="0" xfId="569" applyAlignment="1">
      <alignment horizontal="center"/>
    </xf>
    <xf numFmtId="0" fontId="33" fillId="0" borderId="0" xfId="569" applyFont="1" applyAlignment="1">
      <alignment horizontal="left"/>
    </xf>
    <xf numFmtId="0" fontId="33" fillId="0" borderId="0" xfId="569" applyFont="1" applyAlignment="1">
      <alignment horizontal="center"/>
    </xf>
    <xf numFmtId="49" fontId="22" fillId="0" borderId="0" xfId="569" applyNumberFormat="1" applyFont="1" applyAlignment="1">
      <alignment horizontal="center"/>
    </xf>
    <xf numFmtId="0" fontId="50" fillId="0" borderId="0" xfId="569" applyFont="1" applyAlignment="1">
      <alignment horizontal="center"/>
    </xf>
    <xf numFmtId="0" fontId="15" fillId="5" borderId="6" xfId="569" applyFill="1" applyBorder="1" applyProtection="1">
      <protection locked="0"/>
    </xf>
    <xf numFmtId="0" fontId="16" fillId="0" borderId="0" xfId="244" applyAlignment="1" applyProtection="1">
      <alignment horizontal="center"/>
    </xf>
    <xf numFmtId="49" fontId="15" fillId="0" borderId="0" xfId="569" applyNumberFormat="1" applyAlignment="1">
      <alignment horizontal="center"/>
    </xf>
    <xf numFmtId="0" fontId="15" fillId="0" borderId="0" xfId="569" applyAlignment="1">
      <alignment horizontal="center" vertical="center"/>
    </xf>
    <xf numFmtId="0" fontId="15" fillId="0" borderId="0" xfId="1192" applyAlignment="1">
      <alignment horizontal="center"/>
    </xf>
    <xf numFmtId="0" fontId="22" fillId="0" borderId="0" xfId="569" applyFont="1" applyAlignment="1">
      <alignment horizontal="center"/>
    </xf>
    <xf numFmtId="0" fontId="15" fillId="0" borderId="0" xfId="569" applyAlignment="1">
      <alignment horizontal="left" indent="4"/>
    </xf>
    <xf numFmtId="0" fontId="15" fillId="0" borderId="0" xfId="569" quotePrefix="1" applyAlignment="1">
      <alignment horizontal="left"/>
    </xf>
    <xf numFmtId="0" fontId="33" fillId="0" borderId="0" xfId="569" applyFont="1"/>
    <xf numFmtId="0" fontId="15" fillId="0" borderId="0" xfId="1192" applyAlignment="1" applyProtection="1">
      <alignment horizontal="left"/>
      <protection locked="0"/>
    </xf>
    <xf numFmtId="0" fontId="15" fillId="0" borderId="0" xfId="569" applyAlignment="1" applyProtection="1">
      <alignment horizontal="left"/>
      <protection locked="0"/>
    </xf>
    <xf numFmtId="49" fontId="15" fillId="0" borderId="0" xfId="1192" applyNumberFormat="1" applyAlignment="1">
      <alignment horizontal="center"/>
    </xf>
    <xf numFmtId="0" fontId="50" fillId="0" borderId="0" xfId="1192" applyFont="1" applyAlignment="1">
      <alignment horizontal="center"/>
    </xf>
    <xf numFmtId="0" fontId="22" fillId="0" borderId="0" xfId="1192" applyFont="1" applyAlignment="1">
      <alignment horizontal="left"/>
    </xf>
    <xf numFmtId="4" fontId="15" fillId="0" borderId="0" xfId="1192" applyNumberFormat="1" applyAlignment="1">
      <alignment horizontal="left"/>
    </xf>
    <xf numFmtId="0" fontId="22" fillId="0" borderId="0" xfId="569" quotePrefix="1" applyFont="1" applyAlignment="1">
      <alignment horizontal="center"/>
    </xf>
    <xf numFmtId="49" fontId="15" fillId="0" borderId="0" xfId="569" applyNumberFormat="1"/>
    <xf numFmtId="0" fontId="47" fillId="0" borderId="0" xfId="569" applyFont="1" applyAlignment="1">
      <alignment horizontal="left"/>
    </xf>
    <xf numFmtId="4" fontId="50" fillId="0" borderId="0" xfId="569" applyNumberFormat="1" applyFont="1" applyAlignment="1">
      <alignment horizontal="center"/>
    </xf>
    <xf numFmtId="4" fontId="15" fillId="0" borderId="0" xfId="569" applyNumberFormat="1" applyAlignment="1">
      <alignment horizontal="center"/>
    </xf>
    <xf numFmtId="4" fontId="15" fillId="0" borderId="0" xfId="569" applyNumberFormat="1"/>
    <xf numFmtId="0" fontId="45" fillId="0" borderId="0" xfId="569" applyFont="1" applyAlignment="1">
      <alignment horizontal="left"/>
    </xf>
    <xf numFmtId="0" fontId="16"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5" fillId="0" borderId="11" xfId="271" applyFont="1" applyBorder="1" applyAlignment="1">
      <alignment horizontal="right" vertical="top" wrapText="1"/>
    </xf>
    <xf numFmtId="0" fontId="23"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3"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5" fillId="0" borderId="0" xfId="271" applyFont="1" applyAlignment="1">
      <alignment horizontal="left" vertical="top"/>
    </xf>
    <xf numFmtId="0" fontId="52" fillId="0" borderId="0" xfId="569" applyFont="1"/>
    <xf numFmtId="0" fontId="15" fillId="0" borderId="0" xfId="0" applyFont="1" applyAlignment="1">
      <alignment horizontal="left" vertical="top"/>
    </xf>
    <xf numFmtId="4" fontId="15" fillId="0" borderId="0" xfId="1192" applyNumberFormat="1" applyAlignment="1">
      <alignment vertical="top" wrapText="1"/>
    </xf>
    <xf numFmtId="0" fontId="22" fillId="0" borderId="16" xfId="271" applyFont="1" applyBorder="1"/>
    <xf numFmtId="0" fontId="59" fillId="0" borderId="0" xfId="569" applyFont="1"/>
    <xf numFmtId="0" fontId="39" fillId="0" borderId="0" xfId="569" applyFont="1"/>
    <xf numFmtId="0" fontId="15" fillId="0" borderId="0" xfId="1192" applyAlignment="1">
      <alignment vertical="top" wrapText="1"/>
    </xf>
    <xf numFmtId="49" fontId="15" fillId="0" borderId="0" xfId="1192" applyNumberFormat="1" applyAlignment="1">
      <alignment vertical="top" wrapText="1"/>
    </xf>
    <xf numFmtId="0" fontId="54" fillId="0" borderId="9" xfId="543" applyFont="1" applyBorder="1" applyAlignment="1">
      <alignment vertical="top"/>
    </xf>
    <xf numFmtId="0" fontId="15"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5" fillId="0" borderId="8" xfId="543" applyNumberFormat="1" applyBorder="1"/>
    <xf numFmtId="0" fontId="15" fillId="0" borderId="8" xfId="4495" applyFont="1" applyBorder="1"/>
    <xf numFmtId="0" fontId="15" fillId="0" borderId="0" xfId="4495" applyFont="1"/>
    <xf numFmtId="0" fontId="21" fillId="0" borderId="0" xfId="4495" applyFont="1" applyAlignment="1">
      <alignment horizontal="center" vertical="center"/>
    </xf>
    <xf numFmtId="0" fontId="22" fillId="0" borderId="0" xfId="4495" applyFont="1" applyAlignment="1">
      <alignment horizontal="left"/>
    </xf>
    <xf numFmtId="0" fontId="22" fillId="0" borderId="0" xfId="4495" applyFont="1"/>
    <xf numFmtId="0" fontId="25" fillId="0" borderId="0" xfId="4495" applyFont="1" applyAlignment="1">
      <alignment horizontal="center" vertical="center"/>
    </xf>
    <xf numFmtId="0" fontId="25" fillId="0" borderId="27" xfId="4495" applyFont="1" applyBorder="1" applyAlignment="1">
      <alignment horizontal="center" vertical="center"/>
    </xf>
    <xf numFmtId="0" fontId="25" fillId="0" borderId="46" xfId="4495" applyFont="1" applyBorder="1" applyAlignment="1">
      <alignment horizontal="center" vertical="center"/>
    </xf>
    <xf numFmtId="0" fontId="22" fillId="0" borderId="0" xfId="4495" applyFont="1" applyAlignment="1">
      <alignment horizontal="right"/>
    </xf>
    <xf numFmtId="0" fontId="33" fillId="0" borderId="0" xfId="4495" applyFont="1" applyAlignment="1">
      <alignment horizontal="left" vertical="center"/>
    </xf>
    <xf numFmtId="0" fontId="15" fillId="0" borderId="0" xfId="1192" quotePrefix="1" applyAlignment="1">
      <alignment horizontal="center"/>
    </xf>
    <xf numFmtId="0" fontId="45" fillId="0" borderId="0" xfId="4495" applyFont="1" applyAlignment="1">
      <alignment horizontal="left" vertical="center"/>
    </xf>
    <xf numFmtId="49" fontId="23" fillId="0" borderId="0" xfId="4495" applyNumberFormat="1" applyFont="1" applyAlignment="1">
      <alignment horizontal="left" vertical="top"/>
    </xf>
    <xf numFmtId="0" fontId="15" fillId="0" borderId="47" xfId="4495" applyFont="1" applyBorder="1" applyAlignment="1">
      <alignment horizontal="left" vertical="center"/>
    </xf>
    <xf numFmtId="0" fontId="25" fillId="0" borderId="48" xfId="4495" applyFont="1" applyBorder="1" applyAlignment="1">
      <alignment horizontal="center" vertical="center"/>
    </xf>
    <xf numFmtId="0" fontId="23" fillId="0" borderId="0" xfId="4495" applyFont="1"/>
    <xf numFmtId="0" fontId="23"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5"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5" fillId="0" borderId="0" xfId="4496" applyFont="1" applyAlignment="1">
      <alignment vertical="center"/>
    </xf>
    <xf numFmtId="0" fontId="23" fillId="0" borderId="3" xfId="4495" applyFont="1" applyBorder="1" applyAlignment="1">
      <alignment vertical="top" wrapText="1"/>
    </xf>
    <xf numFmtId="0" fontId="23" fillId="0" borderId="4" xfId="4495" applyFont="1" applyBorder="1" applyAlignment="1">
      <alignment vertical="top" wrapText="1"/>
    </xf>
    <xf numFmtId="164" fontId="119" fillId="0" borderId="4" xfId="4495" applyNumberFormat="1" applyBorder="1" applyAlignment="1">
      <alignment horizontal="right"/>
    </xf>
    <xf numFmtId="0" fontId="23" fillId="0" borderId="4" xfId="4495" applyFont="1" applyBorder="1"/>
    <xf numFmtId="0" fontId="22" fillId="0" borderId="5" xfId="4495" applyFont="1" applyBorder="1" applyAlignment="1">
      <alignment horizontal="right"/>
    </xf>
    <xf numFmtId="0" fontId="15" fillId="0" borderId="16" xfId="4495" applyFont="1" applyBorder="1"/>
    <xf numFmtId="0" fontId="15" fillId="0" borderId="16" xfId="4495" applyFont="1" applyBorder="1" applyAlignment="1">
      <alignment horizontal="left" vertical="top"/>
    </xf>
    <xf numFmtId="0" fontId="23" fillId="0" borderId="16" xfId="4495" applyFont="1" applyBorder="1" applyAlignment="1">
      <alignment horizontal="left" vertical="top" wrapText="1"/>
    </xf>
    <xf numFmtId="0" fontId="23" fillId="0" borderId="45" xfId="4495" applyFont="1" applyBorder="1" applyAlignment="1">
      <alignment horizontal="left" vertical="top" wrapText="1"/>
    </xf>
    <xf numFmtId="0" fontId="119" fillId="0" borderId="0" xfId="4495"/>
    <xf numFmtId="0" fontId="16" fillId="0" borderId="0" xfId="244" applyFill="1" applyBorder="1" applyAlignment="1" applyProtection="1">
      <alignment horizontal="left" vertical="top"/>
    </xf>
    <xf numFmtId="0" fontId="16" fillId="0" borderId="0" xfId="244" applyFill="1" applyBorder="1" applyAlignment="1" applyProtection="1">
      <alignment horizontal="left" vertical="top" wrapText="1"/>
    </xf>
    <xf numFmtId="0" fontId="23" fillId="0" borderId="0" xfId="4495" applyFont="1" applyAlignment="1">
      <alignment horizontal="left" vertical="top" wrapText="1"/>
    </xf>
    <xf numFmtId="0" fontId="23" fillId="0" borderId="0" xfId="4495" applyFont="1" applyAlignment="1">
      <alignment horizontal="right" vertical="top"/>
    </xf>
    <xf numFmtId="0" fontId="15"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2" fillId="0" borderId="57" xfId="4495" applyFont="1" applyBorder="1"/>
    <xf numFmtId="0" fontId="22" fillId="0" borderId="58" xfId="4495" applyFont="1" applyBorder="1"/>
    <xf numFmtId="0" fontId="22" fillId="0" borderId="58" xfId="4495" applyFont="1" applyBorder="1" applyAlignment="1">
      <alignment horizontal="right"/>
    </xf>
    <xf numFmtId="0" fontId="22"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5" fillId="0" borderId="57" xfId="4495" applyFont="1" applyBorder="1" applyAlignment="1">
      <alignment horizontal="center" vertical="center"/>
    </xf>
    <xf numFmtId="0" fontId="25" fillId="0" borderId="58" xfId="4495" applyFont="1" applyBorder="1" applyAlignment="1">
      <alignment horizontal="center" vertical="center"/>
    </xf>
    <xf numFmtId="0" fontId="25" fillId="0" borderId="59" xfId="4495" applyFont="1" applyBorder="1" applyAlignment="1">
      <alignment horizontal="center" vertical="center"/>
    </xf>
    <xf numFmtId="0" fontId="22" fillId="0" borderId="0" xfId="4495" applyFont="1" applyAlignment="1">
      <alignment horizontal="center"/>
    </xf>
    <xf numFmtId="0" fontId="22" fillId="0" borderId="8" xfId="4495" applyFont="1" applyBorder="1"/>
    <xf numFmtId="0" fontId="23" fillId="0" borderId="0" xfId="4495" applyFont="1" applyAlignment="1">
      <alignment horizontal="left"/>
    </xf>
    <xf numFmtId="0" fontId="22" fillId="0" borderId="0" xfId="4495" applyFont="1" applyAlignment="1">
      <alignment horizontal="center" vertical="top"/>
    </xf>
    <xf numFmtId="0" fontId="15" fillId="0" borderId="0" xfId="4495" applyFont="1" applyAlignment="1">
      <alignment horizontal="center"/>
    </xf>
    <xf numFmtId="0" fontId="31" fillId="0" borderId="0" xfId="4495" applyFont="1"/>
    <xf numFmtId="0" fontId="23" fillId="0" borderId="8" xfId="4495" applyFont="1" applyBorder="1"/>
    <xf numFmtId="0" fontId="52" fillId="0" borderId="8" xfId="4495" applyFont="1" applyBorder="1"/>
    <xf numFmtId="1" fontId="15" fillId="0" borderId="0" xfId="1192" applyNumberFormat="1"/>
    <xf numFmtId="0" fontId="15" fillId="0" borderId="3" xfId="4495" applyFont="1" applyBorder="1"/>
    <xf numFmtId="0" fontId="15" fillId="0" borderId="4" xfId="4495" applyFont="1" applyBorder="1"/>
    <xf numFmtId="0" fontId="15" fillId="0" borderId="0" xfId="1192" applyAlignment="1">
      <alignment wrapText="1"/>
    </xf>
    <xf numFmtId="0" fontId="23" fillId="0" borderId="0" xfId="4495" applyFont="1" applyAlignment="1">
      <alignment vertical="top" wrapText="1"/>
    </xf>
    <xf numFmtId="0" fontId="23" fillId="0" borderId="0" xfId="1192" applyFont="1"/>
    <xf numFmtId="0" fontId="15" fillId="0" borderId="0" xfId="4495" applyFont="1" applyAlignment="1">
      <alignment horizontal="left"/>
    </xf>
    <xf numFmtId="0" fontId="23" fillId="0" borderId="3" xfId="4495" applyFont="1" applyBorder="1"/>
    <xf numFmtId="0" fontId="15" fillId="0" borderId="4" xfId="4495" applyFont="1" applyBorder="1" applyAlignment="1">
      <alignment horizontal="right"/>
    </xf>
    <xf numFmtId="1" fontId="15" fillId="0" borderId="0" xfId="4495" applyNumberFormat="1" applyFont="1" applyAlignment="1">
      <alignment horizontal="center"/>
    </xf>
    <xf numFmtId="0" fontId="52" fillId="0" borderId="0" xfId="4495" applyFont="1"/>
    <xf numFmtId="0" fontId="15" fillId="0" borderId="0" xfId="4495" applyFont="1" applyAlignment="1">
      <alignment horizontal="right"/>
    </xf>
    <xf numFmtId="0" fontId="23" fillId="0" borderId="0" xfId="4495" applyFont="1" applyAlignment="1">
      <alignment vertical="top"/>
    </xf>
    <xf numFmtId="0" fontId="23" fillId="0" borderId="27" xfId="4495" applyFont="1" applyBorder="1"/>
    <xf numFmtId="0" fontId="22" fillId="0" borderId="0" xfId="4495" applyFont="1" applyAlignment="1">
      <alignment vertical="top"/>
    </xf>
    <xf numFmtId="0" fontId="33" fillId="0" borderId="0" xfId="4495" applyFont="1" applyAlignment="1">
      <alignment vertical="top" wrapText="1"/>
    </xf>
    <xf numFmtId="0" fontId="22" fillId="0" borderId="0" xfId="4495" applyFont="1" applyAlignment="1">
      <alignment horizontal="left" vertical="top" wrapText="1"/>
    </xf>
    <xf numFmtId="0" fontId="15" fillId="0" borderId="0" xfId="4495" applyFont="1" applyAlignment="1">
      <alignment horizontal="left" vertical="top"/>
    </xf>
    <xf numFmtId="0" fontId="33" fillId="0" borderId="0" xfId="4495" applyFont="1" applyAlignment="1">
      <alignment vertical="top"/>
    </xf>
    <xf numFmtId="0" fontId="15" fillId="0" borderId="10" xfId="4495" applyFont="1" applyBorder="1" applyAlignment="1">
      <alignment horizontal="center"/>
    </xf>
    <xf numFmtId="0" fontId="15" fillId="0" borderId="16" xfId="4495" applyFont="1" applyBorder="1" applyAlignment="1">
      <alignment horizontal="center"/>
    </xf>
    <xf numFmtId="0" fontId="31" fillId="0" borderId="16" xfId="4495" applyFont="1" applyBorder="1"/>
    <xf numFmtId="0" fontId="23" fillId="0" borderId="16" xfId="4495" applyFont="1" applyBorder="1"/>
    <xf numFmtId="0" fontId="15" fillId="0" borderId="0" xfId="4496" applyFont="1" applyAlignment="1">
      <alignment vertical="top" wrapText="1"/>
    </xf>
    <xf numFmtId="0" fontId="22" fillId="0" borderId="0" xfId="1192" applyFont="1" applyAlignment="1">
      <alignment horizontal="right"/>
    </xf>
    <xf numFmtId="0" fontId="15" fillId="0" borderId="0" xfId="4496" applyFont="1"/>
    <xf numFmtId="0" fontId="15" fillId="0" borderId="0" xfId="4496" applyFont="1" applyAlignment="1">
      <alignment horizontal="left"/>
    </xf>
    <xf numFmtId="0" fontId="15" fillId="0" borderId="0" xfId="4496" applyFont="1" applyAlignment="1">
      <alignment horizontal="right"/>
    </xf>
    <xf numFmtId="0" fontId="23" fillId="0" borderId="0" xfId="4496" applyFont="1" applyAlignment="1">
      <alignment vertical="top" wrapText="1"/>
    </xf>
    <xf numFmtId="0" fontId="15" fillId="0" borderId="4" xfId="4496" applyFont="1" applyBorder="1"/>
    <xf numFmtId="0" fontId="22" fillId="0" borderId="4" xfId="4496" applyFont="1" applyBorder="1" applyAlignment="1">
      <alignment horizontal="right"/>
    </xf>
    <xf numFmtId="0" fontId="23" fillId="0" borderId="27" xfId="4495" applyFont="1" applyBorder="1" applyAlignment="1">
      <alignment horizontal="left" vertical="top"/>
    </xf>
    <xf numFmtId="0" fontId="15" fillId="0" borderId="27" xfId="4495" applyFont="1" applyBorder="1" applyAlignment="1">
      <alignment horizontal="left" vertical="top"/>
    </xf>
    <xf numFmtId="0" fontId="22" fillId="0" borderId="27" xfId="4495" applyFont="1" applyBorder="1" applyAlignment="1">
      <alignment horizontal="right"/>
    </xf>
    <xf numFmtId="0" fontId="15" fillId="0" borderId="27" xfId="4495" applyFont="1" applyBorder="1" applyAlignment="1">
      <alignment horizontal="center"/>
    </xf>
    <xf numFmtId="0" fontId="15" fillId="0" borderId="46" xfId="4495" applyFont="1" applyBorder="1" applyAlignment="1">
      <alignment horizontal="center"/>
    </xf>
    <xf numFmtId="164" fontId="23" fillId="0" borderId="0" xfId="4495" applyNumberFormat="1" applyFont="1" applyAlignment="1">
      <alignment horizontal="left" vertical="top" wrapText="1"/>
    </xf>
    <xf numFmtId="0" fontId="26" fillId="0" borderId="0" xfId="4495" applyFont="1"/>
    <xf numFmtId="0" fontId="23" fillId="0" borderId="0" xfId="4495" applyFont="1" applyAlignment="1">
      <alignment horizontal="right"/>
    </xf>
    <xf numFmtId="0" fontId="15" fillId="0" borderId="27" xfId="543" applyBorder="1"/>
    <xf numFmtId="0" fontId="15" fillId="0" borderId="46" xfId="543" applyBorder="1"/>
    <xf numFmtId="0" fontId="22" fillId="0" borderId="0" xfId="4495" applyFont="1" applyAlignment="1">
      <alignment horizontal="left" vertical="top"/>
    </xf>
    <xf numFmtId="1" fontId="119" fillId="0" borderId="0" xfId="4495" applyNumberFormat="1"/>
    <xf numFmtId="0" fontId="15" fillId="0" borderId="0" xfId="4495" applyFont="1" applyAlignment="1">
      <alignment vertical="top" wrapText="1"/>
    </xf>
    <xf numFmtId="0" fontId="15" fillId="0" borderId="0" xfId="4495" applyFont="1" applyAlignment="1">
      <alignment horizontal="left" vertical="top" wrapText="1"/>
    </xf>
    <xf numFmtId="0" fontId="15" fillId="0" borderId="50" xfId="4495" applyFont="1" applyBorder="1" applyAlignment="1">
      <alignment vertical="top"/>
    </xf>
    <xf numFmtId="0" fontId="15" fillId="0" borderId="51" xfId="4495" applyFont="1" applyBorder="1" applyAlignment="1">
      <alignment vertical="top"/>
    </xf>
    <xf numFmtId="0" fontId="15" fillId="0" borderId="52" xfId="4495" applyFont="1" applyBorder="1" applyAlignment="1">
      <alignment vertical="top"/>
    </xf>
    <xf numFmtId="1" fontId="23" fillId="0" borderId="8" xfId="4495" applyNumberFormat="1" applyFont="1" applyBorder="1"/>
    <xf numFmtId="0" fontId="15" fillId="0" borderId="0" xfId="543" applyAlignment="1">
      <alignment vertical="top"/>
    </xf>
    <xf numFmtId="0" fontId="23" fillId="0" borderId="51" xfId="4495" applyFont="1" applyBorder="1" applyAlignment="1">
      <alignment horizontal="left" vertical="top"/>
    </xf>
    <xf numFmtId="0" fontId="23" fillId="0" borderId="52" xfId="4495" applyFont="1" applyBorder="1" applyAlignment="1">
      <alignment horizontal="left" vertical="top"/>
    </xf>
    <xf numFmtId="0" fontId="119" fillId="0" borderId="0" xfId="4495" applyAlignment="1" applyProtection="1">
      <alignment horizontal="center"/>
      <protection locked="0"/>
    </xf>
    <xf numFmtId="0" fontId="15" fillId="0" borderId="53" xfId="4495" applyFont="1" applyBorder="1" applyAlignment="1">
      <alignment vertical="top"/>
    </xf>
    <xf numFmtId="0" fontId="15" fillId="0" borderId="54" xfId="4495" applyFont="1" applyBorder="1" applyAlignment="1">
      <alignment vertical="top" wrapText="1"/>
    </xf>
    <xf numFmtId="0" fontId="60" fillId="0" borderId="53" xfId="4495" applyFont="1" applyBorder="1"/>
    <xf numFmtId="0" fontId="23" fillId="0" borderId="54" xfId="4495" applyFont="1" applyBorder="1" applyAlignment="1">
      <alignment horizontal="left" vertical="top"/>
    </xf>
    <xf numFmtId="0" fontId="15" fillId="0" borderId="53" xfId="4495" applyFont="1" applyBorder="1" applyAlignment="1">
      <alignment vertical="center" wrapText="1"/>
    </xf>
    <xf numFmtId="0" fontId="60" fillId="0" borderId="57" xfId="4495" applyFont="1" applyBorder="1"/>
    <xf numFmtId="0" fontId="23" fillId="0" borderId="58" xfId="4495" applyFont="1" applyBorder="1" applyAlignment="1">
      <alignment horizontal="left" vertical="top"/>
    </xf>
    <xf numFmtId="0" fontId="23" fillId="0" borderId="12" xfId="4495" applyFont="1" applyBorder="1"/>
    <xf numFmtId="0" fontId="15" fillId="0" borderId="57" xfId="4495" applyFont="1" applyBorder="1" applyAlignment="1">
      <alignment vertical="center"/>
    </xf>
    <xf numFmtId="0" fontId="15" fillId="0" borderId="58" xfId="4495" applyFont="1" applyBorder="1" applyAlignment="1">
      <alignment vertical="top"/>
    </xf>
    <xf numFmtId="0" fontId="15" fillId="0" borderId="59" xfId="4495" applyFont="1" applyBorder="1" applyAlignment="1">
      <alignment vertical="top"/>
    </xf>
    <xf numFmtId="0" fontId="15" fillId="0" borderId="0" xfId="4495" applyFont="1" applyAlignment="1">
      <alignment vertical="top"/>
    </xf>
    <xf numFmtId="0" fontId="23" fillId="0" borderId="4" xfId="4495" applyFont="1" applyBorder="1" applyAlignment="1">
      <alignment horizontal="left" vertical="top"/>
    </xf>
    <xf numFmtId="0" fontId="15" fillId="0" borderId="4" xfId="4495" applyFont="1" applyBorder="1" applyAlignment="1">
      <alignment horizontal="left" vertical="top"/>
    </xf>
    <xf numFmtId="0" fontId="15" fillId="0" borderId="2" xfId="4495" applyFont="1" applyBorder="1"/>
    <xf numFmtId="0" fontId="23" fillId="0" borderId="2" xfId="4495" applyFont="1" applyBorder="1"/>
    <xf numFmtId="0" fontId="15" fillId="0" borderId="2" xfId="4495" applyFont="1" applyBorder="1" applyAlignment="1">
      <alignment horizontal="center"/>
    </xf>
    <xf numFmtId="0" fontId="23" fillId="0" borderId="7" xfId="4495" applyFont="1" applyBorder="1"/>
    <xf numFmtId="0" fontId="31" fillId="0" borderId="0" xfId="4495" applyFont="1" applyAlignment="1">
      <alignment horizontal="right"/>
    </xf>
    <xf numFmtId="0" fontId="125" fillId="0" borderId="0" xfId="4495" applyFont="1" applyAlignment="1">
      <alignment horizontal="left" vertical="top" wrapText="1"/>
    </xf>
    <xf numFmtId="0" fontId="31" fillId="0" borderId="0" xfId="4495" applyFont="1" applyAlignment="1">
      <alignment horizontal="left" vertical="top"/>
    </xf>
    <xf numFmtId="0" fontId="23" fillId="0" borderId="0" xfId="4495" quotePrefix="1" applyFont="1" applyAlignment="1">
      <alignment horizontal="right"/>
    </xf>
    <xf numFmtId="0" fontId="15" fillId="0" borderId="0" xfId="4497"/>
    <xf numFmtId="0" fontId="23" fillId="0" borderId="0" xfId="4495" applyFont="1" applyAlignment="1">
      <alignment horizontal="left" vertical="top" wrapText="1" shrinkToFit="1"/>
    </xf>
    <xf numFmtId="0" fontId="119" fillId="0" borderId="0" xfId="4495" applyAlignment="1">
      <alignment vertical="top" wrapText="1"/>
    </xf>
    <xf numFmtId="0" fontId="23" fillId="0" borderId="4" xfId="4495" applyFont="1" applyBorder="1" applyAlignment="1">
      <alignment horizontal="left" vertical="top" wrapText="1" shrinkToFit="1"/>
    </xf>
    <xf numFmtId="0" fontId="31" fillId="0" borderId="8" xfId="4495" applyFont="1" applyBorder="1"/>
    <xf numFmtId="0" fontId="23" fillId="0" borderId="0" xfId="4495" applyFont="1" applyAlignment="1">
      <alignment horizontal="center"/>
    </xf>
    <xf numFmtId="0" fontId="23" fillId="0" borderId="0" xfId="4495" quotePrefix="1" applyFont="1"/>
    <xf numFmtId="0" fontId="23" fillId="0" borderId="0" xfId="4495" applyFont="1" applyAlignment="1">
      <alignment horizontal="left" vertical="top" shrinkToFit="1"/>
    </xf>
    <xf numFmtId="0" fontId="45" fillId="0" borderId="0" xfId="4495" applyFont="1"/>
    <xf numFmtId="0" fontId="23" fillId="0" borderId="3" xfId="4495" applyFont="1" applyBorder="1" applyAlignment="1">
      <alignment horizontal="center"/>
    </xf>
    <xf numFmtId="0" fontId="119" fillId="0" borderId="8" xfId="4495" applyBorder="1"/>
    <xf numFmtId="0" fontId="22" fillId="0" borderId="8" xfId="4495" applyFont="1" applyBorder="1" applyAlignment="1">
      <alignment vertical="top"/>
    </xf>
    <xf numFmtId="0" fontId="119" fillId="0" borderId="0" xfId="4495" applyAlignment="1">
      <alignment vertical="top"/>
    </xf>
    <xf numFmtId="0" fontId="22"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5" fillId="0" borderId="0" xfId="4497" applyNumberFormat="1"/>
    <xf numFmtId="1" fontId="23"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3" fillId="0" borderId="6" xfId="4495" applyFont="1" applyBorder="1"/>
    <xf numFmtId="1" fontId="23" fillId="0" borderId="8" xfId="4495" applyNumberFormat="1" applyFont="1" applyBorder="1" applyAlignment="1">
      <alignment horizontal="center" vertical="top"/>
    </xf>
    <xf numFmtId="0" fontId="119" fillId="0" borderId="12" xfId="4495" applyBorder="1"/>
    <xf numFmtId="0" fontId="23" fillId="0" borderId="9" xfId="4495" applyFont="1" applyBorder="1"/>
    <xf numFmtId="0" fontId="119" fillId="0" borderId="10" xfId="4495" applyBorder="1"/>
    <xf numFmtId="0" fontId="31" fillId="0" borderId="3" xfId="4495" applyFont="1" applyBorder="1"/>
    <xf numFmtId="0" fontId="22" fillId="0" borderId="4" xfId="4495" applyFont="1" applyBorder="1"/>
    <xf numFmtId="0" fontId="119" fillId="0" borderId="12" xfId="4495" applyBorder="1" applyAlignment="1">
      <alignment vertical="top"/>
    </xf>
    <xf numFmtId="0" fontId="31"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1" fillId="0" borderId="9" xfId="4495" applyFont="1" applyBorder="1"/>
    <xf numFmtId="0" fontId="23" fillId="0" borderId="10" xfId="4495" applyFont="1" applyBorder="1"/>
    <xf numFmtId="0" fontId="129" fillId="0" borderId="0" xfId="4495" applyFont="1" applyAlignment="1">
      <alignment wrapText="1"/>
    </xf>
    <xf numFmtId="0" fontId="31" fillId="0" borderId="9" xfId="4495" applyFont="1" applyBorder="1" applyAlignment="1">
      <alignment horizontal="center"/>
    </xf>
    <xf numFmtId="0" fontId="22" fillId="0" borderId="10" xfId="4495" applyFont="1" applyBorder="1"/>
    <xf numFmtId="0" fontId="33" fillId="0" borderId="0" xfId="4495" applyFont="1"/>
    <xf numFmtId="0" fontId="23" fillId="0" borderId="50" xfId="4495" applyFont="1" applyBorder="1"/>
    <xf numFmtId="0" fontId="23" fillId="0" borderId="51" xfId="4495" applyFont="1" applyBorder="1"/>
    <xf numFmtId="1" fontId="23" fillId="0" borderId="51" xfId="4495" quotePrefix="1" applyNumberFormat="1" applyFont="1" applyBorder="1" applyAlignment="1">
      <alignment horizontal="center" vertical="top"/>
    </xf>
    <xf numFmtId="0" fontId="22" fillId="0" borderId="51" xfId="4495" applyFont="1" applyBorder="1"/>
    <xf numFmtId="0" fontId="22" fillId="0" borderId="52" xfId="4495" applyFont="1" applyBorder="1" applyAlignment="1">
      <alignment horizontal="center"/>
    </xf>
    <xf numFmtId="0" fontId="15" fillId="0" borderId="53" xfId="4495" applyFont="1" applyBorder="1"/>
    <xf numFmtId="1" fontId="23" fillId="0" borderId="0" xfId="4495" quotePrefix="1" applyNumberFormat="1" applyFont="1" applyAlignment="1">
      <alignment horizontal="center" vertical="top"/>
    </xf>
    <xf numFmtId="0" fontId="22" fillId="0" borderId="54" xfId="4495" applyFont="1" applyBorder="1" applyAlignment="1">
      <alignment horizontal="center"/>
    </xf>
    <xf numFmtId="0" fontId="31" fillId="0" borderId="0" xfId="4495" applyFont="1" applyAlignment="1">
      <alignment vertical="top"/>
    </xf>
    <xf numFmtId="0" fontId="23" fillId="0" borderId="61" xfId="4495" applyFont="1" applyBorder="1"/>
    <xf numFmtId="0" fontId="119" fillId="0" borderId="58" xfId="4495" applyBorder="1" applyAlignment="1">
      <alignment horizontal="center"/>
    </xf>
    <xf numFmtId="1" fontId="23" fillId="0" borderId="58" xfId="4495" quotePrefix="1" applyNumberFormat="1" applyFont="1" applyBorder="1" applyAlignment="1">
      <alignment horizontal="center" vertical="top"/>
    </xf>
    <xf numFmtId="0" fontId="31" fillId="0" borderId="58" xfId="4495" applyFont="1" applyBorder="1" applyAlignment="1">
      <alignment vertical="top"/>
    </xf>
    <xf numFmtId="0" fontId="23" fillId="0" borderId="58" xfId="4495" applyFont="1" applyBorder="1" applyAlignment="1">
      <alignment vertical="top" wrapText="1"/>
    </xf>
    <xf numFmtId="0" fontId="23" fillId="0" borderId="58" xfId="4495" applyFont="1" applyBorder="1"/>
    <xf numFmtId="0" fontId="22" fillId="0" borderId="58" xfId="4495" applyFont="1" applyBorder="1" applyAlignment="1">
      <alignment horizontal="center"/>
    </xf>
    <xf numFmtId="0" fontId="119" fillId="0" borderId="61" xfId="4495" applyBorder="1"/>
    <xf numFmtId="0" fontId="119" fillId="0" borderId="0" xfId="4495" applyAlignment="1">
      <alignment horizontal="center"/>
    </xf>
    <xf numFmtId="0" fontId="15" fillId="0" borderId="53" xfId="543" applyBorder="1"/>
    <xf numFmtId="0" fontId="23" fillId="0" borderId="54" xfId="4495" applyFont="1" applyBorder="1"/>
    <xf numFmtId="0" fontId="15" fillId="0" borderId="58" xfId="543" applyBorder="1"/>
    <xf numFmtId="1" fontId="23" fillId="0" borderId="58" xfId="4495" applyNumberFormat="1" applyFont="1" applyBorder="1" applyAlignment="1">
      <alignment horizontal="center" vertical="top"/>
    </xf>
    <xf numFmtId="0" fontId="31" fillId="0" borderId="58" xfId="4495" applyFont="1" applyBorder="1" applyAlignment="1">
      <alignment vertical="center"/>
    </xf>
    <xf numFmtId="0" fontId="119" fillId="0" borderId="58" xfId="4495" applyBorder="1" applyAlignment="1">
      <alignment vertical="top" wrapText="1"/>
    </xf>
    <xf numFmtId="0" fontId="15" fillId="0" borderId="58" xfId="4495" applyFont="1" applyBorder="1"/>
    <xf numFmtId="0" fontId="31" fillId="0" borderId="0" xfId="4495" applyFont="1" applyAlignment="1">
      <alignment vertical="center"/>
    </xf>
    <xf numFmtId="0" fontId="23" fillId="0" borderId="53" xfId="4495" applyFont="1" applyBorder="1"/>
    <xf numFmtId="0" fontId="15" fillId="0" borderId="57" xfId="543" applyBorder="1"/>
    <xf numFmtId="0" fontId="23" fillId="0" borderId="58" xfId="4495" applyFont="1" applyBorder="1" applyAlignment="1">
      <alignment vertical="top"/>
    </xf>
    <xf numFmtId="0" fontId="23" fillId="0" borderId="59" xfId="4495" applyFont="1" applyBorder="1"/>
    <xf numFmtId="0" fontId="23" fillId="0" borderId="57" xfId="4495" applyFont="1" applyBorder="1"/>
    <xf numFmtId="0" fontId="15" fillId="0" borderId="51" xfId="4495" applyFont="1" applyBorder="1"/>
    <xf numFmtId="0" fontId="23" fillId="0" borderId="52" xfId="4495" applyFont="1" applyBorder="1"/>
    <xf numFmtId="0" fontId="15" fillId="0" borderId="50" xfId="543" applyBorder="1"/>
    <xf numFmtId="0" fontId="15" fillId="0" borderId="51" xfId="543" applyBorder="1"/>
    <xf numFmtId="0" fontId="15" fillId="0" borderId="52" xfId="543" applyBorder="1"/>
    <xf numFmtId="0" fontId="23" fillId="0" borderId="0" xfId="4495" applyFont="1" applyAlignment="1">
      <alignment wrapText="1"/>
    </xf>
    <xf numFmtId="0" fontId="22" fillId="0" borderId="54" xfId="4495" applyFont="1" applyBorder="1" applyAlignment="1">
      <alignment horizontal="center" vertical="top"/>
    </xf>
    <xf numFmtId="0" fontId="119" fillId="0" borderId="53" xfId="4495" applyBorder="1" applyAlignment="1">
      <alignment horizontal="center"/>
    </xf>
    <xf numFmtId="2" fontId="23" fillId="0" borderId="0" xfId="4495" applyNumberFormat="1" applyFont="1" applyAlignment="1">
      <alignment horizontal="right"/>
    </xf>
    <xf numFmtId="2" fontId="23" fillId="0" borderId="8" xfId="4495" applyNumberFormat="1" applyFont="1" applyBorder="1" applyAlignment="1">
      <alignment horizontal="left"/>
    </xf>
    <xf numFmtId="0" fontId="23"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2" fillId="0" borderId="59" xfId="4495" applyFont="1" applyBorder="1" applyAlignment="1">
      <alignment horizontal="center"/>
    </xf>
    <xf numFmtId="9" fontId="23" fillId="0" borderId="0" xfId="4495" applyNumberFormat="1" applyFont="1" applyAlignment="1">
      <alignment horizontal="left"/>
    </xf>
    <xf numFmtId="0" fontId="15" fillId="0" borderId="17" xfId="543" applyBorder="1"/>
    <xf numFmtId="0" fontId="15" fillId="0" borderId="16" xfId="543" applyBorder="1"/>
    <xf numFmtId="0" fontId="15" fillId="0" borderId="51" xfId="4495" quotePrefix="1" applyFont="1" applyBorder="1" applyAlignment="1">
      <alignment horizontal="center" vertical="top"/>
    </xf>
    <xf numFmtId="0" fontId="23" fillId="0" borderId="53" xfId="4495" applyFont="1" applyBorder="1" applyAlignment="1">
      <alignment horizontal="left" vertical="top"/>
    </xf>
    <xf numFmtId="0" fontId="23" fillId="0" borderId="0" xfId="4495" applyFont="1" applyAlignment="1">
      <alignment horizontal="center" vertical="top"/>
    </xf>
    <xf numFmtId="0" fontId="23" fillId="0" borderId="57" xfId="4495" applyFont="1" applyBorder="1" applyAlignment="1">
      <alignment horizontal="left" vertical="top"/>
    </xf>
    <xf numFmtId="0" fontId="23" fillId="0" borderId="58" xfId="4495" applyFont="1" applyBorder="1" applyAlignment="1">
      <alignment horizontal="center" vertical="top"/>
    </xf>
    <xf numFmtId="0" fontId="119" fillId="0" borderId="58" xfId="4495" applyBorder="1"/>
    <xf numFmtId="0" fontId="22" fillId="0" borderId="58" xfId="4495" applyFont="1" applyBorder="1" applyAlignment="1">
      <alignment vertical="top"/>
    </xf>
    <xf numFmtId="0" fontId="22" fillId="0" borderId="58" xfId="4495" applyFont="1" applyBorder="1" applyAlignment="1">
      <alignment horizontal="left" vertical="top"/>
    </xf>
    <xf numFmtId="0" fontId="22" fillId="0" borderId="51" xfId="4495" applyFont="1" applyBorder="1" applyAlignment="1">
      <alignment horizontal="left" vertical="top"/>
    </xf>
    <xf numFmtId="0" fontId="22" fillId="0" borderId="53" xfId="4495" applyFont="1" applyBorder="1" applyAlignment="1">
      <alignment horizontal="left" vertical="top"/>
    </xf>
    <xf numFmtId="0" fontId="52" fillId="0" borderId="0" xfId="4495" applyFont="1" applyAlignment="1">
      <alignment horizontal="left" vertical="top"/>
    </xf>
    <xf numFmtId="0" fontId="23"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1" fillId="0" borderId="53" xfId="4495" applyFont="1" applyBorder="1"/>
    <xf numFmtId="2" fontId="23" fillId="0" borderId="8" xfId="4495" applyNumberFormat="1" applyFont="1" applyBorder="1" applyAlignment="1">
      <alignment horizontal="right"/>
    </xf>
    <xf numFmtId="0" fontId="22"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2" fillId="0" borderId="58" xfId="4495" applyNumberFormat="1" applyFont="1" applyBorder="1" applyAlignment="1">
      <alignment vertical="top"/>
    </xf>
    <xf numFmtId="172" fontId="22" fillId="0" borderId="8" xfId="543" applyNumberFormat="1" applyFont="1" applyBorder="1"/>
    <xf numFmtId="172" fontId="22" fillId="0" borderId="0" xfId="543" applyNumberFormat="1" applyFont="1"/>
    <xf numFmtId="0" fontId="31" fillId="0" borderId="0" xfId="4495" applyFont="1" applyAlignment="1">
      <alignment wrapText="1"/>
    </xf>
    <xf numFmtId="0" fontId="31" fillId="0" borderId="0" xfId="4495" applyFont="1" applyAlignment="1">
      <alignment horizontal="center"/>
    </xf>
    <xf numFmtId="0" fontId="31" fillId="0" borderId="0" xfId="4495" applyFont="1" applyAlignment="1">
      <alignment vertical="center" wrapText="1"/>
    </xf>
    <xf numFmtId="180" fontId="23" fillId="0" borderId="0" xfId="4495" applyNumberFormat="1" applyFont="1" applyAlignment="1">
      <alignment horizontal="center"/>
    </xf>
    <xf numFmtId="1" fontId="23" fillId="0" borderId="0" xfId="4495" applyNumberFormat="1" applyFont="1" applyAlignment="1">
      <alignment horizontal="center"/>
    </xf>
    <xf numFmtId="0" fontId="22" fillId="0" borderId="51" xfId="4495" applyFont="1" applyBorder="1" applyAlignment="1">
      <alignment horizontal="center"/>
    </xf>
    <xf numFmtId="0" fontId="22" fillId="0" borderId="51" xfId="4495" applyFont="1" applyBorder="1" applyAlignment="1">
      <alignment vertical="top"/>
    </xf>
    <xf numFmtId="0" fontId="22" fillId="0" borderId="53" xfId="4495" applyFont="1" applyBorder="1"/>
    <xf numFmtId="0" fontId="15" fillId="0" borderId="54" xfId="543" applyBorder="1"/>
    <xf numFmtId="49" fontId="23" fillId="0" borderId="0" xfId="4495" applyNumberFormat="1" applyFont="1" applyAlignment="1">
      <alignment horizontal="left" vertical="center" wrapText="1"/>
    </xf>
    <xf numFmtId="0" fontId="15" fillId="0" borderId="57" xfId="4495" applyFont="1" applyBorder="1"/>
    <xf numFmtId="1" fontId="15" fillId="0" borderId="0" xfId="4495" applyNumberFormat="1" applyFont="1" applyAlignment="1">
      <alignment vertical="center"/>
    </xf>
    <xf numFmtId="0" fontId="33" fillId="0" borderId="50" xfId="4495" applyFont="1" applyBorder="1"/>
    <xf numFmtId="0" fontId="23" fillId="0" borderId="51" xfId="4495" applyFont="1" applyBorder="1" applyAlignment="1">
      <alignment horizontal="center" vertical="top"/>
    </xf>
    <xf numFmtId="0" fontId="23" fillId="0" borderId="51" xfId="4495" applyFont="1" applyBorder="1" applyAlignment="1">
      <alignment vertical="top" wrapText="1"/>
    </xf>
    <xf numFmtId="0" fontId="23" fillId="0" borderId="51" xfId="4495" applyFont="1" applyBorder="1" applyAlignment="1">
      <alignment horizontal="left" vertical="top" wrapText="1"/>
    </xf>
    <xf numFmtId="0" fontId="15" fillId="0" borderId="0" xfId="4495" quotePrefix="1" applyFont="1" applyAlignment="1">
      <alignment horizontal="center" vertical="top"/>
    </xf>
    <xf numFmtId="1" fontId="23" fillId="0" borderId="0" xfId="4495" quotePrefix="1" applyNumberFormat="1" applyFont="1" applyAlignment="1">
      <alignment wrapText="1"/>
    </xf>
    <xf numFmtId="0" fontId="23" fillId="0" borderId="6" xfId="4495" applyFont="1" applyBorder="1" applyAlignment="1">
      <alignment horizontal="right"/>
    </xf>
    <xf numFmtId="0" fontId="121" fillId="0" borderId="0" xfId="4496" applyFont="1" applyAlignment="1">
      <alignment wrapText="1"/>
    </xf>
    <xf numFmtId="0" fontId="15" fillId="0" borderId="0" xfId="4496" applyFont="1" applyAlignment="1">
      <alignment wrapText="1"/>
    </xf>
    <xf numFmtId="0" fontId="31" fillId="0" borderId="51" xfId="4495" applyFont="1" applyBorder="1" applyAlignment="1">
      <alignment vertical="top"/>
    </xf>
    <xf numFmtId="0" fontId="15" fillId="0" borderId="51" xfId="4496" applyFont="1" applyBorder="1" applyAlignment="1">
      <alignment wrapText="1"/>
    </xf>
    <xf numFmtId="0" fontId="22" fillId="0" borderId="51" xfId="4495" applyFont="1" applyBorder="1" applyAlignment="1">
      <alignment horizontal="right"/>
    </xf>
    <xf numFmtId="0" fontId="15" fillId="0" borderId="52" xfId="4495" applyFont="1" applyBorder="1" applyAlignment="1">
      <alignment horizontal="center"/>
    </xf>
    <xf numFmtId="0" fontId="15" fillId="0" borderId="53" xfId="4495" applyFont="1" applyBorder="1" applyAlignment="1">
      <alignment horizontal="left" vertical="top"/>
    </xf>
    <xf numFmtId="0" fontId="15" fillId="0" borderId="54" xfId="4495" applyFont="1" applyBorder="1" applyAlignment="1">
      <alignment horizontal="left" vertical="top"/>
    </xf>
    <xf numFmtId="0" fontId="15" fillId="0" borderId="54" xfId="4495" applyFont="1" applyBorder="1" applyAlignment="1">
      <alignment horizontal="center"/>
    </xf>
    <xf numFmtId="0" fontId="15" fillId="0" borderId="59" xfId="4495" applyFont="1" applyBorder="1" applyAlignment="1">
      <alignment horizontal="center"/>
    </xf>
    <xf numFmtId="9" fontId="15" fillId="0" borderId="0" xfId="4496" applyNumberFormat="1" applyFont="1" applyAlignment="1">
      <alignment horizontal="center"/>
    </xf>
    <xf numFmtId="1" fontId="15" fillId="0" borderId="0" xfId="543" applyNumberFormat="1"/>
    <xf numFmtId="0" fontId="23" fillId="0" borderId="1" xfId="4495" applyFont="1" applyBorder="1"/>
    <xf numFmtId="0" fontId="22" fillId="0" borderId="0" xfId="4495" applyFont="1" applyAlignment="1">
      <alignment horizontal="center" wrapText="1"/>
    </xf>
    <xf numFmtId="0" fontId="22" fillId="0" borderId="9" xfId="4495" applyFont="1" applyBorder="1" applyAlignment="1">
      <alignment horizontal="left"/>
    </xf>
    <xf numFmtId="0" fontId="22" fillId="0" borderId="3" xfId="4495" applyFont="1" applyBorder="1" applyAlignment="1">
      <alignment horizontal="left"/>
    </xf>
    <xf numFmtId="0" fontId="22" fillId="0" borderId="4" xfId="4495" applyFont="1" applyBorder="1" applyAlignment="1">
      <alignment horizontal="left"/>
    </xf>
    <xf numFmtId="0" fontId="15" fillId="0" borderId="2" xfId="4495" applyFont="1" applyBorder="1" applyAlignment="1">
      <alignment horizontal="left"/>
    </xf>
    <xf numFmtId="0" fontId="22" fillId="0" borderId="2" xfId="4495" applyFont="1" applyBorder="1" applyAlignment="1">
      <alignment horizontal="left"/>
    </xf>
    <xf numFmtId="0" fontId="22" fillId="0" borderId="5" xfId="4495" applyFont="1" applyBorder="1" applyAlignment="1">
      <alignment horizontal="left"/>
    </xf>
    <xf numFmtId="180" fontId="63" fillId="0" borderId="0" xfId="4495" applyNumberFormat="1" applyFont="1" applyAlignment="1">
      <alignment horizontal="center" vertical="center"/>
    </xf>
    <xf numFmtId="0" fontId="15" fillId="0" borderId="12" xfId="4495" applyFont="1" applyBorder="1" applyAlignment="1">
      <alignment vertical="top"/>
    </xf>
    <xf numFmtId="0" fontId="45" fillId="0" borderId="0" xfId="4495" applyFont="1" applyAlignment="1">
      <alignment vertical="top" wrapText="1"/>
    </xf>
    <xf numFmtId="0" fontId="15" fillId="0" borderId="51" xfId="4495" applyFont="1" applyBorder="1" applyAlignment="1">
      <alignment horizontal="left" vertical="top" wrapText="1"/>
    </xf>
    <xf numFmtId="0" fontId="15" fillId="0" borderId="51" xfId="4495" applyFont="1" applyBorder="1" applyAlignment="1">
      <alignment horizontal="right"/>
    </xf>
    <xf numFmtId="0" fontId="15" fillId="0" borderId="52" xfId="4495" applyFont="1" applyBorder="1" applyAlignment="1">
      <alignment horizontal="right"/>
    </xf>
    <xf numFmtId="0" fontId="15" fillId="0" borderId="54" xfId="4495" applyFont="1" applyBorder="1" applyAlignment="1">
      <alignment horizontal="right"/>
    </xf>
    <xf numFmtId="0" fontId="15" fillId="0" borderId="58" xfId="4495" applyFont="1" applyBorder="1" applyAlignment="1">
      <alignment horizontal="left" vertical="top" wrapText="1"/>
    </xf>
    <xf numFmtId="0" fontId="15" fillId="0" borderId="58" xfId="4495" applyFont="1" applyBorder="1" applyAlignment="1">
      <alignment horizontal="right"/>
    </xf>
    <xf numFmtId="0" fontId="15" fillId="0" borderId="59" xfId="4495" applyFont="1" applyBorder="1" applyAlignment="1">
      <alignment horizontal="right"/>
    </xf>
    <xf numFmtId="0" fontId="45" fillId="0" borderId="0" xfId="4495" applyFont="1" applyAlignment="1">
      <alignment horizontal="left" vertical="top" wrapText="1"/>
    </xf>
    <xf numFmtId="0" fontId="15" fillId="0" borderId="0" xfId="1192" applyAlignment="1">
      <alignment horizontal="left" vertical="top"/>
    </xf>
    <xf numFmtId="0" fontId="33" fillId="0" borderId="0" xfId="1192" applyFont="1" applyAlignment="1">
      <alignment horizontal="left" vertical="top"/>
    </xf>
    <xf numFmtId="0" fontId="15" fillId="0" borderId="0" xfId="1192" applyAlignment="1">
      <alignment vertical="top"/>
    </xf>
    <xf numFmtId="168" fontId="15" fillId="0" borderId="0" xfId="1192" applyNumberFormat="1"/>
    <xf numFmtId="165" fontId="15" fillId="0" borderId="0" xfId="1192" applyNumberFormat="1"/>
    <xf numFmtId="165" fontId="15" fillId="0" borderId="0" xfId="1192" applyNumberFormat="1" applyAlignment="1">
      <alignment horizontal="right"/>
    </xf>
    <xf numFmtId="2" fontId="15" fillId="0" borderId="0" xfId="1192" applyNumberFormat="1"/>
    <xf numFmtId="6" fontId="15" fillId="0" borderId="0" xfId="1192" applyNumberFormat="1"/>
    <xf numFmtId="0" fontId="22" fillId="0" borderId="0" xfId="1192" applyFont="1"/>
    <xf numFmtId="0" fontId="45" fillId="0" borderId="0" xfId="1192" applyFont="1"/>
    <xf numFmtId="168" fontId="15" fillId="0" borderId="0" xfId="4495" applyNumberFormat="1" applyFont="1"/>
    <xf numFmtId="0" fontId="22"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5" fillId="0" borderId="0" xfId="1192" applyNumberFormat="1" applyAlignment="1">
      <alignment horizontal="center"/>
    </xf>
    <xf numFmtId="9" fontId="15" fillId="0" borderId="0" xfId="1192" applyNumberFormat="1"/>
    <xf numFmtId="0" fontId="15" fillId="0" borderId="0" xfId="1192" applyAlignment="1">
      <alignment horizontal="right"/>
    </xf>
    <xf numFmtId="0" fontId="15" fillId="0" borderId="53" xfId="4495" applyFont="1" applyBorder="1" applyAlignment="1">
      <alignment horizontal="left"/>
    </xf>
    <xf numFmtId="6" fontId="22" fillId="0" borderId="0" xfId="1192" applyNumberFormat="1" applyFont="1" applyAlignment="1">
      <alignment horizontal="right"/>
    </xf>
    <xf numFmtId="165" fontId="15" fillId="0" borderId="0" xfId="4495" applyNumberFormat="1" applyFont="1"/>
    <xf numFmtId="0" fontId="53" fillId="0" borderId="4" xfId="4495" applyFont="1" applyBorder="1"/>
    <xf numFmtId="0" fontId="35" fillId="0" borderId="0" xfId="543" applyFont="1" applyAlignment="1">
      <alignment vertical="center" wrapText="1"/>
    </xf>
    <xf numFmtId="1" fontId="22" fillId="0" borderId="13" xfId="271" applyNumberFormat="1" applyFont="1" applyBorder="1"/>
    <xf numFmtId="1" fontId="24" fillId="0" borderId="13" xfId="271" applyNumberFormat="1" applyBorder="1"/>
    <xf numFmtId="0" fontId="15" fillId="0" borderId="11" xfId="0" applyFont="1" applyBorder="1"/>
    <xf numFmtId="9" fontId="15"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3" fillId="0" borderId="0" xfId="4495" applyNumberFormat="1" applyFont="1"/>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22" fillId="0" borderId="7" xfId="0" applyFont="1" applyBorder="1" applyAlignment="1">
      <alignment horizontal="right"/>
    </xf>
    <xf numFmtId="0" fontId="0" fillId="0" borderId="0" xfId="0" applyAlignment="1" applyProtection="1">
      <alignment horizontal="left" vertical="top" wrapText="1"/>
      <protection locked="0"/>
    </xf>
    <xf numFmtId="2" fontId="15" fillId="0" borderId="0" xfId="0" applyNumberFormat="1" applyFont="1"/>
    <xf numFmtId="0" fontId="15" fillId="0" borderId="9" xfId="0" applyFont="1" applyBorder="1" applyAlignment="1">
      <alignment horizontal="left"/>
    </xf>
    <xf numFmtId="0" fontId="15" fillId="0" borderId="6" xfId="0" applyFont="1" applyBorder="1"/>
    <xf numFmtId="0" fontId="15" fillId="0" borderId="9" xfId="0" applyFont="1" applyBorder="1"/>
    <xf numFmtId="0" fontId="48" fillId="0" borderId="0" xfId="0" applyFont="1" applyAlignment="1">
      <alignment horizontal="center"/>
    </xf>
    <xf numFmtId="0" fontId="21" fillId="0" borderId="0" xfId="0" applyFont="1" applyAlignment="1">
      <alignment horizontal="center" vertical="center" wrapText="1"/>
    </xf>
    <xf numFmtId="0" fontId="30" fillId="0" borderId="0" xfId="0" applyFont="1" applyAlignment="1">
      <alignment horizontal="center"/>
    </xf>
    <xf numFmtId="0" fontId="23" fillId="0" borderId="0" xfId="0" applyFont="1" applyAlignment="1">
      <alignment horizontal="center"/>
    </xf>
    <xf numFmtId="0" fontId="22" fillId="0" borderId="3" xfId="0" applyFont="1" applyBorder="1"/>
    <xf numFmtId="0" fontId="22" fillId="0" borderId="4" xfId="271" applyFont="1" applyBorder="1"/>
    <xf numFmtId="0" fontId="22" fillId="0" borderId="3" xfId="271" applyFont="1" applyBorder="1"/>
    <xf numFmtId="0" fontId="22" fillId="0" borderId="5" xfId="271" applyFont="1" applyBorder="1"/>
    <xf numFmtId="0" fontId="15" fillId="0" borderId="58" xfId="4495" applyFont="1" applyBorder="1" applyAlignment="1">
      <alignment vertical="center" wrapText="1"/>
    </xf>
    <xf numFmtId="0" fontId="15" fillId="0" borderId="59" xfId="4495" applyFont="1" applyBorder="1" applyAlignment="1">
      <alignment vertical="center" wrapText="1"/>
    </xf>
    <xf numFmtId="0" fontId="15" fillId="0" borderId="0" xfId="4495" applyFont="1" applyAlignment="1">
      <alignment horizontal="left" vertical="center" wrapText="1"/>
    </xf>
    <xf numFmtId="0" fontId="22" fillId="0" borderId="5" xfId="0" applyFont="1" applyBorder="1"/>
    <xf numFmtId="168" fontId="20" fillId="43" borderId="0" xfId="0" applyNumberFormat="1" applyFont="1" applyFill="1"/>
    <xf numFmtId="9" fontId="23" fillId="0" borderId="0" xfId="543" applyNumberFormat="1" applyFont="1" applyAlignment="1">
      <alignment horizontal="center"/>
    </xf>
    <xf numFmtId="171" fontId="15" fillId="0" borderId="0" xfId="543" applyNumberFormat="1"/>
    <xf numFmtId="171" fontId="15" fillId="0" borderId="11" xfId="543" applyNumberFormat="1" applyBorder="1"/>
    <xf numFmtId="1" fontId="15" fillId="0" borderId="11" xfId="543" applyNumberFormat="1" applyBorder="1" applyAlignment="1">
      <alignment horizontal="center"/>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35" fillId="0" borderId="12" xfId="543" applyFont="1" applyBorder="1" applyAlignment="1">
      <alignment horizontal="center" vertical="top"/>
    </xf>
    <xf numFmtId="0" fontId="36" fillId="0" borderId="7" xfId="543" applyFont="1" applyBorder="1"/>
    <xf numFmtId="0" fontId="15" fillId="0" borderId="12" xfId="543" quotePrefix="1" applyBorder="1"/>
    <xf numFmtId="0" fontId="52" fillId="0" borderId="2" xfId="569" applyFont="1" applyBorder="1" applyAlignment="1">
      <alignment vertical="top"/>
    </xf>
    <xf numFmtId="0" fontId="25" fillId="0" borderId="0" xfId="4495" applyFont="1"/>
    <xf numFmtId="0" fontId="15" fillId="0" borderId="0" xfId="4495" applyFont="1" applyAlignment="1">
      <alignment vertical="top" wrapText="1" shrinkToFit="1"/>
    </xf>
    <xf numFmtId="0" fontId="155" fillId="0" borderId="0" xfId="4495" applyFont="1"/>
    <xf numFmtId="164" fontId="15" fillId="0" borderId="0" xfId="1192" applyNumberFormat="1" applyAlignment="1">
      <alignment horizontal="right"/>
    </xf>
    <xf numFmtId="164" fontId="15" fillId="0" borderId="0" xfId="4495" applyNumberFormat="1" applyFont="1" applyAlignment="1">
      <alignment horizontal="right"/>
    </xf>
    <xf numFmtId="0" fontId="15" fillId="0" borderId="0" xfId="4495" applyFont="1" applyAlignment="1">
      <alignment horizontal="left" vertical="top" wrapText="1" shrinkToFit="1"/>
    </xf>
    <xf numFmtId="0" fontId="15" fillId="0" borderId="6" xfId="4495" applyFont="1" applyBorder="1" applyAlignment="1">
      <alignment vertical="top" wrapText="1"/>
    </xf>
    <xf numFmtId="0" fontId="155" fillId="0" borderId="4" xfId="4495" applyFont="1" applyBorder="1"/>
    <xf numFmtId="0" fontId="15" fillId="0" borderId="4" xfId="4495" applyFont="1" applyBorder="1" applyAlignment="1">
      <alignment horizontal="left" vertical="top" wrapText="1" shrinkToFit="1"/>
    </xf>
    <xf numFmtId="0" fontId="25" fillId="0" borderId="0" xfId="4495" applyFont="1" applyAlignment="1">
      <alignment horizontal="left" vertical="top"/>
    </xf>
    <xf numFmtId="0" fontId="15" fillId="0" borderId="0" xfId="4495" applyFont="1" applyAlignment="1">
      <alignment vertical="center" wrapText="1" shrinkToFit="1"/>
    </xf>
    <xf numFmtId="0" fontId="15" fillId="0" borderId="0" xfId="4495" applyFont="1" applyAlignment="1">
      <alignment horizontal="left" vertical="top" shrinkToFit="1"/>
    </xf>
    <xf numFmtId="0" fontId="15" fillId="0" borderId="0" xfId="4495" applyFont="1" applyAlignment="1">
      <alignment horizontal="left" vertical="center" shrinkToFit="1"/>
    </xf>
    <xf numFmtId="0" fontId="25" fillId="0" borderId="4" xfId="4495" applyFont="1" applyBorder="1"/>
    <xf numFmtId="0" fontId="15" fillId="0" borderId="4" xfId="4495" applyFont="1" applyBorder="1" applyAlignment="1">
      <alignment horizontal="left" vertical="top" shrinkToFit="1"/>
    </xf>
    <xf numFmtId="0" fontId="15" fillId="0" borderId="0" xfId="4495" applyFont="1" applyAlignment="1">
      <alignment vertical="center"/>
    </xf>
    <xf numFmtId="0" fontId="21" fillId="0" borderId="0" xfId="4495" applyFont="1"/>
    <xf numFmtId="0" fontId="25" fillId="0" borderId="0" xfId="4495" applyFont="1" applyAlignment="1">
      <alignment horizontal="center"/>
    </xf>
    <xf numFmtId="0" fontId="15" fillId="0" borderId="4" xfId="4495" applyFont="1" applyBorder="1" applyAlignment="1">
      <alignment horizontal="left" vertical="top" wrapText="1"/>
    </xf>
    <xf numFmtId="44" fontId="15" fillId="0" borderId="0" xfId="707" applyFont="1" applyFill="1" applyBorder="1" applyAlignment="1" applyProtection="1">
      <alignment horizontal="left" vertical="top" wrapText="1"/>
    </xf>
    <xf numFmtId="44" fontId="15" fillId="0" borderId="4" xfId="707" applyFont="1" applyFill="1" applyBorder="1" applyAlignment="1" applyProtection="1">
      <alignment horizontal="left" vertical="top" wrapText="1"/>
    </xf>
    <xf numFmtId="164" fontId="33" fillId="0" borderId="0" xfId="4495" applyNumberFormat="1" applyFont="1" applyAlignment="1">
      <alignment horizontal="left"/>
    </xf>
    <xf numFmtId="0" fontId="25" fillId="0" borderId="0" xfId="4495" applyFont="1" applyAlignment="1">
      <alignment horizontal="left"/>
    </xf>
    <xf numFmtId="0" fontId="15" fillId="0" borderId="4" xfId="4495" applyFont="1" applyBorder="1" applyAlignment="1">
      <alignment vertical="top" wrapText="1"/>
    </xf>
    <xf numFmtId="0" fontId="25" fillId="0" borderId="4" xfId="4495" applyFont="1" applyBorder="1" applyAlignment="1">
      <alignment horizontal="left" vertical="top"/>
    </xf>
    <xf numFmtId="0" fontId="15" fillId="0" borderId="0" xfId="4495" applyFont="1" applyAlignment="1">
      <alignment horizontal="left" vertical="center" wrapText="1" shrinkToFit="1"/>
    </xf>
    <xf numFmtId="0" fontId="15" fillId="0" borderId="6" xfId="4495" applyFont="1" applyBorder="1" applyAlignment="1">
      <alignment horizontal="left" vertical="top" wrapText="1"/>
    </xf>
    <xf numFmtId="2" fontId="117" fillId="0" borderId="0" xfId="0" applyNumberFormat="1" applyFont="1" applyAlignment="1">
      <alignment horizontal="center"/>
    </xf>
    <xf numFmtId="9" fontId="15" fillId="0" borderId="0" xfId="4494" applyFont="1" applyAlignment="1">
      <alignment horizontal="center"/>
    </xf>
    <xf numFmtId="3" fontId="15" fillId="0" borderId="0" xfId="0" applyNumberFormat="1" applyFont="1"/>
    <xf numFmtId="10" fontId="15" fillId="0" borderId="0" xfId="0" applyNumberFormat="1" applyFont="1" applyAlignment="1">
      <alignment horizontal="center"/>
    </xf>
    <xf numFmtId="168" fontId="15" fillId="0" borderId="0" xfId="0" applyNumberFormat="1" applyFont="1"/>
    <xf numFmtId="172" fontId="15" fillId="0" borderId="11" xfId="0" applyNumberFormat="1" applyFont="1" applyBorder="1" applyAlignment="1">
      <alignment horizontal="center"/>
    </xf>
    <xf numFmtId="168" fontId="15" fillId="5" borderId="0" xfId="0" applyNumberFormat="1" applyFont="1" applyFill="1"/>
    <xf numFmtId="3" fontId="15" fillId="5" borderId="0" xfId="0" applyNumberFormat="1" applyFont="1" applyFill="1"/>
    <xf numFmtId="0" fontId="15" fillId="5" borderId="0" xfId="0" applyFont="1" applyFill="1"/>
    <xf numFmtId="3" fontId="15" fillId="5" borderId="6" xfId="0" applyNumberFormat="1" applyFont="1" applyFill="1" applyBorder="1"/>
    <xf numFmtId="3" fontId="15" fillId="0" borderId="6" xfId="0" applyNumberFormat="1" applyFont="1" applyBorder="1"/>
    <xf numFmtId="168" fontId="15" fillId="0" borderId="0" xfId="0" applyNumberFormat="1" applyFont="1" applyAlignment="1">
      <alignment horizontal="center"/>
    </xf>
    <xf numFmtId="3" fontId="15" fillId="0" borderId="0" xfId="0" applyNumberFormat="1" applyFont="1" applyAlignment="1">
      <alignment horizontal="center"/>
    </xf>
    <xf numFmtId="0" fontId="15" fillId="0" borderId="50" xfId="4495" applyFont="1" applyBorder="1" applyAlignment="1">
      <alignment vertical="center"/>
    </xf>
    <xf numFmtId="0" fontId="15" fillId="0" borderId="51" xfId="4495" applyFont="1" applyBorder="1" applyAlignment="1">
      <alignment vertical="center"/>
    </xf>
    <xf numFmtId="0" fontId="15" fillId="0" borderId="52" xfId="4495" applyFont="1" applyBorder="1" applyAlignment="1">
      <alignment vertical="center"/>
    </xf>
    <xf numFmtId="0" fontId="15" fillId="0" borderId="54" xfId="4495" applyFont="1" applyBorder="1" applyAlignment="1">
      <alignment vertical="center" wrapText="1"/>
    </xf>
    <xf numFmtId="0" fontId="15" fillId="0" borderId="53" xfId="4495" applyFont="1" applyBorder="1" applyAlignment="1">
      <alignment vertical="top" wrapText="1"/>
    </xf>
    <xf numFmtId="0" fontId="15" fillId="0" borderId="58" xfId="0" applyFont="1" applyBorder="1" applyAlignment="1">
      <alignment horizontal="left"/>
    </xf>
    <xf numFmtId="9" fontId="15" fillId="0" borderId="0" xfId="543" applyNumberFormat="1" applyAlignment="1">
      <alignment horizontal="center"/>
    </xf>
    <xf numFmtId="0" fontId="47" fillId="0" borderId="0" xfId="4496" applyFont="1"/>
    <xf numFmtId="168" fontId="52" fillId="5" borderId="11" xfId="0" applyNumberFormat="1" applyFont="1" applyFill="1" applyBorder="1" applyAlignment="1" applyProtection="1">
      <alignment vertical="top" wrapText="1"/>
      <protection locked="0"/>
    </xf>
    <xf numFmtId="0" fontId="15" fillId="0" borderId="0" xfId="0" applyFont="1" applyAlignment="1">
      <alignment horizontal="left" wrapText="1"/>
    </xf>
    <xf numFmtId="4" fontId="33" fillId="0" borderId="0" xfId="0" applyNumberFormat="1" applyFont="1" applyAlignment="1">
      <alignment horizontal="left"/>
    </xf>
    <xf numFmtId="4" fontId="15" fillId="0" borderId="0" xfId="0" applyNumberFormat="1" applyFont="1" applyAlignment="1">
      <alignment horizontal="left" vertical="top" wrapText="1"/>
    </xf>
    <xf numFmtId="0" fontId="22" fillId="0" borderId="4" xfId="0" applyFont="1" applyBorder="1" applyAlignment="1">
      <alignment horizontal="left"/>
    </xf>
    <xf numFmtId="4" fontId="15" fillId="0" borderId="0" xfId="0" applyNumberFormat="1" applyFont="1" applyAlignment="1">
      <alignment horizontal="left"/>
    </xf>
    <xf numFmtId="43" fontId="50" fillId="0" borderId="0" xfId="4504" applyFont="1" applyAlignment="1" applyProtection="1">
      <alignment horizontal="center"/>
    </xf>
    <xf numFmtId="43" fontId="15" fillId="0" borderId="0" xfId="4504" applyFont="1" applyAlignment="1" applyProtection="1">
      <alignment horizontal="center"/>
    </xf>
    <xf numFmtId="43" fontId="15" fillId="0" borderId="0" xfId="4504" applyFont="1" applyProtection="1"/>
    <xf numFmtId="49" fontId="15" fillId="0" borderId="0" xfId="0" applyNumberFormat="1" applyFont="1"/>
    <xf numFmtId="49" fontId="15" fillId="0" borderId="0" xfId="0" applyNumberFormat="1" applyFont="1" applyAlignment="1">
      <alignment horizontal="center"/>
    </xf>
    <xf numFmtId="4" fontId="15" fillId="0" borderId="0" xfId="0" applyNumberFormat="1" applyFont="1" applyAlignment="1">
      <alignment vertical="top" wrapText="1"/>
    </xf>
    <xf numFmtId="0" fontId="15" fillId="0" borderId="0" xfId="0" quotePrefix="1" applyFont="1"/>
    <xf numFmtId="0" fontId="45" fillId="0" borderId="0" xfId="0" applyFont="1" applyAlignment="1">
      <alignment horizontal="left"/>
    </xf>
    <xf numFmtId="0" fontId="15" fillId="0" borderId="4" xfId="0" applyFont="1" applyBorder="1" applyAlignment="1">
      <alignment horizontal="left"/>
    </xf>
    <xf numFmtId="0" fontId="15" fillId="0" borderId="0" xfId="0" quotePrefix="1" applyFont="1" applyAlignment="1">
      <alignment horizontal="left"/>
    </xf>
    <xf numFmtId="0" fontId="15" fillId="0" borderId="0" xfId="0" quotePrefix="1" applyFont="1" applyAlignment="1">
      <alignment horizontal="left" vertical="top"/>
    </xf>
    <xf numFmtId="0" fontId="45" fillId="0" borderId="0" xfId="1192" applyFont="1" applyAlignment="1">
      <alignment horizontal="left"/>
    </xf>
    <xf numFmtId="0" fontId="50" fillId="0" borderId="0" xfId="0" applyFont="1" applyAlignment="1">
      <alignment horizontal="center" vertical="center"/>
    </xf>
    <xf numFmtId="49" fontId="22" fillId="0" borderId="0" xfId="0" applyNumberFormat="1" applyFont="1" applyAlignment="1">
      <alignment horizontal="center" vertical="center"/>
    </xf>
    <xf numFmtId="49" fontId="15" fillId="0" borderId="0" xfId="0" applyNumberFormat="1" applyFont="1" applyAlignment="1">
      <alignment vertical="center"/>
    </xf>
    <xf numFmtId="4" fontId="15" fillId="0" borderId="0" xfId="0" applyNumberFormat="1" applyFont="1" applyAlignment="1">
      <alignment horizontal="center"/>
    </xf>
    <xf numFmtId="4" fontId="15" fillId="0" borderId="0" xfId="0" applyNumberFormat="1" applyFont="1"/>
    <xf numFmtId="10" fontId="15"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5" fillId="0" borderId="0" xfId="1192" quotePrefix="1" applyNumberFormat="1" applyAlignment="1">
      <alignment horizontal="center"/>
    </xf>
    <xf numFmtId="0" fontId="121" fillId="0" borderId="0" xfId="4495" applyFont="1"/>
    <xf numFmtId="10" fontId="121" fillId="0" borderId="0" xfId="4495" applyNumberFormat="1" applyFont="1"/>
    <xf numFmtId="172" fontId="15" fillId="0" borderId="0" xfId="4495" applyNumberFormat="1" applyFont="1"/>
    <xf numFmtId="0" fontId="38" fillId="0" borderId="0" xfId="0" applyFont="1" applyAlignment="1">
      <alignment horizontal="center"/>
    </xf>
    <xf numFmtId="0" fontId="34" fillId="0" borderId="0" xfId="0" applyFont="1" applyAlignment="1">
      <alignment horizontal="left"/>
    </xf>
    <xf numFmtId="0" fontId="0" fillId="0" borderId="10" xfId="0" applyBorder="1" applyAlignment="1">
      <alignment horizontal="left"/>
    </xf>
    <xf numFmtId="1" fontId="15" fillId="0" borderId="0" xfId="1192" applyNumberFormat="1" applyAlignment="1">
      <alignment horizontal="center"/>
    </xf>
    <xf numFmtId="0" fontId="119" fillId="0" borderId="63" xfId="4495" applyBorder="1"/>
    <xf numFmtId="0" fontId="52" fillId="0" borderId="0" xfId="271" applyFont="1" applyAlignment="1">
      <alignment vertical="top"/>
    </xf>
    <xf numFmtId="0" fontId="22" fillId="0" borderId="11" xfId="0" applyFont="1" applyBorder="1" applyAlignment="1">
      <alignment horizontal="right" vertical="top" wrapText="1"/>
    </xf>
    <xf numFmtId="0" fontId="24" fillId="0" borderId="11" xfId="271" applyBorder="1" applyAlignment="1" applyProtection="1">
      <alignment horizontal="right" vertical="top" wrapText="1"/>
      <protection locked="0"/>
    </xf>
    <xf numFmtId="0" fontId="15" fillId="0" borderId="54" xfId="4495" applyFont="1" applyBorder="1" applyAlignment="1">
      <alignment vertical="top"/>
    </xf>
    <xf numFmtId="9" fontId="24" fillId="0" borderId="0" xfId="0" applyNumberFormat="1" applyFont="1"/>
    <xf numFmtId="0" fontId="15" fillId="0" borderId="16" xfId="569" applyBorder="1" applyAlignment="1">
      <alignment horizontal="center"/>
    </xf>
    <xf numFmtId="164" fontId="15" fillId="0" borderId="57" xfId="4495" applyNumberFormat="1" applyFont="1" applyBorder="1" applyAlignment="1">
      <alignment vertical="top" wrapText="1"/>
    </xf>
    <xf numFmtId="164" fontId="15" fillId="0" borderId="58" xfId="4495" applyNumberFormat="1" applyFont="1" applyBorder="1" applyAlignment="1">
      <alignment vertical="top" wrapText="1"/>
    </xf>
    <xf numFmtId="164" fontId="15" fillId="0" borderId="59" xfId="4495" applyNumberFormat="1" applyFont="1" applyBorder="1" applyAlignment="1">
      <alignment vertical="top" wrapText="1"/>
    </xf>
    <xf numFmtId="0" fontId="22" fillId="0" borderId="0" xfId="1192" applyFont="1" applyAlignment="1">
      <alignment horizontal="left" vertical="top" wrapText="1"/>
    </xf>
    <xf numFmtId="0" fontId="15" fillId="0" borderId="16" xfId="569" applyBorder="1"/>
    <xf numFmtId="0" fontId="15" fillId="0" borderId="4" xfId="569" applyBorder="1"/>
    <xf numFmtId="0" fontId="22" fillId="0" borderId="4" xfId="569" applyFont="1" applyBorder="1"/>
    <xf numFmtId="49" fontId="15" fillId="0" borderId="4" xfId="569" applyNumberFormat="1" applyBorder="1"/>
    <xf numFmtId="0" fontId="161" fillId="0" borderId="0" xfId="0" applyFont="1"/>
    <xf numFmtId="0" fontId="15" fillId="0" borderId="0" xfId="0" applyFont="1" applyAlignment="1">
      <alignment horizontal="right"/>
    </xf>
    <xf numFmtId="1" fontId="15" fillId="0" borderId="0" xfId="0" applyNumberFormat="1" applyFont="1" applyAlignment="1">
      <alignment horizontal="center"/>
    </xf>
    <xf numFmtId="0" fontId="22" fillId="0" borderId="0" xfId="0" applyFont="1" applyAlignment="1">
      <alignment horizontal="left" vertical="center"/>
    </xf>
    <xf numFmtId="0" fontId="15" fillId="0" borderId="0" xfId="0" applyFont="1" applyAlignment="1">
      <alignment horizontal="left" vertical="center"/>
    </xf>
    <xf numFmtId="0" fontId="22" fillId="0" borderId="0" xfId="569" applyFont="1" applyAlignment="1">
      <alignment vertical="top"/>
    </xf>
    <xf numFmtId="0" fontId="16" fillId="0" borderId="0" xfId="244" applyAlignment="1"/>
    <xf numFmtId="0" fontId="22" fillId="0" borderId="0" xfId="0" applyFont="1" applyAlignment="1">
      <alignment vertical="top" wrapText="1"/>
    </xf>
    <xf numFmtId="49" fontId="22" fillId="0" borderId="0" xfId="0" applyNumberFormat="1" applyFont="1"/>
    <xf numFmtId="49" fontId="22" fillId="0" borderId="0" xfId="0" applyNumberFormat="1" applyFont="1" applyAlignment="1">
      <alignment vertical="top"/>
    </xf>
    <xf numFmtId="0" fontId="38" fillId="0" borderId="11" xfId="0" applyFont="1" applyBorder="1"/>
    <xf numFmtId="175" fontId="15"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2"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82" fontId="97" fillId="0" borderId="11" xfId="4496" applyNumberFormat="1" applyFont="1" applyBorder="1" applyAlignment="1">
      <alignment horizontal="left"/>
    </xf>
    <xf numFmtId="1" fontId="97" fillId="0" borderId="0" xfId="4496" applyNumberFormat="1" applyFont="1"/>
    <xf numFmtId="2" fontId="97" fillId="0" borderId="0" xfId="4496" applyNumberFormat="1" applyFont="1" applyAlignment="1">
      <alignment horizontal="center"/>
    </xf>
    <xf numFmtId="2"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2"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9" fontId="97" fillId="0" borderId="0" xfId="4494" applyFont="1" applyFill="1" applyBorder="1" applyProtection="1"/>
    <xf numFmtId="3" fontId="20" fillId="0" borderId="11" xfId="271" applyNumberFormat="1" applyFont="1" applyBorder="1" applyAlignment="1">
      <alignment horizontal="center"/>
    </xf>
    <xf numFmtId="3" fontId="20" fillId="43" borderId="11" xfId="271" applyNumberFormat="1" applyFont="1" applyFill="1" applyBorder="1" applyAlignment="1" applyProtection="1">
      <alignment horizontal="center"/>
      <protection locked="0"/>
    </xf>
    <xf numFmtId="3" fontId="20" fillId="43" borderId="11" xfId="271" applyNumberFormat="1" applyFont="1" applyFill="1" applyBorder="1" applyProtection="1">
      <protection locked="0"/>
    </xf>
    <xf numFmtId="0" fontId="97" fillId="0" borderId="0" xfId="4496" applyFont="1" applyAlignment="1">
      <alignment horizontal="right"/>
    </xf>
    <xf numFmtId="168" fontId="24"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71" xfId="4496" applyFont="1" applyBorder="1" applyAlignment="1">
      <alignment horizontal="center" vertical="top" wrapText="1"/>
    </xf>
    <xf numFmtId="0" fontId="136" fillId="0" borderId="71" xfId="4496" applyFont="1" applyBorder="1" applyAlignment="1">
      <alignment horizontal="center"/>
    </xf>
    <xf numFmtId="0" fontId="166"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86"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97" fillId="0" borderId="15" xfId="4496" applyNumberFormat="1" applyFont="1" applyBorder="1"/>
    <xf numFmtId="182" fontId="136" fillId="0" borderId="71" xfId="8722" applyNumberFormat="1" applyFont="1" applyBorder="1" applyProtection="1"/>
    <xf numFmtId="9" fontId="97" fillId="0" borderId="15" xfId="4494" applyFont="1" applyFill="1" applyBorder="1" applyAlignment="1" applyProtection="1">
      <alignment horizontal="right"/>
    </xf>
    <xf numFmtId="182" fontId="136" fillId="0" borderId="71" xfId="4496" applyNumberFormat="1" applyFont="1" applyBorder="1"/>
    <xf numFmtId="0" fontId="166" fillId="0" borderId="0" xfId="4496" applyFont="1" applyAlignment="1">
      <alignment horizontal="right"/>
    </xf>
    <xf numFmtId="0" fontId="97" fillId="0" borderId="0" xfId="4496" applyFont="1" applyAlignment="1">
      <alignment horizontal="right" vertical="top" wrapText="1" indent="1"/>
    </xf>
    <xf numFmtId="182" fontId="97" fillId="0" borderId="6" xfId="8722"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2"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2"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70" xfId="4496" applyFont="1" applyBorder="1" applyAlignment="1">
      <alignment horizontal="right" indent="1"/>
    </xf>
    <xf numFmtId="0" fontId="97" fillId="0" borderId="80" xfId="4496" applyFont="1" applyBorder="1" applyAlignment="1">
      <alignment horizontal="right" indent="1"/>
    </xf>
    <xf numFmtId="0" fontId="97" fillId="0" borderId="80" xfId="4496" quotePrefix="1" applyFont="1" applyBorder="1" applyAlignment="1">
      <alignment horizontal="right" indent="1"/>
    </xf>
    <xf numFmtId="0" fontId="97" fillId="0" borderId="72" xfId="4496" applyFont="1" applyBorder="1" applyAlignment="1">
      <alignment horizontal="right" indent="1"/>
    </xf>
    <xf numFmtId="182" fontId="97" fillId="0" borderId="74" xfId="4496" applyNumberFormat="1" applyFont="1" applyBorder="1"/>
    <xf numFmtId="182" fontId="97" fillId="0" borderId="91" xfId="4496" applyNumberFormat="1" applyFont="1" applyBorder="1"/>
    <xf numFmtId="182" fontId="97" fillId="0" borderId="93" xfId="4496" applyNumberFormat="1" applyFont="1" applyBorder="1"/>
    <xf numFmtId="175" fontId="22" fillId="0" borderId="0" xfId="543" applyNumberFormat="1" applyFont="1" applyAlignment="1">
      <alignment vertical="center"/>
    </xf>
    <xf numFmtId="10" fontId="136" fillId="0" borderId="0" xfId="4494" applyNumberFormat="1" applyFont="1" applyProtection="1"/>
    <xf numFmtId="0" fontId="22"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71"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3" xfId="4496" applyNumberFormat="1" applyFont="1" applyBorder="1"/>
    <xf numFmtId="0" fontId="136" fillId="0" borderId="4" xfId="4496" applyFont="1" applyBorder="1" applyAlignment="1">
      <alignment horizontal="left" indent="1"/>
    </xf>
    <xf numFmtId="0" fontId="97" fillId="0" borderId="4" xfId="4496" applyFont="1" applyBorder="1"/>
    <xf numFmtId="0" fontId="33" fillId="0" borderId="0" xfId="4495" applyFont="1" applyAlignment="1">
      <alignment vertical="center"/>
    </xf>
    <xf numFmtId="0" fontId="121" fillId="0" borderId="0" xfId="4496" applyFont="1" applyAlignment="1">
      <alignment vertical="center" wrapText="1"/>
    </xf>
    <xf numFmtId="0" fontId="20" fillId="43" borderId="0" xfId="1192" applyFont="1" applyFill="1"/>
    <xf numFmtId="3" fontId="67" fillId="43" borderId="6" xfId="1192" applyNumberFormat="1" applyFont="1" applyFill="1" applyBorder="1"/>
    <xf numFmtId="0" fontId="168" fillId="0" borderId="0" xfId="0" applyFont="1"/>
    <xf numFmtId="0" fontId="20" fillId="0" borderId="11" xfId="253" applyFont="1" applyBorder="1" applyAlignment="1" applyProtection="1">
      <alignment horizontal="center" wrapText="1"/>
      <protection locked="0"/>
    </xf>
    <xf numFmtId="0" fontId="169" fillId="0" borderId="0" xfId="0" applyFont="1"/>
    <xf numFmtId="0" fontId="170"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5" fillId="43" borderId="3" xfId="569" applyFill="1" applyBorder="1"/>
    <xf numFmtId="0" fontId="175" fillId="0" borderId="0" xfId="0" applyFont="1" applyAlignment="1">
      <alignment horizontal="right"/>
    </xf>
    <xf numFmtId="1" fontId="23" fillId="0" borderId="0" xfId="4495" applyNumberFormat="1" applyFont="1"/>
    <xf numFmtId="0" fontId="3" fillId="0" borderId="0" xfId="8726"/>
    <xf numFmtId="0" fontId="102" fillId="0" borderId="0" xfId="8726" applyFont="1"/>
    <xf numFmtId="0" fontId="154" fillId="0" borderId="0" xfId="8726" applyFont="1"/>
    <xf numFmtId="0" fontId="3" fillId="48" borderId="44" xfId="8726" applyFill="1" applyBorder="1"/>
    <xf numFmtId="0" fontId="3" fillId="48" borderId="42" xfId="8726" applyFill="1" applyBorder="1"/>
    <xf numFmtId="0" fontId="3" fillId="48" borderId="41" xfId="8726" applyFill="1" applyBorder="1"/>
    <xf numFmtId="0" fontId="3" fillId="44" borderId="44" xfId="8726" applyFill="1" applyBorder="1"/>
    <xf numFmtId="0" fontId="3" fillId="44" borderId="42" xfId="8726" applyFill="1" applyBorder="1"/>
    <xf numFmtId="0" fontId="3" fillId="44" borderId="86" xfId="8726" applyFill="1" applyBorder="1"/>
    <xf numFmtId="0" fontId="3" fillId="48" borderId="0" xfId="8726" applyFill="1"/>
    <xf numFmtId="0" fontId="3" fillId="44" borderId="41" xfId="8726" applyFill="1" applyBorder="1"/>
    <xf numFmtId="0" fontId="3" fillId="44" borderId="0" xfId="8726" applyFill="1"/>
    <xf numFmtId="0" fontId="3" fillId="44" borderId="66" xfId="8726" applyFill="1" applyBorder="1"/>
    <xf numFmtId="0" fontId="3" fillId="44" borderId="0" xfId="8726" applyFill="1" applyAlignment="1">
      <alignment horizontal="left"/>
    </xf>
    <xf numFmtId="0" fontId="3" fillId="48" borderId="86" xfId="8726" applyFill="1" applyBorder="1"/>
    <xf numFmtId="0" fontId="3" fillId="48" borderId="66" xfId="8726" applyFill="1" applyBorder="1"/>
    <xf numFmtId="49" fontId="101" fillId="48" borderId="66" xfId="8726" applyNumberFormat="1" applyFont="1" applyFill="1" applyBorder="1" applyAlignment="1">
      <alignment horizontal="right" vertical="top"/>
    </xf>
    <xf numFmtId="0" fontId="101" fillId="48" borderId="0" xfId="8726" applyFont="1" applyFill="1"/>
    <xf numFmtId="0" fontId="101" fillId="48" borderId="66" xfId="8726" applyFont="1" applyFill="1" applyBorder="1"/>
    <xf numFmtId="0" fontId="101" fillId="48" borderId="41" xfId="8726" applyFont="1" applyFill="1" applyBorder="1" applyAlignment="1">
      <alignment horizontal="center"/>
    </xf>
    <xf numFmtId="0" fontId="102" fillId="48" borderId="0" xfId="8726" applyFont="1" applyFill="1"/>
    <xf numFmtId="0" fontId="3" fillId="48" borderId="69" xfId="8726" applyFill="1" applyBorder="1"/>
    <xf numFmtId="168" fontId="158" fillId="48" borderId="68" xfId="700" applyNumberFormat="1" applyFont="1" applyFill="1" applyBorder="1" applyAlignment="1" applyProtection="1">
      <protection locked="0"/>
    </xf>
    <xf numFmtId="0" fontId="163" fillId="48" borderId="0" xfId="8726" applyFont="1" applyFill="1"/>
    <xf numFmtId="0" fontId="148" fillId="47" borderId="91" xfId="8726" applyFont="1" applyFill="1" applyBorder="1" applyAlignment="1">
      <alignment horizontal="center"/>
    </xf>
    <xf numFmtId="0" fontId="148" fillId="47" borderId="11" xfId="8726" applyFont="1" applyFill="1" applyBorder="1" applyAlignment="1">
      <alignment horizontal="center"/>
    </xf>
    <xf numFmtId="0" fontId="162" fillId="47" borderId="91" xfId="8726" applyFont="1" applyFill="1" applyBorder="1"/>
    <xf numFmtId="0" fontId="162" fillId="47" borderId="11" xfId="8726" applyFont="1" applyFill="1" applyBorder="1"/>
    <xf numFmtId="0" fontId="3" fillId="45" borderId="69" xfId="8726" applyFill="1" applyBorder="1"/>
    <xf numFmtId="0" fontId="3" fillId="45" borderId="68" xfId="8726" applyFill="1" applyBorder="1"/>
    <xf numFmtId="0" fontId="101" fillId="45" borderId="68" xfId="8726" applyFont="1" applyFill="1" applyBorder="1"/>
    <xf numFmtId="0" fontId="101" fillId="45" borderId="67" xfId="8726" applyFont="1" applyFill="1" applyBorder="1"/>
    <xf numFmtId="0" fontId="101" fillId="45" borderId="69" xfId="8726" applyFont="1" applyFill="1" applyBorder="1"/>
    <xf numFmtId="0" fontId="3" fillId="48" borderId="0" xfId="8726" applyFill="1" applyAlignment="1">
      <alignment horizontal="left"/>
    </xf>
    <xf numFmtId="0" fontId="152" fillId="48" borderId="0" xfId="8726" applyFont="1" applyFill="1"/>
    <xf numFmtId="0" fontId="101" fillId="45" borderId="89" xfId="8726" applyFont="1" applyFill="1" applyBorder="1"/>
    <xf numFmtId="0" fontId="101" fillId="45" borderId="76" xfId="8726" applyFont="1" applyFill="1" applyBorder="1"/>
    <xf numFmtId="0" fontId="101" fillId="45" borderId="75" xfId="8726" applyFont="1" applyFill="1" applyBorder="1"/>
    <xf numFmtId="0" fontId="101" fillId="45" borderId="31" xfId="8726" applyFont="1" applyFill="1" applyBorder="1"/>
    <xf numFmtId="0" fontId="101" fillId="45" borderId="29" xfId="8726" applyFont="1" applyFill="1" applyBorder="1"/>
    <xf numFmtId="0" fontId="101" fillId="45" borderId="65" xfId="8726" applyFont="1" applyFill="1" applyBorder="1"/>
    <xf numFmtId="0" fontId="3" fillId="45" borderId="83" xfId="8726" applyFill="1" applyBorder="1"/>
    <xf numFmtId="0" fontId="3" fillId="45" borderId="82" xfId="8726" applyFill="1" applyBorder="1"/>
    <xf numFmtId="0" fontId="3" fillId="45" borderId="81" xfId="8726" applyFill="1" applyBorder="1"/>
    <xf numFmtId="0" fontId="101" fillId="45" borderId="81" xfId="8726" applyFont="1" applyFill="1" applyBorder="1"/>
    <xf numFmtId="0" fontId="3" fillId="45" borderId="31" xfId="8726" applyFill="1" applyBorder="1"/>
    <xf numFmtId="0" fontId="3" fillId="45" borderId="29" xfId="8726" applyFill="1" applyBorder="1"/>
    <xf numFmtId="0" fontId="3" fillId="45" borderId="67" xfId="8726" applyFill="1" applyBorder="1"/>
    <xf numFmtId="0" fontId="85" fillId="0" borderId="0" xfId="8726" applyFont="1"/>
    <xf numFmtId="0" fontId="3" fillId="45" borderId="99" xfId="8726" applyFill="1" applyBorder="1"/>
    <xf numFmtId="0" fontId="3" fillId="45" borderId="65" xfId="8726" applyFill="1" applyBorder="1"/>
    <xf numFmtId="0" fontId="101" fillId="45" borderId="28" xfId="8726" applyFont="1" applyFill="1" applyBorder="1"/>
    <xf numFmtId="0" fontId="3" fillId="52" borderId="101" xfId="8726" applyFill="1" applyBorder="1"/>
    <xf numFmtId="0" fontId="3" fillId="51" borderId="101" xfId="8726" applyFill="1" applyBorder="1"/>
    <xf numFmtId="0" fontId="101" fillId="50" borderId="100" xfId="8726" applyFont="1" applyFill="1" applyBorder="1"/>
    <xf numFmtId="0" fontId="101" fillId="0" borderId="0" xfId="8726" applyFont="1"/>
    <xf numFmtId="0" fontId="101" fillId="48" borderId="41" xfId="8726" applyFont="1" applyFill="1" applyBorder="1"/>
    <xf numFmtId="0" fontId="150" fillId="48" borderId="0" xfId="8726" applyFont="1" applyFill="1"/>
    <xf numFmtId="182" fontId="164" fillId="48" borderId="0" xfId="8727" applyNumberFormat="1" applyFont="1" applyFill="1" applyBorder="1" applyAlignment="1"/>
    <xf numFmtId="0" fontId="22" fillId="0" borderId="4" xfId="569" applyFont="1" applyBorder="1" applyAlignment="1">
      <alignment horizontal="center"/>
    </xf>
    <xf numFmtId="43" fontId="22" fillId="0" borderId="0" xfId="4504" applyFont="1" applyAlignment="1" applyProtection="1">
      <alignment horizontal="center"/>
    </xf>
    <xf numFmtId="0" fontId="22" fillId="0" borderId="0" xfId="569" applyFont="1" applyAlignment="1">
      <alignment horizontal="center" vertical="center"/>
    </xf>
    <xf numFmtId="0" fontId="22" fillId="0" borderId="16" xfId="569" applyFont="1" applyBorder="1" applyAlignment="1">
      <alignment horizontal="center"/>
    </xf>
    <xf numFmtId="49" fontId="22" fillId="0" borderId="4" xfId="569" applyNumberFormat="1" applyFont="1" applyBorder="1" applyAlignment="1">
      <alignment horizontal="center"/>
    </xf>
    <xf numFmtId="4" fontId="22" fillId="0" borderId="0" xfId="569" applyNumberFormat="1" applyFont="1" applyAlignment="1">
      <alignment horizontal="center"/>
    </xf>
    <xf numFmtId="0" fontId="15" fillId="0" borderId="0" xfId="569" applyAlignment="1">
      <alignment horizontal="center" wrapText="1"/>
    </xf>
    <xf numFmtId="0" fontId="97" fillId="0" borderId="6" xfId="4496" applyFont="1" applyBorder="1" applyAlignment="1">
      <alignment horizontal="left" vertical="top"/>
    </xf>
    <xf numFmtId="0" fontId="15" fillId="0" borderId="0" xfId="0" applyFont="1" applyAlignment="1">
      <alignment horizontal="left" vertical="top" wrapText="1"/>
    </xf>
    <xf numFmtId="0" fontId="16" fillId="0" borderId="0" xfId="244"/>
    <xf numFmtId="0" fontId="0" fillId="0" borderId="0" xfId="0"/>
    <xf numFmtId="0" fontId="15" fillId="0" borderId="0" xfId="1192" applyAlignment="1">
      <alignment horizontal="left" vertical="top" wrapText="1"/>
    </xf>
    <xf numFmtId="0" fontId="22" fillId="0" borderId="0" xfId="0" applyFont="1" applyAlignment="1">
      <alignment horizontal="left" vertical="top" wrapText="1"/>
    </xf>
    <xf numFmtId="0" fontId="44" fillId="0" borderId="0" xfId="0" applyFont="1" applyAlignment="1">
      <alignment horizontal="left" vertical="top" wrapText="1"/>
    </xf>
    <xf numFmtId="0" fontId="15" fillId="0" borderId="0" xfId="0" applyFont="1" applyAlignment="1">
      <alignment horizontal="left" wrapText="1"/>
    </xf>
    <xf numFmtId="0" fontId="16" fillId="0" borderId="0" xfId="244" applyAlignment="1" applyProtection="1">
      <alignment horizontal="left"/>
    </xf>
    <xf numFmtId="0" fontId="112" fillId="0" borderId="0" xfId="0" applyFont="1" applyAlignment="1">
      <alignment horizontal="left" wrapText="1"/>
    </xf>
    <xf numFmtId="0" fontId="24" fillId="0" borderId="0" xfId="0" applyFont="1" applyAlignment="1">
      <alignment horizontal="left" wrapText="1"/>
    </xf>
    <xf numFmtId="0" fontId="21" fillId="3" borderId="0" xfId="0" applyFont="1" applyFill="1" applyAlignment="1">
      <alignment horizontal="center" vertical="center" wrapText="1"/>
    </xf>
    <xf numFmtId="0" fontId="21" fillId="3" borderId="16" xfId="0" applyFont="1" applyFill="1" applyBorder="1" applyAlignment="1">
      <alignment horizontal="center" vertical="center" wrapText="1"/>
    </xf>
    <xf numFmtId="0" fontId="104" fillId="0" borderId="0" xfId="0" applyFont="1" applyAlignment="1">
      <alignment horizontal="left" vertical="top" wrapText="1"/>
    </xf>
    <xf numFmtId="0" fontId="33" fillId="0" borderId="0" xfId="569" applyFont="1" applyAlignment="1">
      <alignment horizontal="left"/>
    </xf>
    <xf numFmtId="4" fontId="15" fillId="0" borderId="0" xfId="569" applyNumberFormat="1" applyAlignment="1">
      <alignment horizontal="left"/>
    </xf>
    <xf numFmtId="0" fontId="15" fillId="0" borderId="0" xfId="569" applyAlignment="1">
      <alignment horizontal="left" vertical="top" wrapText="1"/>
    </xf>
    <xf numFmtId="4" fontId="33" fillId="0" borderId="0" xfId="569" applyNumberFormat="1" applyFont="1" applyAlignment="1">
      <alignment horizontal="left" vertical="top" wrapText="1"/>
    </xf>
    <xf numFmtId="4" fontId="15" fillId="0" borderId="0" xfId="569" applyNumberFormat="1" applyAlignment="1">
      <alignment horizontal="left" vertical="top" wrapText="1"/>
    </xf>
    <xf numFmtId="0" fontId="24" fillId="0" borderId="0" xfId="0" applyFont="1" applyAlignment="1">
      <alignment horizontal="left" vertical="top"/>
    </xf>
    <xf numFmtId="0" fontId="33" fillId="0" borderId="0" xfId="0" applyFont="1" applyAlignment="1">
      <alignment horizontal="left"/>
    </xf>
    <xf numFmtId="0" fontId="15" fillId="0" borderId="0" xfId="0" applyFont="1" applyAlignment="1">
      <alignment horizontal="left"/>
    </xf>
    <xf numFmtId="0" fontId="22" fillId="0" borderId="4" xfId="569" applyFont="1" applyBorder="1" applyAlignment="1">
      <alignment horizontal="left"/>
    </xf>
    <xf numFmtId="0" fontId="22" fillId="0" borderId="4" xfId="569" applyFont="1" applyBorder="1" applyAlignment="1">
      <alignment horizontal="left" vertical="top"/>
    </xf>
    <xf numFmtId="0" fontId="33" fillId="0" borderId="0" xfId="0" applyFont="1" applyAlignment="1">
      <alignment horizontal="left" wrapText="1"/>
    </xf>
    <xf numFmtId="0" fontId="15" fillId="0" borderId="0" xfId="0" applyFont="1" applyAlignment="1">
      <alignment horizontal="left" vertical="top"/>
    </xf>
    <xf numFmtId="0" fontId="22" fillId="0" borderId="0" xfId="0" applyFont="1" applyAlignment="1">
      <alignment horizontal="left"/>
    </xf>
    <xf numFmtId="0" fontId="24" fillId="0" borderId="0" xfId="0" applyFont="1" applyAlignment="1">
      <alignment horizontal="left"/>
    </xf>
    <xf numFmtId="0" fontId="16" fillId="0" borderId="0" xfId="244" quotePrefix="1" applyAlignment="1" applyProtection="1">
      <alignment horizontal="left"/>
    </xf>
    <xf numFmtId="0" fontId="22" fillId="0" borderId="4" xfId="0" applyFont="1" applyBorder="1" applyAlignment="1">
      <alignment horizontal="left"/>
    </xf>
    <xf numFmtId="0" fontId="33" fillId="0" borderId="0" xfId="569" applyFont="1" applyAlignment="1">
      <alignment horizontal="left" vertical="top"/>
    </xf>
    <xf numFmtId="0" fontId="15" fillId="0" borderId="0" xfId="569" applyAlignment="1">
      <alignment horizontal="left" vertical="top"/>
    </xf>
    <xf numFmtId="0" fontId="22" fillId="0" borderId="0" xfId="569" applyFont="1" applyAlignment="1">
      <alignment horizontal="left" vertical="top"/>
    </xf>
    <xf numFmtId="0" fontId="33" fillId="0" borderId="0" xfId="0" applyFont="1" applyAlignment="1">
      <alignment horizontal="left" vertical="top" wrapText="1"/>
    </xf>
    <xf numFmtId="4" fontId="15" fillId="0" borderId="0" xfId="0" applyNumberFormat="1" applyFont="1" applyAlignment="1">
      <alignment horizontal="left" vertical="top" wrapText="1"/>
    </xf>
    <xf numFmtId="4" fontId="33" fillId="0" borderId="0" xfId="0" applyNumberFormat="1" applyFont="1" applyAlignment="1">
      <alignment horizontal="left"/>
    </xf>
    <xf numFmtId="4" fontId="16" fillId="0" borderId="0" xfId="244" applyNumberFormat="1" applyFill="1" applyAlignment="1" applyProtection="1">
      <alignment horizontal="left"/>
    </xf>
    <xf numFmtId="0" fontId="15" fillId="0" borderId="0" xfId="271" applyFont="1" applyAlignment="1">
      <alignment horizontal="left" vertical="top" wrapText="1"/>
    </xf>
    <xf numFmtId="4" fontId="15" fillId="0" borderId="0" xfId="1192" applyNumberFormat="1" applyAlignment="1">
      <alignment horizontal="left" vertical="top" wrapText="1"/>
    </xf>
    <xf numFmtId="0" fontId="33" fillId="0" borderId="0" xfId="0" applyFont="1" applyAlignment="1">
      <alignment horizontal="center"/>
    </xf>
    <xf numFmtId="0" fontId="0" fillId="0" borderId="0" xfId="0" applyAlignment="1">
      <alignment horizontal="center"/>
    </xf>
    <xf numFmtId="0" fontId="22" fillId="0" borderId="0" xfId="0" applyFont="1" applyAlignment="1">
      <alignment horizontal="center"/>
    </xf>
    <xf numFmtId="49" fontId="15" fillId="0" borderId="0" xfId="0" applyNumberFormat="1" applyFont="1" applyAlignment="1">
      <alignment horizontal="left" vertical="top" wrapText="1"/>
    </xf>
    <xf numFmtId="49" fontId="15" fillId="0" borderId="0" xfId="1192" applyNumberFormat="1" applyAlignment="1">
      <alignment horizontal="left" vertical="top" wrapText="1"/>
    </xf>
    <xf numFmtId="0" fontId="33" fillId="0" borderId="0" xfId="569" applyFont="1" applyAlignment="1">
      <alignment horizontal="left" vertical="top" wrapText="1"/>
    </xf>
    <xf numFmtId="0" fontId="15" fillId="0" borderId="0" xfId="569" applyAlignment="1">
      <alignment horizontal="left"/>
    </xf>
    <xf numFmtId="0" fontId="16" fillId="0" borderId="0" xfId="244" applyAlignment="1">
      <alignment horizontal="left"/>
    </xf>
    <xf numFmtId="0" fontId="22" fillId="0" borderId="16" xfId="0" applyFont="1" applyBorder="1" applyAlignment="1">
      <alignment horizontal="left"/>
    </xf>
    <xf numFmtId="0" fontId="15" fillId="0" borderId="27" xfId="0" applyFont="1" applyBorder="1" applyAlignment="1">
      <alignment horizontal="left"/>
    </xf>
    <xf numFmtId="0" fontId="15" fillId="0" borderId="0" xfId="1192" applyAlignment="1">
      <alignment horizontal="left"/>
    </xf>
    <xf numFmtId="0" fontId="0" fillId="0" borderId="0" xfId="0" applyAlignment="1">
      <alignment horizontal="left" vertical="top" wrapText="1"/>
    </xf>
    <xf numFmtId="0" fontId="15" fillId="0" borderId="0" xfId="271" applyFont="1" applyAlignment="1" applyProtection="1">
      <alignment horizontal="left" vertical="top" wrapText="1"/>
      <protection locked="0"/>
    </xf>
    <xf numFmtId="0" fontId="33" fillId="0" borderId="0" xfId="1192" applyFont="1" applyAlignment="1">
      <alignment horizontal="left"/>
    </xf>
    <xf numFmtId="0" fontId="22" fillId="0" borderId="0" xfId="271" applyFont="1" applyAlignment="1">
      <alignment horizontal="left" vertical="top" wrapText="1"/>
    </xf>
    <xf numFmtId="0" fontId="113" fillId="0" borderId="0" xfId="569" applyFont="1" applyAlignment="1">
      <alignment horizontal="center"/>
    </xf>
    <xf numFmtId="0" fontId="114" fillId="0" borderId="0" xfId="569" applyFont="1"/>
    <xf numFmtId="0" fontId="15" fillId="0" borderId="0" xfId="569" applyAlignment="1">
      <alignment wrapText="1"/>
    </xf>
    <xf numFmtId="0" fontId="22" fillId="0" borderId="0" xfId="569" applyFont="1" applyAlignment="1">
      <alignment wrapText="1"/>
    </xf>
    <xf numFmtId="0" fontId="30" fillId="0" borderId="0" xfId="569" applyFont="1" applyAlignment="1">
      <alignment horizontal="center"/>
    </xf>
    <xf numFmtId="0" fontId="15" fillId="0" borderId="0" xfId="569"/>
    <xf numFmtId="0" fontId="15" fillId="0" borderId="0" xfId="1192" applyAlignment="1">
      <alignment vertical="top" wrapText="1"/>
    </xf>
    <xf numFmtId="0" fontId="33" fillId="0" borderId="0" xfId="569" applyFont="1" applyAlignment="1">
      <alignment horizontal="center"/>
    </xf>
    <xf numFmtId="0" fontId="22" fillId="0" borderId="0" xfId="569" applyFont="1" applyAlignment="1">
      <alignment horizontal="center"/>
    </xf>
    <xf numFmtId="0" fontId="15" fillId="0" borderId="15" xfId="569" applyBorder="1" applyAlignment="1">
      <alignment horizontal="center" vertical="top" wrapText="1"/>
    </xf>
    <xf numFmtId="0" fontId="15" fillId="0" borderId="14" xfId="569" applyBorder="1" applyAlignment="1">
      <alignment horizontal="center" vertical="top" wrapText="1"/>
    </xf>
    <xf numFmtId="0" fontId="15" fillId="0" borderId="13" xfId="569" applyBorder="1" applyAlignment="1">
      <alignment horizontal="center" vertical="top" wrapText="1"/>
    </xf>
    <xf numFmtId="0" fontId="15" fillId="0" borderId="0" xfId="1192" applyAlignment="1" applyProtection="1">
      <alignment horizontal="left" vertical="top" wrapText="1"/>
      <protection locked="0"/>
    </xf>
    <xf numFmtId="0" fontId="15" fillId="0" borderId="27" xfId="569" applyBorder="1" applyAlignment="1">
      <alignment horizontal="left"/>
    </xf>
    <xf numFmtId="0" fontId="16" fillId="0" borderId="0" xfId="244" applyAlignment="1" applyProtection="1">
      <alignment horizontal="left" vertical="top" wrapText="1"/>
    </xf>
    <xf numFmtId="0" fontId="22" fillId="0" borderId="0" xfId="569" applyFont="1" applyAlignment="1">
      <alignment horizontal="left"/>
    </xf>
    <xf numFmtId="0" fontId="22" fillId="0" borderId="4" xfId="0" applyFont="1" applyBorder="1" applyAlignment="1">
      <alignment horizontal="left" vertical="top"/>
    </xf>
    <xf numFmtId="0" fontId="22" fillId="0" borderId="16" xfId="569" applyFont="1" applyBorder="1" applyAlignment="1">
      <alignment horizontal="left"/>
    </xf>
    <xf numFmtId="0" fontId="15" fillId="0" borderId="0" xfId="569" applyAlignment="1">
      <alignment horizontal="left" vertical="center" wrapText="1"/>
    </xf>
    <xf numFmtId="0" fontId="22" fillId="0" borderId="0" xfId="0" applyFont="1" applyAlignment="1">
      <alignment horizontal="left" vertical="top"/>
    </xf>
    <xf numFmtId="0" fontId="16" fillId="0" borderId="0" xfId="244" applyNumberFormat="1" applyFill="1" applyAlignment="1" applyProtection="1">
      <alignment horizontal="left"/>
    </xf>
    <xf numFmtId="0" fontId="33" fillId="0" borderId="0" xfId="569" applyFont="1" applyAlignment="1">
      <alignment horizontal="left" wrapText="1"/>
    </xf>
    <xf numFmtId="0" fontId="33" fillId="0" borderId="0" xfId="569" applyFont="1" applyAlignment="1">
      <alignment horizontal="center" wrapText="1"/>
    </xf>
    <xf numFmtId="0" fontId="15" fillId="0" borderId="0" xfId="0" quotePrefix="1" applyFont="1" applyAlignment="1">
      <alignment horizontal="left" vertical="top"/>
    </xf>
    <xf numFmtId="0" fontId="15" fillId="0" borderId="0" xfId="0" quotePrefix="1" applyFont="1" applyAlignment="1">
      <alignment horizontal="left" vertical="top" wrapText="1"/>
    </xf>
    <xf numFmtId="0" fontId="15" fillId="0" borderId="0" xfId="569" applyAlignment="1">
      <alignment vertical="top" wrapText="1"/>
    </xf>
    <xf numFmtId="4" fontId="33" fillId="0" borderId="0" xfId="0" applyNumberFormat="1" applyFont="1" applyAlignment="1">
      <alignment horizontal="left" vertical="top" wrapText="1"/>
    </xf>
    <xf numFmtId="0" fontId="33" fillId="0" borderId="0" xfId="1192" applyFont="1" applyAlignment="1">
      <alignment horizontal="left" vertical="top" wrapText="1"/>
    </xf>
    <xf numFmtId="0" fontId="22" fillId="0" borderId="0" xfId="1192" applyFont="1" applyAlignment="1">
      <alignment horizontal="left" vertical="top" wrapText="1"/>
    </xf>
    <xf numFmtId="4" fontId="15" fillId="0" borderId="0" xfId="0" applyNumberFormat="1" applyFont="1" applyAlignment="1">
      <alignment horizontal="left"/>
    </xf>
    <xf numFmtId="0" fontId="22" fillId="0" borderId="0" xfId="0" applyFont="1" applyAlignment="1">
      <alignment vertical="top" wrapText="1"/>
    </xf>
    <xf numFmtId="0" fontId="15" fillId="0" borderId="0" xfId="0" applyFont="1" applyAlignment="1">
      <alignment horizontal="left" vertical="center" wrapText="1"/>
    </xf>
    <xf numFmtId="0" fontId="15" fillId="0" borderId="0" xfId="569" applyAlignment="1">
      <alignment horizontal="left" wrapText="1"/>
    </xf>
    <xf numFmtId="0" fontId="15" fillId="0" borderId="0" xfId="0" applyFont="1" applyAlignment="1">
      <alignment vertical="top" wrapText="1"/>
    </xf>
    <xf numFmtId="0" fontId="16" fillId="0" borderId="0" xfId="244" applyFill="1" applyBorder="1" applyAlignment="1">
      <alignment horizontal="left" vertical="top" wrapText="1"/>
    </xf>
    <xf numFmtId="0" fontId="33" fillId="0" borderId="0" xfId="0" applyFont="1" applyAlignment="1">
      <alignment horizontal="left" vertical="top"/>
    </xf>
    <xf numFmtId="165" fontId="24" fillId="0" borderId="1" xfId="0" applyNumberFormat="1" applyFont="1" applyBorder="1" applyAlignment="1">
      <alignment horizontal="right"/>
    </xf>
    <xf numFmtId="165" fontId="24" fillId="0" borderId="2" xfId="0" applyNumberFormat="1" applyFont="1" applyBorder="1" applyAlignment="1">
      <alignment horizontal="right"/>
    </xf>
    <xf numFmtId="165" fontId="24" fillId="0" borderId="7" xfId="0" applyNumberFormat="1" applyFont="1" applyBorder="1" applyAlignment="1">
      <alignment horizontal="right"/>
    </xf>
    <xf numFmtId="0" fontId="0" fillId="0" borderId="11" xfId="0"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15" fillId="0" borderId="5" xfId="0" applyFont="1" applyBorder="1" applyAlignment="1">
      <alignment horizontal="center"/>
    </xf>
    <xf numFmtId="0" fontId="24" fillId="0" borderId="11" xfId="0" applyFont="1" applyBorder="1" applyAlignment="1">
      <alignment horizontal="center"/>
    </xf>
    <xf numFmtId="0" fontId="15" fillId="0" borderId="11" xfId="0" applyFont="1" applyBorder="1" applyAlignment="1">
      <alignment horizontal="center"/>
    </xf>
    <xf numFmtId="0" fontId="24" fillId="2" borderId="11" xfId="0" applyFont="1" applyFill="1" applyBorder="1" applyAlignment="1">
      <alignment horizontal="center"/>
    </xf>
    <xf numFmtId="0" fontId="24" fillId="45" borderId="11" xfId="0" applyFont="1" applyFill="1" applyBorder="1" applyAlignment="1">
      <alignment horizontal="center"/>
    </xf>
    <xf numFmtId="0" fontId="24" fillId="45" borderId="3" xfId="0" applyFont="1" applyFill="1" applyBorder="1" applyAlignment="1">
      <alignment horizontal="center"/>
    </xf>
    <xf numFmtId="0" fontId="24" fillId="45" borderId="4" xfId="0" applyFont="1" applyFill="1" applyBorder="1" applyAlignment="1">
      <alignment horizontal="center"/>
    </xf>
    <xf numFmtId="0" fontId="24" fillId="45" borderId="5" xfId="0" applyFont="1" applyFill="1" applyBorder="1" applyAlignment="1">
      <alignment horizontal="center"/>
    </xf>
    <xf numFmtId="0" fontId="24" fillId="0" borderId="3" xfId="0" applyFont="1" applyBorder="1" applyAlignment="1">
      <alignment horizontal="center"/>
    </xf>
    <xf numFmtId="0" fontId="24" fillId="0" borderId="5" xfId="0" applyFont="1" applyBorder="1" applyAlignment="1">
      <alignment horizont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0" xfId="0" applyFont="1" applyAlignment="1">
      <alignment horizontal="center" vertical="center" wrapText="1"/>
    </xf>
    <xf numFmtId="0" fontId="22" fillId="0" borderId="12"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0" xfId="0" applyFont="1" applyBorder="1" applyAlignment="1">
      <alignment horizontal="center" vertical="center" wrapText="1"/>
    </xf>
    <xf numFmtId="0" fontId="15" fillId="0" borderId="11" xfId="543" applyBorder="1" applyAlignment="1">
      <alignment horizontal="center"/>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24" fillId="0" borderId="11" xfId="0" applyNumberFormat="1" applyFont="1" applyBorder="1" applyAlignment="1">
      <alignment horizontal="center"/>
    </xf>
    <xf numFmtId="168" fontId="171" fillId="0" borderId="0" xfId="0" applyNumberFormat="1" applyFont="1" applyAlignment="1">
      <alignment horizontal="center" vertical="center" wrapText="1"/>
    </xf>
    <xf numFmtId="168" fontId="24" fillId="0" borderId="3" xfId="0" applyNumberFormat="1" applyFont="1" applyBorder="1" applyAlignment="1">
      <alignment horizontal="left" vertical="top"/>
    </xf>
    <xf numFmtId="168" fontId="24" fillId="0" borderId="4" xfId="0" applyNumberFormat="1" applyFont="1" applyBorder="1" applyAlignment="1">
      <alignment horizontal="left" vertical="top"/>
    </xf>
    <xf numFmtId="168" fontId="24"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5" fillId="0" borderId="3" xfId="0" applyNumberFormat="1" applyFont="1" applyBorder="1" applyAlignment="1">
      <alignment horizontal="left" vertical="top"/>
    </xf>
    <xf numFmtId="0" fontId="24" fillId="5" borderId="11" xfId="0" applyFont="1"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24" fillId="5" borderId="9" xfId="0" applyFont="1" applyFill="1" applyBorder="1" applyAlignment="1" applyProtection="1">
      <alignment horizontal="center"/>
      <protection locked="0"/>
    </xf>
    <xf numFmtId="0" fontId="24" fillId="5" borderId="6" xfId="0" applyFont="1" applyFill="1" applyBorder="1" applyAlignment="1" applyProtection="1">
      <alignment horizontal="center"/>
      <protection locked="0"/>
    </xf>
    <xf numFmtId="0" fontId="0" fillId="0" borderId="12" xfId="0" applyBorder="1" applyAlignment="1">
      <alignment horizontal="center"/>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 fontId="24" fillId="5" borderId="3" xfId="0" applyNumberFormat="1" applyFont="1" applyFill="1" applyBorder="1" applyAlignment="1" applyProtection="1">
      <alignment horizontal="center"/>
      <protection locked="0"/>
    </xf>
    <xf numFmtId="1" fontId="24" fillId="5" borderId="4" xfId="0" applyNumberFormat="1" applyFont="1" applyFill="1" applyBorder="1" applyAlignment="1" applyProtection="1">
      <alignment horizontal="center"/>
      <protection locked="0"/>
    </xf>
    <xf numFmtId="1" fontId="24" fillId="5" borderId="5" xfId="0" applyNumberFormat="1" applyFont="1" applyFill="1" applyBorder="1" applyAlignment="1" applyProtection="1">
      <alignment horizontal="center"/>
      <protection locked="0"/>
    </xf>
    <xf numFmtId="0" fontId="24" fillId="5" borderId="4" xfId="0" applyFont="1" applyFill="1" applyBorder="1" applyAlignment="1" applyProtection="1">
      <alignment horizontal="left"/>
      <protection locked="0"/>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168" fontId="24" fillId="5" borderId="3" xfId="0" applyNumberFormat="1" applyFont="1" applyFill="1" applyBorder="1" applyAlignment="1" applyProtection="1">
      <alignment horizontal="left" vertical="top"/>
      <protection locked="0"/>
    </xf>
    <xf numFmtId="168" fontId="24" fillId="5" borderId="4" xfId="0" applyNumberFormat="1" applyFont="1" applyFill="1" applyBorder="1" applyAlignment="1" applyProtection="1">
      <alignment horizontal="left" vertical="top"/>
      <protection locked="0"/>
    </xf>
    <xf numFmtId="168" fontId="24" fillId="5" borderId="5" xfId="0" applyNumberFormat="1" applyFont="1" applyFill="1" applyBorder="1" applyAlignment="1" applyProtection="1">
      <alignment horizontal="left" vertical="top"/>
      <protection locked="0"/>
    </xf>
    <xf numFmtId="1" fontId="24" fillId="5" borderId="3" xfId="0" applyNumberFormat="1" applyFont="1" applyFill="1" applyBorder="1" applyAlignment="1" applyProtection="1">
      <alignment horizontal="right" vertical="top"/>
      <protection locked="0"/>
    </xf>
    <xf numFmtId="1" fontId="24" fillId="5" borderId="4" xfId="0" applyNumberFormat="1" applyFont="1" applyFill="1" applyBorder="1" applyAlignment="1" applyProtection="1">
      <alignment horizontal="right" vertical="top"/>
      <protection locked="0"/>
    </xf>
    <xf numFmtId="1" fontId="24"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80" fontId="23" fillId="43" borderId="3" xfId="0" applyNumberFormat="1" applyFont="1" applyFill="1" applyBorder="1" applyAlignment="1" applyProtection="1">
      <alignment horizontal="center" vertical="center"/>
      <protection locked="0"/>
    </xf>
    <xf numFmtId="180" fontId="23" fillId="43" borderId="4" xfId="0" applyNumberFormat="1" applyFont="1" applyFill="1" applyBorder="1" applyAlignment="1" applyProtection="1">
      <alignment horizontal="center" vertical="center"/>
      <protection locked="0"/>
    </xf>
    <xf numFmtId="180" fontId="23" fillId="43" borderId="5" xfId="0" applyNumberFormat="1" applyFont="1" applyFill="1" applyBorder="1" applyAlignment="1" applyProtection="1">
      <alignment horizontal="center" vertical="center"/>
      <protection locked="0"/>
    </xf>
    <xf numFmtId="3" fontId="24" fillId="5" borderId="11" xfId="0" applyNumberFormat="1" applyFont="1" applyFill="1" applyBorder="1" applyAlignment="1" applyProtection="1">
      <alignment horizontal="center"/>
      <protection locked="0"/>
    </xf>
    <xf numFmtId="0" fontId="15" fillId="0" borderId="3" xfId="0" applyFont="1" applyBorder="1" applyAlignment="1">
      <alignment horizontal="left"/>
    </xf>
    <xf numFmtId="0" fontId="15" fillId="0" borderId="4" xfId="0" applyFont="1" applyBorder="1" applyAlignment="1">
      <alignment horizontal="left"/>
    </xf>
    <xf numFmtId="0" fontId="15" fillId="0" borderId="5" xfId="0" applyFont="1" applyBorder="1" applyAlignment="1">
      <alignment horizontal="left"/>
    </xf>
    <xf numFmtId="0" fontId="15"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5" borderId="6" xfId="0" applyFill="1" applyBorder="1" applyAlignment="1" applyProtection="1">
      <alignment horizontal="center"/>
      <protection locked="0"/>
    </xf>
    <xf numFmtId="0" fontId="15" fillId="0" borderId="1" xfId="0" applyFont="1" applyBorder="1" applyAlignment="1">
      <alignment horizontal="center" vertical="top" wrapText="1"/>
    </xf>
    <xf numFmtId="0" fontId="24" fillId="0" borderId="2" xfId="0" applyFont="1" applyBorder="1" applyAlignment="1">
      <alignment horizontal="center" vertical="top" wrapText="1"/>
    </xf>
    <xf numFmtId="0" fontId="24" fillId="0" borderId="7" xfId="0" applyFont="1" applyBorder="1" applyAlignment="1">
      <alignment horizontal="center" vertical="top" wrapText="1"/>
    </xf>
    <xf numFmtId="0" fontId="24" fillId="0" borderId="8" xfId="0" applyFont="1" applyBorder="1" applyAlignment="1">
      <alignment horizontal="center" vertical="top" wrapText="1"/>
    </xf>
    <xf numFmtId="0" fontId="24" fillId="0" borderId="0" xfId="0" applyFont="1" applyAlignment="1">
      <alignment horizontal="center" vertical="top" wrapText="1"/>
    </xf>
    <xf numFmtId="0" fontId="24" fillId="0" borderId="12" xfId="0" applyFont="1" applyBorder="1" applyAlignment="1">
      <alignment horizontal="center" vertical="top" wrapText="1"/>
    </xf>
    <xf numFmtId="0" fontId="24" fillId="0" borderId="9" xfId="0" applyFont="1" applyBorder="1" applyAlignment="1">
      <alignment horizontal="center" vertical="top" wrapText="1"/>
    </xf>
    <xf numFmtId="0" fontId="24" fillId="0" borderId="6" xfId="0" applyFont="1" applyBorder="1" applyAlignment="1">
      <alignment horizontal="center" vertical="top" wrapText="1"/>
    </xf>
    <xf numFmtId="0" fontId="24" fillId="0" borderId="10" xfId="0" applyFont="1" applyBorder="1" applyAlignment="1">
      <alignment horizontal="center" vertical="top" wrapText="1"/>
    </xf>
    <xf numFmtId="168" fontId="24" fillId="5" borderId="3" xfId="0" applyNumberFormat="1" applyFont="1" applyFill="1" applyBorder="1" applyAlignment="1" applyProtection="1">
      <alignment horizontal="center"/>
      <protection locked="0"/>
    </xf>
    <xf numFmtId="168" fontId="24" fillId="5" borderId="4" xfId="0" applyNumberFormat="1" applyFont="1" applyFill="1" applyBorder="1" applyAlignment="1" applyProtection="1">
      <alignment horizontal="center"/>
      <protection locked="0"/>
    </xf>
    <xf numFmtId="168" fontId="24" fillId="5" borderId="5" xfId="0" applyNumberFormat="1" applyFont="1" applyFill="1" applyBorder="1" applyAlignment="1" applyProtection="1">
      <alignment horizontal="center"/>
      <protection locked="0"/>
    </xf>
    <xf numFmtId="168" fontId="24" fillId="0" borderId="3" xfId="0" applyNumberFormat="1" applyFont="1" applyBorder="1" applyAlignment="1">
      <alignment horizontal="center"/>
    </xf>
    <xf numFmtId="168" fontId="24" fillId="0" borderId="4" xfId="0" applyNumberFormat="1" applyFont="1" applyBorder="1" applyAlignment="1">
      <alignment horizontal="center"/>
    </xf>
    <xf numFmtId="168" fontId="24" fillId="0" borderId="5" xfId="0" applyNumberFormat="1" applyFont="1" applyBorder="1" applyAlignment="1">
      <alignment horizontal="center"/>
    </xf>
    <xf numFmtId="168" fontId="15" fillId="43" borderId="3" xfId="0" applyNumberFormat="1" applyFont="1" applyFill="1" applyBorder="1" applyAlignment="1" applyProtection="1">
      <alignment horizontal="center" vertical="center"/>
      <protection locked="0"/>
    </xf>
    <xf numFmtId="168" fontId="15" fillId="43" borderId="4" xfId="0" applyNumberFormat="1" applyFont="1" applyFill="1" applyBorder="1" applyAlignment="1" applyProtection="1">
      <alignment horizontal="center" vertical="center"/>
      <protection locked="0"/>
    </xf>
    <xf numFmtId="168" fontId="15" fillId="43" borderId="5" xfId="0" applyNumberFormat="1" applyFont="1" applyFill="1" applyBorder="1" applyAlignment="1" applyProtection="1">
      <alignment horizontal="center" vertical="center"/>
      <protection locked="0"/>
    </xf>
    <xf numFmtId="0" fontId="24" fillId="5" borderId="6" xfId="0" applyFont="1" applyFill="1" applyBorder="1" applyAlignment="1" applyProtection="1">
      <alignment horizontal="left"/>
      <protection locked="0"/>
    </xf>
    <xf numFmtId="9" fontId="24" fillId="5" borderId="3" xfId="0" applyNumberFormat="1" applyFont="1" applyFill="1" applyBorder="1" applyAlignment="1" applyProtection="1">
      <alignment horizontal="center"/>
      <protection locked="0"/>
    </xf>
    <xf numFmtId="9" fontId="24" fillId="5" borderId="4" xfId="0" applyNumberFormat="1" applyFont="1" applyFill="1" applyBorder="1" applyAlignment="1" applyProtection="1">
      <alignment horizontal="center"/>
      <protection locked="0"/>
    </xf>
    <xf numFmtId="9" fontId="24" fillId="5" borderId="5" xfId="0" applyNumberFormat="1" applyFont="1" applyFill="1" applyBorder="1" applyAlignment="1" applyProtection="1">
      <alignment horizontal="center"/>
      <protection locked="0"/>
    </xf>
    <xf numFmtId="0" fontId="24" fillId="0" borderId="1" xfId="0" applyFont="1" applyBorder="1" applyAlignment="1">
      <alignment horizontal="center" vertical="top" wrapText="1"/>
    </xf>
    <xf numFmtId="0" fontId="22" fillId="0" borderId="9" xfId="0" applyFont="1" applyBorder="1" applyAlignment="1">
      <alignment horizontal="center"/>
    </xf>
    <xf numFmtId="0" fontId="22" fillId="0" borderId="6" xfId="0" applyFont="1" applyBorder="1" applyAlignment="1">
      <alignment horizontal="center"/>
    </xf>
    <xf numFmtId="165" fontId="24" fillId="5" borderId="3" xfId="0" applyNumberFormat="1" applyFont="1" applyFill="1" applyBorder="1" applyAlignment="1" applyProtection="1">
      <alignment horizontal="center"/>
      <protection locked="0"/>
    </xf>
    <xf numFmtId="165" fontId="24" fillId="5" borderId="4" xfId="0" applyNumberFormat="1" applyFont="1" applyFill="1" applyBorder="1" applyAlignment="1" applyProtection="1">
      <alignment horizontal="center"/>
      <protection locked="0"/>
    </xf>
    <xf numFmtId="165" fontId="24"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34"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pplyProtection="1">
      <alignment horizontal="center"/>
      <protection locked="0"/>
    </xf>
    <xf numFmtId="166" fontId="24" fillId="5" borderId="4" xfId="0" applyNumberFormat="1" applyFont="1" applyFill="1" applyBorder="1" applyAlignment="1" applyProtection="1">
      <alignment horizontal="left"/>
      <protection locked="0"/>
    </xf>
    <xf numFmtId="0" fontId="0" fillId="5" borderId="6" xfId="0" applyFill="1" applyBorder="1" applyAlignment="1" applyProtection="1">
      <alignment horizontal="left"/>
      <protection locked="0"/>
    </xf>
    <xf numFmtId="168" fontId="24" fillId="5" borderId="6" xfId="0" applyNumberFormat="1" applyFont="1" applyFill="1" applyBorder="1" applyAlignment="1" applyProtection="1">
      <alignment horizontal="right"/>
      <protection locked="0"/>
    </xf>
    <xf numFmtId="10" fontId="24" fillId="0" borderId="11" xfId="0" applyNumberFormat="1" applyFont="1" applyBorder="1" applyAlignment="1">
      <alignment horizontal="center"/>
    </xf>
    <xf numFmtId="0" fontId="15" fillId="5" borderId="0" xfId="0" applyFont="1" applyFill="1" applyAlignment="1" applyProtection="1">
      <alignment horizontal="left" vertical="top" wrapText="1"/>
      <protection locked="0"/>
    </xf>
    <xf numFmtId="0" fontId="24" fillId="5" borderId="0" xfId="0" applyFont="1" applyFill="1" applyAlignment="1" applyProtection="1">
      <alignment horizontal="left" vertical="top" wrapText="1"/>
      <protection locked="0"/>
    </xf>
    <xf numFmtId="0" fontId="24" fillId="5" borderId="6" xfId="0" applyFont="1" applyFill="1" applyBorder="1" applyAlignment="1" applyProtection="1">
      <alignment horizontal="left" vertical="top" wrapText="1"/>
      <protection locked="0"/>
    </xf>
    <xf numFmtId="0" fontId="21" fillId="3" borderId="0" xfId="0" applyFont="1" applyFill="1" applyAlignment="1">
      <alignment horizontal="center" vertical="center"/>
    </xf>
    <xf numFmtId="0" fontId="23"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6" fontId="24" fillId="5" borderId="6" xfId="0" applyNumberFormat="1"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43" borderId="6" xfId="0" applyFont="1" applyFill="1" applyBorder="1" applyAlignment="1" applyProtection="1">
      <alignment horizontal="left"/>
      <protection locked="0"/>
    </xf>
    <xf numFmtId="3" fontId="0" fillId="0" borderId="6" xfId="0" applyNumberFormat="1" applyBorder="1" applyAlignment="1">
      <alignment horizontal="right"/>
    </xf>
    <xf numFmtId="1" fontId="24" fillId="5" borderId="6" xfId="0" applyNumberFormat="1" applyFont="1" applyFill="1" applyBorder="1" applyAlignment="1" applyProtection="1">
      <alignment horizontal="right"/>
      <protection locked="0"/>
    </xf>
    <xf numFmtId="1" fontId="24" fillId="5" borderId="11" xfId="0" quotePrefix="1" applyNumberFormat="1" applyFont="1" applyFill="1" applyBorder="1" applyAlignment="1" applyProtection="1">
      <alignment horizontal="center"/>
      <protection locked="0"/>
    </xf>
    <xf numFmtId="1" fontId="24" fillId="5" borderId="11" xfId="0" applyNumberFormat="1" applyFon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3" fontId="24" fillId="0" borderId="11" xfId="0" applyNumberFormat="1" applyFont="1" applyBorder="1" applyAlignment="1">
      <alignment horizontal="center"/>
    </xf>
    <xf numFmtId="2" fontId="0" fillId="0" borderId="6" xfId="0" applyNumberFormat="1" applyBorder="1" applyAlignment="1">
      <alignment horizontal="center"/>
    </xf>
    <xf numFmtId="168" fontId="15" fillId="0" borderId="4" xfId="0" applyNumberFormat="1" applyFont="1" applyBorder="1" applyAlignment="1">
      <alignment horizontal="left" vertical="top"/>
    </xf>
    <xf numFmtId="168" fontId="15" fillId="0" borderId="5" xfId="0" applyNumberFormat="1" applyFont="1" applyBorder="1" applyAlignment="1">
      <alignment horizontal="left" vertical="top"/>
    </xf>
    <xf numFmtId="0" fontId="22" fillId="0" borderId="3" xfId="0" applyFont="1" applyBorder="1" applyAlignment="1">
      <alignment horizontal="right"/>
    </xf>
    <xf numFmtId="0" fontId="22" fillId="0" borderId="4" xfId="0" applyFont="1" applyBorder="1" applyAlignment="1">
      <alignment horizontal="right"/>
    </xf>
    <xf numFmtId="0" fontId="22" fillId="0" borderId="6" xfId="0" applyFont="1" applyBorder="1" applyAlignment="1">
      <alignment horizontal="right"/>
    </xf>
    <xf numFmtId="0" fontId="22" fillId="0" borderId="5" xfId="0" applyFon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22" fillId="0" borderId="10" xfId="0" applyFont="1" applyBorder="1" applyAlignment="1">
      <alignment horizontal="center"/>
    </xf>
    <xf numFmtId="175" fontId="15" fillId="43" borderId="3" xfId="0" applyNumberFormat="1" applyFont="1" applyFill="1" applyBorder="1" applyAlignment="1" applyProtection="1">
      <alignment horizontal="center" vertical="center"/>
      <protection locked="0"/>
    </xf>
    <xf numFmtId="175" fontId="15" fillId="43" borderId="4" xfId="0" applyNumberFormat="1" applyFont="1" applyFill="1" applyBorder="1" applyAlignment="1" applyProtection="1">
      <alignment horizontal="center" vertical="center"/>
      <protection locked="0"/>
    </xf>
    <xf numFmtId="175" fontId="15" fillId="43" borderId="5" xfId="0" applyNumberFormat="1" applyFont="1" applyFill="1" applyBorder="1" applyAlignment="1" applyProtection="1">
      <alignment horizontal="center" vertical="center"/>
      <protection locked="0"/>
    </xf>
    <xf numFmtId="0" fontId="15"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15"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175" fontId="15" fillId="43" borderId="3" xfId="0" applyNumberFormat="1" applyFont="1" applyFill="1" applyBorder="1" applyAlignment="1" applyProtection="1">
      <alignment horizontal="center"/>
      <protection locked="0"/>
    </xf>
    <xf numFmtId="175" fontId="15" fillId="43" borderId="4" xfId="0" applyNumberFormat="1" applyFont="1" applyFill="1" applyBorder="1" applyAlignment="1" applyProtection="1">
      <alignment horizontal="center"/>
      <protection locked="0"/>
    </xf>
    <xf numFmtId="175" fontId="15" fillId="43" borderId="5" xfId="0" applyNumberFormat="1" applyFont="1" applyFill="1" applyBorder="1" applyAlignment="1" applyProtection="1">
      <alignment horizontal="center"/>
      <protection locked="0"/>
    </xf>
    <xf numFmtId="0" fontId="24" fillId="5" borderId="4" xfId="0" applyFont="1" applyFill="1" applyBorder="1" applyAlignment="1" applyProtection="1">
      <alignment wrapText="1"/>
      <protection locked="0"/>
    </xf>
    <xf numFmtId="0" fontId="0" fillId="0" borderId="6" xfId="0" applyBorder="1" applyAlignment="1">
      <alignment horizontal="left"/>
    </xf>
    <xf numFmtId="0" fontId="15" fillId="5" borderId="11" xfId="0" applyFont="1" applyFill="1" applyBorder="1" applyAlignment="1" applyProtection="1">
      <alignment horizontal="left" wrapText="1"/>
      <protection locked="0"/>
    </xf>
    <xf numFmtId="0" fontId="24" fillId="0" borderId="4" xfId="0" applyFont="1" applyBorder="1" applyAlignment="1">
      <alignment horizontal="center"/>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5" fillId="0" borderId="3" xfId="543" applyBorder="1" applyAlignment="1">
      <alignment horizontal="center"/>
    </xf>
    <xf numFmtId="0" fontId="15" fillId="0" borderId="4" xfId="543" applyBorder="1" applyAlignment="1">
      <alignment horizontal="center"/>
    </xf>
    <xf numFmtId="0" fontId="15" fillId="0" borderId="5" xfId="543" applyBorder="1" applyAlignment="1">
      <alignment horizontal="center"/>
    </xf>
    <xf numFmtId="0" fontId="15" fillId="43" borderId="4" xfId="0" applyFont="1" applyFill="1" applyBorder="1" applyAlignment="1" applyProtection="1">
      <alignment horizontal="left"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0" fontId="24" fillId="5" borderId="4" xfId="0" applyNumberFormat="1" applyFont="1" applyFill="1" applyBorder="1" applyAlignment="1" applyProtection="1">
      <alignment horizontal="right"/>
      <protection locked="0"/>
    </xf>
    <xf numFmtId="0" fontId="15" fillId="0" borderId="3" xfId="271" applyFont="1" applyBorder="1" applyAlignment="1">
      <alignment horizontal="left"/>
    </xf>
    <xf numFmtId="0" fontId="15" fillId="0" borderId="4" xfId="271" applyFont="1" applyBorder="1" applyAlignment="1">
      <alignment horizontal="left"/>
    </xf>
    <xf numFmtId="0" fontId="15" fillId="0" borderId="5" xfId="271"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178" fontId="24"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15" fillId="5" borderId="6" xfId="244" applyFont="1" applyFill="1" applyBorder="1" applyAlignment="1" applyProtection="1">
      <alignment horizontal="left"/>
      <protection locked="0"/>
    </xf>
    <xf numFmtId="0" fontId="15" fillId="5" borderId="0" xfId="244" applyFont="1" applyFill="1" applyBorder="1" applyAlignment="1" applyProtection="1">
      <alignment horizontal="left"/>
      <protection locked="0"/>
    </xf>
    <xf numFmtId="0" fontId="24" fillId="5" borderId="6" xfId="0" applyFont="1" applyFill="1" applyBorder="1" applyAlignment="1" applyProtection="1">
      <alignment horizontal="left" wrapText="1"/>
      <protection locked="0"/>
    </xf>
    <xf numFmtId="14" fontId="0" fillId="5" borderId="6" xfId="0" applyNumberFormat="1" applyFill="1" applyBorder="1" applyAlignment="1" applyProtection="1">
      <alignment horizontal="center"/>
      <protection locked="0"/>
    </xf>
    <xf numFmtId="166" fontId="15" fillId="5" borderId="4" xfId="0" applyNumberFormat="1" applyFont="1" applyFill="1" applyBorder="1" applyAlignment="1" applyProtection="1">
      <alignment horizontal="left"/>
      <protection locked="0"/>
    </xf>
    <xf numFmtId="0" fontId="15" fillId="5" borderId="6" xfId="0" applyFont="1" applyFill="1" applyBorder="1" applyAlignment="1" applyProtection="1">
      <alignment horizontal="left"/>
      <protection locked="0"/>
    </xf>
    <xf numFmtId="0" fontId="24" fillId="0" borderId="6" xfId="0" applyFont="1" applyBorder="1" applyAlignment="1">
      <alignment horizontal="left"/>
    </xf>
    <xf numFmtId="0" fontId="15" fillId="5" borderId="6" xfId="0" applyFont="1" applyFill="1" applyBorder="1" applyAlignment="1" applyProtection="1">
      <alignment horizontal="left" wrapText="1"/>
      <protection locked="0"/>
    </xf>
    <xf numFmtId="166" fontId="15" fillId="5" borderId="6" xfId="271" applyNumberFormat="1" applyFont="1" applyFill="1" applyBorder="1" applyAlignment="1" applyProtection="1">
      <alignment horizontal="left"/>
      <protection locked="0"/>
    </xf>
    <xf numFmtId="166" fontId="24" fillId="5" borderId="6" xfId="271" applyNumberFormat="1" applyFill="1" applyBorder="1" applyAlignment="1" applyProtection="1">
      <alignment horizontal="left"/>
      <protection locked="0"/>
    </xf>
    <xf numFmtId="166" fontId="24"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5" fillId="5" borderId="4" xfId="0"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5" fillId="0" borderId="6" xfId="0" applyFont="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3" fillId="0" borderId="3" xfId="4494" applyFont="1" applyBorder="1" applyAlignment="1" applyProtection="1">
      <alignment horizontal="center"/>
    </xf>
    <xf numFmtId="9" fontId="23"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24" fillId="0" borderId="0" xfId="0" applyFont="1" applyAlignment="1">
      <alignment horizontal="left" vertical="top" wrapText="1"/>
    </xf>
    <xf numFmtId="0" fontId="168" fillId="0" borderId="0" xfId="0" applyFont="1" applyAlignment="1" applyProtection="1">
      <alignment horizontal="left" vertical="top" wrapText="1"/>
      <protection locked="0"/>
    </xf>
    <xf numFmtId="0" fontId="15" fillId="0" borderId="6" xfId="0" applyFont="1" applyBorder="1" applyAlignment="1" applyProtection="1">
      <alignment horizontal="left"/>
      <protection locked="0"/>
    </xf>
    <xf numFmtId="0" fontId="16" fillId="0" borderId="0" xfId="244" applyFill="1" applyAlignment="1" applyProtection="1">
      <alignment horizontal="left"/>
      <protection locked="0"/>
    </xf>
    <xf numFmtId="168" fontId="15" fillId="0" borderId="6" xfId="0" applyNumberFormat="1" applyFont="1" applyBorder="1" applyAlignment="1">
      <alignment horizontal="center"/>
    </xf>
    <xf numFmtId="1" fontId="0" fillId="5" borderId="4" xfId="0" applyNumberFormat="1" applyFill="1" applyBorder="1" applyAlignment="1" applyProtection="1">
      <alignment horizontal="center"/>
      <protection locked="0"/>
    </xf>
    <xf numFmtId="0" fontId="0" fillId="5" borderId="6" xfId="0" applyFill="1" applyBorder="1" applyProtection="1">
      <protection locked="0"/>
    </xf>
    <xf numFmtId="0" fontId="24" fillId="0" borderId="4" xfId="0" applyFont="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5" fillId="0" borderId="0" xfId="0" applyFont="1" applyAlignment="1" applyProtection="1">
      <alignment horizontal="left"/>
      <protection locked="0"/>
    </xf>
    <xf numFmtId="0" fontId="15" fillId="0" borderId="6" xfId="0" applyFont="1" applyBorder="1" applyAlignment="1">
      <alignment horizontal="left"/>
    </xf>
    <xf numFmtId="0" fontId="15" fillId="0" borderId="0" xfId="0" applyFont="1" applyAlignment="1">
      <alignment wrapText="1"/>
    </xf>
    <xf numFmtId="167" fontId="0" fillId="5" borderId="6" xfId="0" applyNumberForma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15" fillId="43" borderId="6" xfId="0" applyFont="1" applyFill="1" applyBorder="1" applyAlignment="1" applyProtection="1">
      <alignment vertical="center"/>
      <protection locked="0"/>
    </xf>
    <xf numFmtId="0" fontId="0" fillId="5" borderId="6" xfId="0" applyFill="1" applyBorder="1" applyAlignment="1" applyProtection="1">
      <alignment horizontal="right"/>
      <protection locked="0"/>
    </xf>
    <xf numFmtId="166" fontId="15" fillId="5" borderId="6" xfId="0" applyNumberFormat="1" applyFont="1" applyFill="1" applyBorder="1" applyAlignment="1" applyProtection="1">
      <alignment horizontal="left"/>
      <protection locked="0"/>
    </xf>
    <xf numFmtId="0" fontId="24" fillId="0" borderId="6" xfId="0" applyFont="1" applyBorder="1" applyAlignment="1">
      <alignment horizontal="left"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5"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2" fillId="0" borderId="11" xfId="0"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5" fillId="5" borderId="4" xfId="0" applyFont="1" applyFill="1" applyBorder="1" applyAlignment="1" applyProtection="1">
      <alignment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1" xfId="0" applyFont="1" applyBorder="1" applyAlignment="1">
      <alignment horizontal="center"/>
    </xf>
    <xf numFmtId="168" fontId="0" fillId="5" borderId="11" xfId="0" applyNumberFormat="1" applyFill="1" applyBorder="1" applyAlignment="1" applyProtection="1">
      <alignment horizontal="center"/>
      <protection locked="0"/>
    </xf>
    <xf numFmtId="168" fontId="0" fillId="5" borderId="11" xfId="0" applyNumberFormat="1" applyFill="1" applyBorder="1" applyProtection="1">
      <protection locked="0"/>
    </xf>
    <xf numFmtId="0" fontId="22" fillId="5" borderId="11" xfId="0" applyFont="1" applyFill="1" applyBorder="1" applyAlignment="1" applyProtection="1">
      <alignment horizontal="center"/>
      <protection locked="0"/>
    </xf>
    <xf numFmtId="168" fontId="15" fillId="5" borderId="10" xfId="0" applyNumberFormat="1" applyFont="1" applyFill="1" applyBorder="1" applyAlignment="1" applyProtection="1">
      <alignment horizontal="right"/>
      <protection locked="0"/>
    </xf>
    <xf numFmtId="168" fontId="15" fillId="5" borderId="13" xfId="0" applyNumberFormat="1" applyFon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4" fontId="23" fillId="5" borderId="3" xfId="0" applyNumberFormat="1" applyFont="1" applyFill="1" applyBorder="1" applyAlignment="1" applyProtection="1">
      <alignment horizontal="left"/>
      <protection locked="0"/>
    </xf>
    <xf numFmtId="164" fontId="23" fillId="5" borderId="4" xfId="0" applyNumberFormat="1" applyFont="1" applyFill="1" applyBorder="1" applyAlignment="1" applyProtection="1">
      <alignment horizontal="left"/>
      <protection locked="0"/>
    </xf>
    <xf numFmtId="164" fontId="23" fillId="5" borderId="5" xfId="0" applyNumberFormat="1" applyFont="1" applyFill="1" applyBorder="1" applyAlignment="1" applyProtection="1">
      <alignment horizontal="left"/>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9" xfId="0" applyBorder="1" applyAlignment="1">
      <alignment horizontal="left"/>
    </xf>
    <xf numFmtId="0" fontId="15" fillId="0" borderId="3" xfId="0" applyFont="1" applyBorder="1"/>
    <xf numFmtId="0" fontId="15" fillId="0" borderId="4" xfId="0" applyFont="1" applyBorder="1"/>
    <xf numFmtId="0" fontId="15" fillId="0" borderId="5" xfId="0" applyFont="1" applyBorder="1"/>
    <xf numFmtId="171" fontId="15" fillId="0" borderId="0" xfId="543" applyNumberFormat="1" applyAlignment="1">
      <alignment horizontal="center"/>
    </xf>
    <xf numFmtId="171" fontId="15" fillId="0" borderId="0" xfId="543" applyNumberFormat="1" applyAlignment="1">
      <alignment horizontal="right"/>
    </xf>
    <xf numFmtId="2" fontId="15" fillId="0" borderId="0" xfId="543" applyNumberFormat="1" applyAlignment="1">
      <alignment horizontal="center"/>
    </xf>
    <xf numFmtId="0" fontId="15" fillId="0" borderId="0" xfId="543" applyAlignment="1">
      <alignment horizontal="center"/>
    </xf>
    <xf numFmtId="0" fontId="0" fillId="0" borderId="3" xfId="0" applyBorder="1"/>
    <xf numFmtId="0" fontId="0" fillId="0" borderId="4" xfId="0" applyBorder="1"/>
    <xf numFmtId="0" fontId="0" fillId="0" borderId="5" xfId="0" applyBorder="1"/>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9" fontId="15" fillId="0" borderId="0" xfId="543" applyNumberFormat="1" applyAlignment="1">
      <alignment horizontal="center" vertical="center"/>
    </xf>
    <xf numFmtId="164" fontId="34" fillId="5" borderId="3" xfId="0" applyNumberFormat="1" applyFont="1" applyFill="1" applyBorder="1" applyAlignment="1" applyProtection="1">
      <alignment horizontal="left"/>
      <protection locked="0"/>
    </xf>
    <xf numFmtId="164" fontId="34" fillId="5" borderId="4" xfId="0" applyNumberFormat="1" applyFont="1" applyFill="1" applyBorder="1" applyAlignment="1" applyProtection="1">
      <alignment horizontal="left"/>
      <protection locked="0"/>
    </xf>
    <xf numFmtId="164" fontId="34"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5" fillId="5" borderId="3" xfId="0" applyNumberFormat="1" applyFont="1" applyFill="1" applyBorder="1" applyAlignment="1" applyProtection="1">
      <alignment horizontal="right"/>
      <protection locked="0"/>
    </xf>
    <xf numFmtId="168" fontId="15" fillId="5" borderId="4" xfId="0" applyNumberFormat="1" applyFont="1" applyFill="1" applyBorder="1" applyAlignment="1" applyProtection="1">
      <alignment horizontal="right"/>
      <protection locked="0"/>
    </xf>
    <xf numFmtId="168" fontId="15" fillId="5" borderId="5" xfId="0" applyNumberFormat="1" applyFont="1" applyFill="1" applyBorder="1" applyAlignment="1" applyProtection="1">
      <alignment horizontal="right"/>
      <protection locked="0"/>
    </xf>
    <xf numFmtId="0" fontId="23" fillId="5" borderId="3" xfId="0" applyFont="1" applyFill="1" applyBorder="1" applyAlignment="1" applyProtection="1">
      <alignment horizontal="left"/>
      <protection locked="0"/>
    </xf>
    <xf numFmtId="0" fontId="23" fillId="5" borderId="4" xfId="0" applyFont="1" applyFill="1" applyBorder="1" applyAlignment="1" applyProtection="1">
      <alignment horizontal="left"/>
      <protection locked="0"/>
    </xf>
    <xf numFmtId="0" fontId="23" fillId="5" borderId="5" xfId="0" applyFont="1" applyFill="1" applyBorder="1" applyAlignment="1" applyProtection="1">
      <alignment horizontal="left"/>
      <protection locked="0"/>
    </xf>
    <xf numFmtId="0" fontId="15" fillId="0" borderId="8" xfId="543" applyBorder="1" applyAlignment="1">
      <alignment horizontal="left" vertical="top" wrapText="1"/>
    </xf>
    <xf numFmtId="0" fontId="15" fillId="0" borderId="0" xfId="543" applyAlignment="1">
      <alignment horizontal="left" vertical="top" wrapText="1"/>
    </xf>
    <xf numFmtId="0" fontId="15" fillId="0" borderId="12" xfId="543" applyBorder="1" applyAlignment="1">
      <alignment horizontal="left" vertical="top" wrapText="1"/>
    </xf>
    <xf numFmtId="0" fontId="23" fillId="0" borderId="3" xfId="543" applyFont="1" applyBorder="1" applyAlignment="1">
      <alignment horizontal="center"/>
    </xf>
    <xf numFmtId="0" fontId="23" fillId="0" borderId="5" xfId="543" applyFont="1" applyBorder="1" applyAlignment="1">
      <alignment horizontal="center"/>
    </xf>
    <xf numFmtId="1" fontId="23" fillId="0" borderId="3" xfId="543" applyNumberFormat="1" applyFont="1" applyBorder="1" applyAlignment="1">
      <alignment horizontal="center"/>
    </xf>
    <xf numFmtId="1" fontId="23" fillId="0" borderId="5" xfId="543" applyNumberFormat="1" applyFont="1" applyBorder="1" applyAlignment="1">
      <alignment horizontal="center"/>
    </xf>
    <xf numFmtId="0" fontId="34" fillId="0" borderId="3" xfId="543" applyFont="1" applyBorder="1" applyAlignment="1">
      <alignment horizontal="center"/>
    </xf>
    <xf numFmtId="0" fontId="34" fillId="0" borderId="5" xfId="543" applyFont="1" applyBorder="1" applyAlignment="1">
      <alignment horizontal="center"/>
    </xf>
    <xf numFmtId="168" fontId="15" fillId="0" borderId="11" xfId="543" applyNumberFormat="1" applyBorder="1" applyAlignment="1">
      <alignment horizontal="center"/>
    </xf>
    <xf numFmtId="168" fontId="0" fillId="0" borderId="11" xfId="0" applyNumberFormat="1" applyBorder="1" applyAlignment="1">
      <alignment horizontal="right"/>
    </xf>
    <xf numFmtId="0" fontId="22" fillId="5" borderId="3" xfId="0" applyFont="1" applyFill="1" applyBorder="1" applyAlignment="1" applyProtection="1">
      <alignment horizontal="right"/>
      <protection locked="0"/>
    </xf>
    <xf numFmtId="0" fontId="22" fillId="5" borderId="4" xfId="0" applyFont="1" applyFill="1" applyBorder="1" applyAlignment="1" applyProtection="1">
      <alignment horizontal="right"/>
      <protection locked="0"/>
    </xf>
    <xf numFmtId="0" fontId="22" fillId="5" borderId="5" xfId="0" applyFon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2" fillId="0" borderId="8" xfId="0" applyFont="1" applyBorder="1" applyAlignment="1">
      <alignment horizontal="center" wrapText="1"/>
    </xf>
    <xf numFmtId="0" fontId="22" fillId="0" borderId="0" xfId="0" applyFont="1" applyAlignment="1">
      <alignment horizontal="center" wrapText="1"/>
    </xf>
    <xf numFmtId="0" fontId="22" fillId="0" borderId="12" xfId="0" applyFont="1" applyBorder="1" applyAlignment="1">
      <alignment horizontal="center" wrapText="1"/>
    </xf>
    <xf numFmtId="0" fontId="22" fillId="0" borderId="9" xfId="0" applyFont="1" applyBorder="1" applyAlignment="1">
      <alignment horizontal="center" wrapText="1"/>
    </xf>
    <xf numFmtId="0" fontId="22" fillId="0" borderId="6" xfId="0" applyFont="1" applyBorder="1" applyAlignment="1">
      <alignment horizontal="center" wrapText="1"/>
    </xf>
    <xf numFmtId="0" fontId="22" fillId="0" borderId="10" xfId="0" applyFont="1" applyBorder="1" applyAlignment="1">
      <alignment horizontal="center" wrapText="1"/>
    </xf>
    <xf numFmtId="0" fontId="38" fillId="0" borderId="3" xfId="0" applyFont="1" applyBorder="1" applyAlignment="1">
      <alignment horizontal="center"/>
    </xf>
    <xf numFmtId="0" fontId="38" fillId="0" borderId="4" xfId="0" applyFont="1" applyBorder="1" applyAlignment="1">
      <alignment horizontal="center"/>
    </xf>
    <xf numFmtId="0" fontId="38" fillId="0" borderId="5" xfId="0" applyFont="1" applyBorder="1" applyAlignment="1">
      <alignment horizontal="center"/>
    </xf>
    <xf numFmtId="0" fontId="22" fillId="0" borderId="11" xfId="0" applyFont="1" applyBorder="1" applyAlignment="1">
      <alignment horizontal="center" vertical="center"/>
    </xf>
    <xf numFmtId="168" fontId="24"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4" fillId="5" borderId="4" xfId="0" applyFont="1" applyFill="1" applyBorder="1" applyAlignment="1" applyProtection="1">
      <alignment horizontal="right"/>
      <protection locked="0"/>
    </xf>
    <xf numFmtId="14" fontId="24" fillId="5" borderId="4" xfId="0" applyNumberFormat="1" applyFont="1" applyFill="1" applyBorder="1" applyAlignment="1" applyProtection="1">
      <alignment horizontal="right"/>
      <protection locked="0"/>
    </xf>
    <xf numFmtId="0" fontId="15" fillId="5" borderId="3" xfId="0" applyFont="1" applyFill="1" applyBorder="1" applyProtection="1">
      <protection locked="0"/>
    </xf>
    <xf numFmtId="0" fontId="24" fillId="0" borderId="4" xfId="0" applyFont="1" applyBorder="1" applyProtection="1">
      <protection locked="0"/>
    </xf>
    <xf numFmtId="0" fontId="24" fillId="0" borderId="5" xfId="0" applyFont="1" applyBorder="1" applyProtection="1">
      <protection locked="0"/>
    </xf>
    <xf numFmtId="165" fontId="22" fillId="0" borderId="3" xfId="271" applyNumberFormat="1" applyFont="1" applyBorder="1" applyAlignment="1">
      <alignment horizontal="center"/>
    </xf>
    <xf numFmtId="165" fontId="22" fillId="0" borderId="4" xfId="271" applyNumberFormat="1" applyFont="1" applyBorder="1" applyAlignment="1">
      <alignment horizontal="center"/>
    </xf>
    <xf numFmtId="165" fontId="22" fillId="0" borderId="5" xfId="271" applyNumberFormat="1" applyFont="1" applyBorder="1" applyAlignment="1">
      <alignment horizontal="center"/>
    </xf>
    <xf numFmtId="0" fontId="34" fillId="5" borderId="3" xfId="543" applyFont="1" applyFill="1" applyBorder="1" applyAlignment="1">
      <alignment horizontal="center"/>
    </xf>
    <xf numFmtId="0" fontId="34" fillId="5" borderId="4" xfId="543" applyFont="1" applyFill="1" applyBorder="1" applyAlignment="1">
      <alignment horizontal="center"/>
    </xf>
    <xf numFmtId="0" fontId="34" fillId="5" borderId="5" xfId="543" applyFont="1" applyFill="1" applyBorder="1" applyAlignment="1">
      <alignment horizontal="center"/>
    </xf>
    <xf numFmtId="49" fontId="15" fillId="5" borderId="3" xfId="543" applyNumberFormat="1" applyFill="1" applyBorder="1" applyAlignment="1">
      <alignment horizontal="center"/>
    </xf>
    <xf numFmtId="49" fontId="15" fillId="5" borderId="5" xfId="543" applyNumberFormat="1" applyFill="1" applyBorder="1" applyAlignment="1">
      <alignment horizontal="center"/>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2" xfId="0" applyFont="1" applyBorder="1" applyAlignment="1">
      <alignment horizontal="center" wrapText="1"/>
    </xf>
    <xf numFmtId="0" fontId="22" fillId="0" borderId="7" xfId="0" applyFont="1" applyBorder="1" applyAlignment="1">
      <alignment horizontal="center" wrapText="1"/>
    </xf>
    <xf numFmtId="168" fontId="0" fillId="0" borderId="11"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9" fontId="15" fillId="5" borderId="3" xfId="0" applyNumberFormat="1" applyFont="1" applyFill="1" applyBorder="1" applyAlignment="1" applyProtection="1">
      <alignment horizontal="right"/>
      <protection locked="0"/>
    </xf>
    <xf numFmtId="0" fontId="15" fillId="43" borderId="11" xfId="0" applyFont="1" applyFill="1" applyBorder="1" applyAlignment="1" applyProtection="1">
      <alignment horizontal="center"/>
      <protection locked="0"/>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2" fillId="0" borderId="2" xfId="0" applyFont="1" applyBorder="1" applyAlignment="1">
      <alignment horizontal="right"/>
    </xf>
    <xf numFmtId="0" fontId="22" fillId="0" borderId="7" xfId="0" applyFont="1" applyBorder="1" applyAlignment="1">
      <alignment horizontal="right"/>
    </xf>
    <xf numFmtId="168" fontId="15" fillId="5" borderId="3" xfId="0" applyNumberFormat="1" applyFont="1" applyFill="1" applyBorder="1" applyAlignment="1" applyProtection="1">
      <alignment horizontal="left"/>
      <protection locked="0"/>
    </xf>
    <xf numFmtId="168" fontId="15" fillId="5" borderId="4" xfId="0" applyNumberFormat="1" applyFont="1" applyFill="1" applyBorder="1" applyAlignment="1" applyProtection="1">
      <alignment horizontal="left"/>
      <protection locked="0"/>
    </xf>
    <xf numFmtId="168" fontId="15" fillId="5" borderId="5" xfId="0" applyNumberFormat="1" applyFont="1" applyFill="1" applyBorder="1" applyAlignment="1" applyProtection="1">
      <alignment horizontal="left"/>
      <protection locked="0"/>
    </xf>
    <xf numFmtId="168" fontId="15" fillId="10" borderId="3" xfId="543" applyNumberFormat="1" applyFill="1" applyBorder="1" applyAlignment="1">
      <alignment horizontal="center"/>
    </xf>
    <xf numFmtId="168" fontId="15" fillId="10" borderId="4" xfId="543" applyNumberFormat="1" applyFill="1" applyBorder="1" applyAlignment="1">
      <alignment horizontal="center"/>
    </xf>
    <xf numFmtId="168" fontId="15" fillId="10" borderId="5" xfId="543" applyNumberFormat="1" applyFill="1" applyBorder="1" applyAlignment="1">
      <alignment horizontal="center"/>
    </xf>
    <xf numFmtId="0" fontId="15" fillId="5" borderId="3" xfId="0" applyFont="1" applyFill="1" applyBorder="1" applyAlignment="1" applyProtection="1">
      <alignment horizontal="left"/>
      <protection locked="0"/>
    </xf>
    <xf numFmtId="0" fontId="15" fillId="5" borderId="5" xfId="0" applyFont="1" applyFill="1" applyBorder="1" applyAlignment="1" applyProtection="1">
      <alignment horizontal="left"/>
      <protection locked="0"/>
    </xf>
    <xf numFmtId="0" fontId="24" fillId="0" borderId="11" xfId="0" applyFont="1" applyBorder="1" applyAlignment="1">
      <alignment horizontal="center" vertical="top" wrapText="1"/>
    </xf>
    <xf numFmtId="0" fontId="24" fillId="5" borderId="6" xfId="271" applyFill="1" applyBorder="1" applyProtection="1">
      <protection locked="0"/>
    </xf>
    <xf numFmtId="0" fontId="34" fillId="5" borderId="3" xfId="543" applyFont="1" applyFill="1" applyBorder="1" applyAlignment="1" applyProtection="1">
      <alignment horizontal="center"/>
      <protection locked="0"/>
    </xf>
    <xf numFmtId="0" fontId="34" fillId="5" borderId="5" xfId="543" applyFont="1" applyFill="1" applyBorder="1" applyAlignment="1" applyProtection="1">
      <alignment horizontal="center"/>
      <protection locked="0"/>
    </xf>
    <xf numFmtId="0" fontId="34" fillId="5" borderId="9" xfId="543" applyFont="1" applyFill="1" applyBorder="1" applyAlignment="1" applyProtection="1">
      <alignment horizontal="center"/>
      <protection locked="0"/>
    </xf>
    <xf numFmtId="0" fontId="34" fillId="5" borderId="10" xfId="543" applyFont="1" applyFill="1" applyBorder="1" applyAlignment="1" applyProtection="1">
      <alignment horizontal="center"/>
      <protection locked="0"/>
    </xf>
    <xf numFmtId="0" fontId="15" fillId="0" borderId="9" xfId="543" applyBorder="1" applyAlignment="1">
      <alignment horizontal="left" vertical="top" wrapText="1"/>
    </xf>
    <xf numFmtId="0" fontId="15" fillId="0" borderId="6" xfId="543" applyBorder="1" applyAlignment="1">
      <alignment horizontal="left" vertical="top" wrapText="1"/>
    </xf>
    <xf numFmtId="0" fontId="15" fillId="0" borderId="10" xfId="543" applyBorder="1" applyAlignment="1">
      <alignment horizontal="left" vertical="top" wrapText="1"/>
    </xf>
    <xf numFmtId="0" fontId="22" fillId="0" borderId="1" xfId="0" applyFont="1" applyBorder="1" applyAlignment="1">
      <alignment horizontal="center" wrapText="1"/>
    </xf>
    <xf numFmtId="168" fontId="15"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2" fillId="0" borderId="8" xfId="543" applyFont="1" applyBorder="1" applyAlignment="1">
      <alignment horizontal="left" vertical="center" wrapText="1"/>
    </xf>
    <xf numFmtId="0" fontId="22" fillId="0" borderId="0" xfId="543" applyFont="1" applyAlignment="1">
      <alignment horizontal="left" vertical="center" wrapText="1"/>
    </xf>
    <xf numFmtId="0" fontId="22" fillId="0" borderId="12" xfId="543" applyFont="1" applyBorder="1" applyAlignment="1">
      <alignment horizontal="left" vertical="center" wrapText="1"/>
    </xf>
    <xf numFmtId="0" fontId="15" fillId="0" borderId="8" xfId="543" applyBorder="1" applyAlignment="1">
      <alignment horizontal="left" vertical="center" wrapText="1"/>
    </xf>
    <xf numFmtId="0" fontId="15" fillId="0" borderId="0" xfId="543" applyAlignment="1">
      <alignment horizontal="left" vertical="center" wrapText="1"/>
    </xf>
    <xf numFmtId="0" fontId="15" fillId="0" borderId="12" xfId="543" applyBorder="1" applyAlignment="1">
      <alignment horizontal="left" vertical="center" wrapText="1"/>
    </xf>
    <xf numFmtId="0" fontId="15" fillId="0" borderId="9" xfId="543" applyBorder="1" applyAlignment="1">
      <alignment horizontal="left" vertical="center" wrapText="1"/>
    </xf>
    <xf numFmtId="0" fontId="15" fillId="0" borderId="6" xfId="543" applyBorder="1" applyAlignment="1">
      <alignment horizontal="left" vertical="center" wrapText="1"/>
    </xf>
    <xf numFmtId="0" fontId="15" fillId="0" borderId="10" xfId="543" applyBorder="1" applyAlignment="1">
      <alignment horizontal="left" vertical="center" wrapText="1"/>
    </xf>
    <xf numFmtId="182" fontId="23" fillId="43" borderId="11" xfId="8722" applyNumberFormat="1" applyFont="1" applyFill="1" applyBorder="1" applyAlignment="1" applyProtection="1">
      <alignment horizontal="center" vertical="center" wrapText="1"/>
      <protection locked="0"/>
    </xf>
    <xf numFmtId="0" fontId="24" fillId="0" borderId="3" xfId="0" applyFont="1" applyBorder="1" applyAlignment="1">
      <alignment horizontal="left"/>
    </xf>
    <xf numFmtId="0" fontId="22" fillId="0" borderId="0" xfId="0" applyFont="1" applyAlignment="1">
      <alignment horizontal="center" vertic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168" fontId="15" fillId="0" borderId="1" xfId="543" applyNumberFormat="1" applyBorder="1" applyAlignment="1">
      <alignment horizontal="center" vertical="center"/>
    </xf>
    <xf numFmtId="168" fontId="15" fillId="0" borderId="2" xfId="543" applyNumberFormat="1" applyBorder="1" applyAlignment="1">
      <alignment horizontal="center" vertical="center"/>
    </xf>
    <xf numFmtId="168" fontId="15" fillId="0" borderId="7" xfId="543" applyNumberFormat="1" applyBorder="1" applyAlignment="1">
      <alignment horizontal="center" vertical="center"/>
    </xf>
    <xf numFmtId="168" fontId="15" fillId="0" borderId="8" xfId="543" applyNumberFormat="1" applyBorder="1" applyAlignment="1">
      <alignment horizontal="center" vertical="center"/>
    </xf>
    <xf numFmtId="168" fontId="15" fillId="0" borderId="0" xfId="543" applyNumberFormat="1" applyAlignment="1">
      <alignment horizontal="center" vertical="center"/>
    </xf>
    <xf numFmtId="168" fontId="15" fillId="0" borderId="12" xfId="543" applyNumberFormat="1" applyBorder="1" applyAlignment="1">
      <alignment horizontal="center" vertical="center"/>
    </xf>
    <xf numFmtId="168" fontId="15" fillId="0" borderId="9" xfId="543" applyNumberFormat="1" applyBorder="1" applyAlignment="1">
      <alignment horizontal="center" vertical="center"/>
    </xf>
    <xf numFmtId="168" fontId="15" fillId="0" borderId="6" xfId="543" applyNumberFormat="1" applyBorder="1" applyAlignment="1">
      <alignment horizontal="center" vertical="center"/>
    </xf>
    <xf numFmtId="168" fontId="15" fillId="0" borderId="10" xfId="543" applyNumberFormat="1" applyBorder="1" applyAlignment="1">
      <alignment horizontal="center" vertical="center"/>
    </xf>
    <xf numFmtId="168" fontId="22" fillId="0" borderId="3" xfId="543" applyNumberFormat="1" applyFont="1" applyBorder="1" applyAlignment="1">
      <alignment horizontal="center" vertical="center"/>
    </xf>
    <xf numFmtId="168" fontId="22" fillId="0" borderId="4" xfId="543" applyNumberFormat="1" applyFont="1" applyBorder="1" applyAlignment="1">
      <alignment horizontal="center" vertical="center"/>
    </xf>
    <xf numFmtId="168" fontId="22" fillId="0" borderId="5" xfId="543" applyNumberFormat="1" applyFont="1" applyBorder="1" applyAlignment="1">
      <alignment horizontal="center" vertical="center"/>
    </xf>
    <xf numFmtId="0" fontId="15" fillId="0" borderId="8" xfId="0" applyFont="1" applyBorder="1" applyAlignment="1">
      <alignment horizontal="left" wrapText="1"/>
    </xf>
    <xf numFmtId="0" fontId="15" fillId="0" borderId="12" xfId="0" applyFont="1" applyBorder="1" applyAlignment="1">
      <alignment horizontal="left" wrapText="1"/>
    </xf>
    <xf numFmtId="0" fontId="15" fillId="0" borderId="9" xfId="0" applyFont="1" applyBorder="1" applyAlignment="1">
      <alignment horizontal="left" wrapText="1"/>
    </xf>
    <xf numFmtId="0" fontId="15" fillId="0" borderId="6" xfId="0" applyFont="1" applyBorder="1" applyAlignment="1">
      <alignment horizontal="left" wrapText="1"/>
    </xf>
    <xf numFmtId="0" fontId="15" fillId="0" borderId="10" xfId="0" applyFont="1" applyBorder="1" applyAlignment="1">
      <alignment horizontal="left" wrapText="1"/>
    </xf>
    <xf numFmtId="0" fontId="15" fillId="2" borderId="3" xfId="543" applyFill="1" applyBorder="1" applyAlignment="1">
      <alignment horizontal="center"/>
    </xf>
    <xf numFmtId="0" fontId="15" fillId="2" borderId="4" xfId="543" applyFill="1" applyBorder="1" applyAlignment="1">
      <alignment horizontal="center"/>
    </xf>
    <xf numFmtId="0" fontId="15" fillId="2" borderId="5" xfId="543" applyFill="1" applyBorder="1" applyAlignment="1">
      <alignment horizontal="center"/>
    </xf>
    <xf numFmtId="0" fontId="22" fillId="0" borderId="1" xfId="543" applyFont="1" applyBorder="1" applyAlignment="1">
      <alignment horizontal="left" vertical="center" wrapText="1"/>
    </xf>
    <xf numFmtId="0" fontId="22" fillId="0" borderId="2" xfId="543" applyFont="1" applyBorder="1" applyAlignment="1">
      <alignment horizontal="left" vertical="center" wrapText="1"/>
    </xf>
    <xf numFmtId="0" fontId="22" fillId="0" borderId="7" xfId="543" applyFont="1" applyBorder="1" applyAlignment="1">
      <alignment horizontal="left" vertical="center" wrapText="1"/>
    </xf>
    <xf numFmtId="0" fontId="22" fillId="0" borderId="3" xfId="543" applyFont="1" applyBorder="1" applyAlignment="1">
      <alignment horizontal="right"/>
    </xf>
    <xf numFmtId="0" fontId="22" fillId="0" borderId="4" xfId="543" applyFont="1" applyBorder="1" applyAlignment="1">
      <alignment horizontal="right"/>
    </xf>
    <xf numFmtId="0" fontId="22" fillId="0" borderId="5" xfId="543" applyFont="1" applyBorder="1" applyAlignment="1">
      <alignment horizontal="right"/>
    </xf>
    <xf numFmtId="0" fontId="15" fillId="5" borderId="3" xfId="543"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35" fillId="0" borderId="4" xfId="543" applyFont="1" applyBorder="1" applyAlignment="1">
      <alignment horizontal="right" vertical="top" wrapText="1"/>
    </xf>
    <xf numFmtId="0" fontId="35" fillId="0" borderId="5" xfId="543" applyFont="1" applyBorder="1" applyAlignment="1">
      <alignment horizontal="right" vertical="top" wrapText="1"/>
    </xf>
    <xf numFmtId="0" fontId="22" fillId="0" borderId="1" xfId="543" applyFont="1" applyBorder="1" applyAlignment="1">
      <alignment horizontal="left" vertical="top" wrapText="1"/>
    </xf>
    <xf numFmtId="0" fontId="22" fillId="0" borderId="2" xfId="543" applyFont="1" applyBorder="1" applyAlignment="1">
      <alignment horizontal="left" vertical="top" wrapText="1"/>
    </xf>
    <xf numFmtId="0" fontId="22" fillId="0" borderId="7" xfId="543" applyFont="1" applyBorder="1" applyAlignment="1">
      <alignment horizontal="left" vertical="top" wrapText="1"/>
    </xf>
    <xf numFmtId="0" fontId="22" fillId="0" borderId="8" xfId="543" applyFont="1" applyBorder="1" applyAlignment="1">
      <alignment horizontal="left" vertical="top" wrapText="1"/>
    </xf>
    <xf numFmtId="0" fontId="22" fillId="0" borderId="0" xfId="543" applyFont="1" applyAlignment="1">
      <alignment horizontal="left" vertical="top" wrapText="1"/>
    </xf>
    <xf numFmtId="0" fontId="22" fillId="0" borderId="12" xfId="543" applyFont="1" applyBorder="1" applyAlignment="1">
      <alignment horizontal="left" vertical="top" wrapText="1"/>
    </xf>
    <xf numFmtId="1" fontId="15" fillId="0" borderId="3" xfId="543" applyNumberFormat="1" applyBorder="1" applyAlignment="1">
      <alignment horizontal="center"/>
    </xf>
    <xf numFmtId="1" fontId="15" fillId="0" borderId="4" xfId="543" applyNumberFormat="1" applyBorder="1" applyAlignment="1">
      <alignment horizontal="center"/>
    </xf>
    <xf numFmtId="1" fontId="15" fillId="0" borderId="5" xfId="543" applyNumberFormat="1" applyBorder="1" applyAlignment="1">
      <alignment horizontal="center"/>
    </xf>
    <xf numFmtId="0" fontId="167" fillId="0" borderId="8" xfId="543" applyFont="1" applyBorder="1" applyAlignment="1">
      <alignment horizontal="center" vertical="center" wrapText="1"/>
    </xf>
    <xf numFmtId="0" fontId="167" fillId="0" borderId="0" xfId="543" applyFont="1" applyAlignment="1">
      <alignment horizontal="center" vertical="center" wrapText="1"/>
    </xf>
    <xf numFmtId="0" fontId="167" fillId="0" borderId="12" xfId="543" applyFont="1" applyBorder="1" applyAlignment="1">
      <alignment horizontal="center" vertical="center" wrapText="1"/>
    </xf>
    <xf numFmtId="0" fontId="36" fillId="0" borderId="3" xfId="543" applyFont="1" applyBorder="1" applyAlignment="1">
      <alignment horizontal="center"/>
    </xf>
    <xf numFmtId="0" fontId="36" fillId="0" borderId="4" xfId="543" applyFont="1" applyBorder="1" applyAlignment="1">
      <alignment horizontal="center"/>
    </xf>
    <xf numFmtId="0" fontId="36" fillId="0" borderId="5" xfId="543" applyFont="1" applyBorder="1" applyAlignment="1">
      <alignment horizontal="center"/>
    </xf>
    <xf numFmtId="0" fontId="35" fillId="0" borderId="1" xfId="543" applyFont="1" applyBorder="1" applyAlignment="1">
      <alignment horizontal="right"/>
    </xf>
    <xf numFmtId="0" fontId="35" fillId="0" borderId="2" xfId="543" applyFont="1" applyBorder="1" applyAlignment="1">
      <alignment horizontal="right"/>
    </xf>
    <xf numFmtId="0" fontId="35" fillId="0" borderId="7" xfId="543" applyFont="1" applyBorder="1" applyAlignment="1">
      <alignment horizontal="right"/>
    </xf>
    <xf numFmtId="0" fontId="23" fillId="5" borderId="3" xfId="543" applyFont="1"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22" fillId="10" borderId="3" xfId="543" applyFont="1" applyFill="1" applyBorder="1" applyAlignment="1">
      <alignment horizontal="center"/>
    </xf>
    <xf numFmtId="0" fontId="22" fillId="10" borderId="4" xfId="543" applyFont="1" applyFill="1" applyBorder="1" applyAlignment="1">
      <alignment horizontal="center"/>
    </xf>
    <xf numFmtId="0" fontId="22" fillId="10" borderId="5" xfId="543" applyFont="1" applyFill="1" applyBorder="1" applyAlignment="1">
      <alignment horizontal="center"/>
    </xf>
    <xf numFmtId="0" fontId="34" fillId="5" borderId="3" xfId="543" applyFont="1" applyFill="1" applyBorder="1" applyAlignment="1" applyProtection="1">
      <alignment horizontal="center" vertical="top"/>
      <protection locked="0"/>
    </xf>
    <xf numFmtId="0" fontId="34" fillId="5" borderId="5" xfId="543" applyFont="1" applyFill="1" applyBorder="1" applyAlignment="1" applyProtection="1">
      <alignment horizontal="center" vertical="top"/>
      <protection locked="0"/>
    </xf>
    <xf numFmtId="0" fontId="42" fillId="0" borderId="8" xfId="543" applyFont="1" applyBorder="1" applyAlignment="1">
      <alignment horizontal="center" vertical="center" wrapText="1"/>
    </xf>
    <xf numFmtId="0" fontId="42" fillId="0" borderId="0" xfId="543" applyFont="1" applyAlignment="1">
      <alignment horizontal="center" vertical="center" wrapText="1"/>
    </xf>
    <xf numFmtId="0" fontId="42" fillId="0" borderId="12" xfId="543" applyFont="1" applyBorder="1" applyAlignment="1">
      <alignment horizontal="center" vertical="center" wrapText="1"/>
    </xf>
    <xf numFmtId="0" fontId="22" fillId="0" borderId="1" xfId="0" applyFont="1" applyBorder="1" applyAlignment="1">
      <alignment horizontal="center"/>
    </xf>
    <xf numFmtId="0" fontId="22" fillId="0" borderId="2" xfId="0" applyFont="1" applyBorder="1" applyAlignment="1">
      <alignment horizontal="center"/>
    </xf>
    <xf numFmtId="0" fontId="22" fillId="0" borderId="7" xfId="0" applyFont="1" applyBorder="1" applyAlignment="1">
      <alignment horizont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0" xfId="0" applyFont="1" applyAlignment="1">
      <alignment horizontal="center" vertical="center" wrapText="1"/>
    </xf>
    <xf numFmtId="0" fontId="31" fillId="0" borderId="12"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0" xfId="0" applyFont="1" applyBorder="1" applyAlignment="1">
      <alignment horizontal="center" vertical="center" wrapText="1"/>
    </xf>
    <xf numFmtId="172" fontId="22" fillId="0" borderId="11" xfId="0" applyNumberFormat="1" applyFont="1" applyBorder="1" applyAlignment="1">
      <alignment horizontal="center" vertical="center" wrapText="1"/>
    </xf>
    <xf numFmtId="0" fontId="22" fillId="0" borderId="9" xfId="0" applyFont="1" applyBorder="1" applyAlignment="1">
      <alignment horizontal="right"/>
    </xf>
    <xf numFmtId="0" fontId="22" fillId="0" borderId="10" xfId="0" applyFont="1" applyBorder="1" applyAlignment="1">
      <alignment horizontal="right"/>
    </xf>
    <xf numFmtId="180" fontId="0" fillId="0" borderId="6" xfId="0" applyNumberFormat="1" applyBorder="1" applyAlignment="1">
      <alignment horizontal="center"/>
    </xf>
    <xf numFmtId="0" fontId="48" fillId="0" borderId="0" xfId="0" applyFont="1" applyAlignment="1">
      <alignment horizontal="center"/>
    </xf>
    <xf numFmtId="0" fontId="15" fillId="0" borderId="0" xfId="0" applyFont="1" applyAlignment="1">
      <alignment horizontal="center"/>
    </xf>
    <xf numFmtId="0" fontId="30" fillId="0" borderId="0" xfId="0" applyFont="1" applyAlignment="1">
      <alignment horizontal="center"/>
    </xf>
    <xf numFmtId="0" fontId="15" fillId="0" borderId="0" xfId="0" applyFont="1" applyAlignment="1">
      <alignment horizontal="center" vertical="top"/>
    </xf>
    <xf numFmtId="168" fontId="24" fillId="0" borderId="6" xfId="0" applyNumberFormat="1" applyFont="1" applyBorder="1" applyAlignment="1">
      <alignment horizontal="center"/>
    </xf>
    <xf numFmtId="0" fontId="23" fillId="0" borderId="0" xfId="0" applyFont="1" applyAlignment="1">
      <alignment horizontal="center"/>
    </xf>
    <xf numFmtId="0" fontId="176" fillId="0" borderId="8" xfId="543" applyFont="1" applyBorder="1" applyAlignment="1">
      <alignment horizontal="center" wrapText="1"/>
    </xf>
    <xf numFmtId="0" fontId="176" fillId="0" borderId="0" xfId="543" applyFont="1" applyAlignment="1">
      <alignment horizontal="center" wrapText="1"/>
    </xf>
    <xf numFmtId="0" fontId="176" fillId="0" borderId="12" xfId="543" applyFont="1" applyBorder="1" applyAlignment="1">
      <alignment horizontal="center" wrapText="1"/>
    </xf>
    <xf numFmtId="0" fontId="176" fillId="0" borderId="9" xfId="543" applyFont="1" applyBorder="1" applyAlignment="1">
      <alignment horizontal="center" wrapText="1"/>
    </xf>
    <xf numFmtId="0" fontId="176" fillId="0" borderId="6" xfId="543" applyFont="1" applyBorder="1" applyAlignment="1">
      <alignment horizontal="center" wrapText="1"/>
    </xf>
    <xf numFmtId="0" fontId="176" fillId="0" borderId="10" xfId="543" applyFont="1" applyBorder="1" applyAlignment="1">
      <alignment horizontal="center" wrapText="1"/>
    </xf>
    <xf numFmtId="0" fontId="176" fillId="0" borderId="8" xfId="543" applyFont="1" applyBorder="1" applyAlignment="1">
      <alignment horizontal="center" vertical="top" wrapText="1"/>
    </xf>
    <xf numFmtId="0" fontId="176" fillId="0" borderId="0" xfId="543" applyFont="1" applyAlignment="1">
      <alignment horizontal="center" vertical="top" wrapText="1"/>
    </xf>
    <xf numFmtId="0" fontId="176" fillId="0" borderId="12" xfId="543" applyFont="1" applyBorder="1" applyAlignment="1">
      <alignment horizontal="center" vertical="top" wrapText="1"/>
    </xf>
    <xf numFmtId="0" fontId="176" fillId="0" borderId="9" xfId="543" applyFont="1" applyBorder="1" applyAlignment="1">
      <alignment horizontal="center" vertical="top" wrapText="1"/>
    </xf>
    <xf numFmtId="0" fontId="176" fillId="0" borderId="6" xfId="543" applyFont="1" applyBorder="1" applyAlignment="1">
      <alignment horizontal="center" vertical="top" wrapText="1"/>
    </xf>
    <xf numFmtId="0" fontId="176" fillId="0" borderId="10" xfId="543" applyFont="1" applyBorder="1" applyAlignment="1">
      <alignment horizontal="center" vertical="top" wrapText="1"/>
    </xf>
    <xf numFmtId="0" fontId="171" fillId="0" borderId="0" xfId="0" applyFont="1" applyAlignment="1">
      <alignment horizontal="center" vertical="center" wrapText="1"/>
    </xf>
    <xf numFmtId="3" fontId="43" fillId="10" borderId="0" xfId="543" applyNumberFormat="1" applyFont="1" applyFill="1" applyAlignment="1">
      <alignment horizontal="left" vertical="center" wrapText="1"/>
    </xf>
    <xf numFmtId="1" fontId="15" fillId="0" borderId="3" xfId="0" applyNumberFormat="1" applyFont="1" applyBorder="1" applyAlignment="1">
      <alignment horizontal="center"/>
    </xf>
    <xf numFmtId="1" fontId="24" fillId="0" borderId="4" xfId="0" applyNumberFormat="1" applyFont="1" applyBorder="1" applyAlignment="1">
      <alignment horizontal="center"/>
    </xf>
    <xf numFmtId="1" fontId="24" fillId="0" borderId="5" xfId="0" applyNumberFormat="1" applyFont="1" applyBorder="1" applyAlignment="1">
      <alignment horizontal="center"/>
    </xf>
    <xf numFmtId="0" fontId="24" fillId="0" borderId="2" xfId="0" applyFont="1" applyBorder="1" applyAlignment="1">
      <alignment horizontal="left" vertical="top" wrapText="1"/>
    </xf>
    <xf numFmtId="177" fontId="24"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4" fillId="0" borderId="0" xfId="0" applyFont="1" applyAlignment="1">
      <alignment vertical="top" wrapText="1"/>
    </xf>
    <xf numFmtId="0" fontId="24" fillId="0" borderId="6" xfId="0" applyFont="1" applyBorder="1" applyAlignment="1">
      <alignment horizontal="right" vertical="top" wrapText="1"/>
    </xf>
    <xf numFmtId="0" fontId="24"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4" fillId="0" borderId="2" xfId="0" applyFont="1" applyBorder="1" applyAlignment="1">
      <alignment vertical="top" wrapText="1"/>
    </xf>
    <xf numFmtId="0" fontId="52" fillId="0" borderId="0" xfId="0" applyFont="1" applyAlignment="1">
      <alignment vertical="top" wrapText="1"/>
    </xf>
    <xf numFmtId="164" fontId="15" fillId="0" borderId="50" xfId="4495" applyNumberFormat="1" applyFont="1" applyBorder="1" applyAlignment="1">
      <alignment horizontal="left" vertical="top" wrapText="1"/>
    </xf>
    <xf numFmtId="164" fontId="15" fillId="0" borderId="51" xfId="4495" applyNumberFormat="1" applyFont="1" applyBorder="1" applyAlignment="1">
      <alignment horizontal="left" vertical="top" wrapText="1"/>
    </xf>
    <xf numFmtId="164" fontId="15" fillId="0" borderId="52" xfId="4495" applyNumberFormat="1" applyFont="1" applyBorder="1" applyAlignment="1">
      <alignment horizontal="left" vertical="top" wrapText="1"/>
    </xf>
    <xf numFmtId="164" fontId="15" fillId="0" borderId="53" xfId="4495" applyNumberFormat="1" applyFont="1" applyBorder="1" applyAlignment="1">
      <alignment horizontal="left" vertical="top" wrapText="1"/>
    </xf>
    <xf numFmtId="164" fontId="15" fillId="0" borderId="0" xfId="4495" applyNumberFormat="1" applyFont="1" applyAlignment="1">
      <alignment horizontal="left" vertical="top" wrapText="1"/>
    </xf>
    <xf numFmtId="164" fontId="15" fillId="0" borderId="54" xfId="4495" applyNumberFormat="1" applyFont="1" applyBorder="1" applyAlignment="1">
      <alignment horizontal="left" vertical="top" wrapText="1"/>
    </xf>
    <xf numFmtId="164" fontId="15" fillId="0" borderId="57" xfId="4495" applyNumberFormat="1" applyFont="1" applyBorder="1" applyAlignment="1">
      <alignment horizontal="left" vertical="top" wrapText="1"/>
    </xf>
    <xf numFmtId="164" fontId="15" fillId="0" borderId="58" xfId="4495" applyNumberFormat="1" applyFont="1" applyBorder="1" applyAlignment="1">
      <alignment horizontal="left" vertical="top" wrapText="1"/>
    </xf>
    <xf numFmtId="164" fontId="15" fillId="0" borderId="59" xfId="4495" applyNumberFormat="1" applyFont="1" applyBorder="1" applyAlignment="1">
      <alignment horizontal="left" vertical="top" wrapText="1"/>
    </xf>
    <xf numFmtId="0" fontId="15" fillId="45" borderId="11" xfId="4495" applyFont="1" applyFill="1" applyBorder="1" applyAlignment="1">
      <alignment horizontal="center"/>
    </xf>
    <xf numFmtId="4" fontId="23" fillId="0" borderId="3" xfId="4495" applyNumberFormat="1" applyFont="1" applyBorder="1" applyAlignment="1">
      <alignment horizontal="center"/>
    </xf>
    <xf numFmtId="4" fontId="23" fillId="0" borderId="4" xfId="4495" applyNumberFormat="1" applyFont="1" applyBorder="1" applyAlignment="1">
      <alignment horizontal="center"/>
    </xf>
    <xf numFmtId="4" fontId="23"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5" fillId="43" borderId="6" xfId="1192" applyNumberFormat="1" applyFill="1" applyBorder="1" applyAlignment="1" applyProtection="1">
      <alignment horizontal="right"/>
      <protection locked="0"/>
    </xf>
    <xf numFmtId="168" fontId="15" fillId="0" borderId="0" xfId="1192" applyNumberFormat="1" applyAlignment="1">
      <alignment horizontal="right"/>
    </xf>
    <xf numFmtId="0" fontId="141" fillId="0" borderId="0" xfId="1192" applyFont="1" applyAlignment="1">
      <alignment horizontal="center"/>
    </xf>
    <xf numFmtId="168" fontId="15" fillId="43" borderId="6" xfId="543" applyNumberFormat="1" applyFill="1" applyBorder="1" applyAlignment="1" applyProtection="1">
      <alignment horizontal="center"/>
      <protection locked="0"/>
    </xf>
    <xf numFmtId="168" fontId="15" fillId="5" borderId="4" xfId="1192" applyNumberFormat="1" applyFill="1" applyBorder="1" applyAlignment="1" applyProtection="1">
      <alignment horizontal="center"/>
      <protection locked="0"/>
    </xf>
    <xf numFmtId="4" fontId="23" fillId="0" borderId="0" xfId="4495" applyNumberFormat="1" applyFont="1" applyAlignment="1">
      <alignment horizontal="center"/>
    </xf>
    <xf numFmtId="4" fontId="23" fillId="0" borderId="6" xfId="4495" applyNumberFormat="1" applyFont="1" applyBorder="1" applyAlignment="1">
      <alignment horizontal="center"/>
    </xf>
    <xf numFmtId="1" fontId="15" fillId="5" borderId="2" xfId="1192" applyNumberFormat="1" applyFill="1" applyBorder="1" applyAlignment="1" applyProtection="1">
      <alignment horizontal="center"/>
      <protection locked="0"/>
    </xf>
    <xf numFmtId="168" fontId="15" fillId="0" borderId="6" xfId="1192" applyNumberFormat="1" applyBorder="1" applyAlignment="1">
      <alignment horizontal="right"/>
    </xf>
    <xf numFmtId="168" fontId="15" fillId="0" borderId="4" xfId="1192" applyNumberFormat="1" applyBorder="1" applyAlignment="1">
      <alignment horizontal="right"/>
    </xf>
    <xf numFmtId="0" fontId="15" fillId="0" borderId="53" xfId="4495" applyFont="1" applyBorder="1" applyAlignment="1">
      <alignment horizontal="left" vertical="top" wrapText="1"/>
    </xf>
    <xf numFmtId="0" fontId="15" fillId="0" borderId="0" xfId="4495" applyFont="1" applyAlignment="1">
      <alignment horizontal="left" vertical="top" wrapText="1"/>
    </xf>
    <xf numFmtId="0" fontId="15" fillId="0" borderId="54" xfId="4495" applyFont="1" applyBorder="1" applyAlignment="1">
      <alignment horizontal="left" vertical="top" wrapText="1"/>
    </xf>
    <xf numFmtId="0" fontId="15" fillId="0" borderId="57" xfId="4495" applyFont="1" applyBorder="1" applyAlignment="1">
      <alignment horizontal="left" vertical="top" wrapText="1"/>
    </xf>
    <xf numFmtId="0" fontId="15" fillId="0" borderId="58" xfId="4495" applyFont="1" applyBorder="1" applyAlignment="1">
      <alignment horizontal="left" vertical="top" wrapText="1"/>
    </xf>
    <xf numFmtId="168" fontId="15" fillId="0" borderId="6" xfId="4496" applyNumberFormat="1" applyFont="1" applyBorder="1" applyAlignment="1">
      <alignment horizontal="center"/>
    </xf>
    <xf numFmtId="168" fontId="15" fillId="0" borderId="4" xfId="4496" applyNumberFormat="1" applyFont="1" applyBorder="1" applyAlignment="1">
      <alignment horizontal="center"/>
    </xf>
    <xf numFmtId="9" fontId="15" fillId="0" borderId="4" xfId="4496" applyNumberFormat="1" applyFont="1" applyBorder="1" applyAlignment="1">
      <alignment horizontal="center"/>
    </xf>
    <xf numFmtId="0" fontId="15" fillId="0" borderId="3" xfId="4495" applyFont="1" applyBorder="1" applyAlignment="1">
      <alignment horizontal="center"/>
    </xf>
    <xf numFmtId="0" fontId="15" fillId="0" borderId="4" xfId="4495" applyFont="1" applyBorder="1" applyAlignment="1">
      <alignment horizontal="center"/>
    </xf>
    <xf numFmtId="0" fontId="15" fillId="0" borderId="5" xfId="4495" applyFont="1" applyBorder="1" applyAlignment="1">
      <alignment horizontal="center"/>
    </xf>
    <xf numFmtId="0" fontId="22" fillId="0" borderId="0" xfId="4495" applyFont="1" applyAlignment="1">
      <alignment horizontal="center"/>
    </xf>
    <xf numFmtId="0" fontId="23" fillId="0" borderId="51" xfId="4495" applyFont="1" applyBorder="1" applyAlignment="1">
      <alignment horizontal="left" vertical="top" wrapText="1"/>
    </xf>
    <xf numFmtId="0" fontId="23" fillId="0" borderId="0" xfId="4495" applyFont="1" applyAlignment="1">
      <alignment horizontal="left" vertical="top" wrapText="1"/>
    </xf>
    <xf numFmtId="0" fontId="22" fillId="0" borderId="0" xfId="4495" applyFont="1" applyAlignment="1">
      <alignment horizontal="right"/>
    </xf>
    <xf numFmtId="10" fontId="23" fillId="0" borderId="2" xfId="4495" applyNumberFormat="1" applyFont="1" applyBorder="1" applyAlignment="1">
      <alignment horizontal="center"/>
    </xf>
    <xf numFmtId="0" fontId="23" fillId="0" borderId="0" xfId="4495" applyFont="1" applyAlignment="1">
      <alignment horizontal="center"/>
    </xf>
    <xf numFmtId="9" fontId="23" fillId="5" borderId="6" xfId="4495" applyNumberFormat="1" applyFont="1" applyFill="1" applyBorder="1" applyAlignment="1">
      <alignment horizontal="left"/>
    </xf>
    <xf numFmtId="0" fontId="129" fillId="0" borderId="0" xfId="4495" applyFont="1" applyAlignment="1">
      <alignment horizontal="left" vertical="top" wrapText="1"/>
    </xf>
    <xf numFmtId="0" fontId="31" fillId="42" borderId="2" xfId="4495" applyFont="1" applyFill="1" applyBorder="1" applyAlignment="1">
      <alignment horizontal="center"/>
    </xf>
    <xf numFmtId="0" fontId="31" fillId="42" borderId="6" xfId="4495" applyFont="1" applyFill="1" applyBorder="1" applyAlignment="1">
      <alignment horizontal="center"/>
    </xf>
    <xf numFmtId="0" fontId="22"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2" fillId="0" borderId="54" xfId="4495" applyFont="1" applyBorder="1" applyAlignment="1">
      <alignment horizontal="center"/>
    </xf>
    <xf numFmtId="0" fontId="15"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0" fontId="15" fillId="0" borderId="6" xfId="1192" applyBorder="1" applyAlignment="1">
      <alignment horizontal="left"/>
    </xf>
    <xf numFmtId="9" fontId="15" fillId="5" borderId="4" xfId="1192" applyNumberFormat="1" applyFill="1" applyBorder="1" applyAlignment="1" applyProtection="1">
      <alignment horizontal="left"/>
      <protection locked="0"/>
    </xf>
    <xf numFmtId="0" fontId="15" fillId="0" borderId="6" xfId="1192" applyBorder="1" applyAlignment="1">
      <alignment horizontal="right"/>
    </xf>
    <xf numFmtId="168" fontId="15" fillId="43" borderId="6" xfId="1192" applyNumberFormat="1" applyFill="1" applyBorder="1" applyAlignment="1" applyProtection="1">
      <alignment horizontal="right"/>
      <protection locked="0"/>
    </xf>
    <xf numFmtId="0" fontId="22" fillId="0" borderId="4" xfId="4495" applyFont="1" applyBorder="1" applyAlignment="1">
      <alignment horizontal="left"/>
    </xf>
    <xf numFmtId="0" fontId="22" fillId="0" borderId="5" xfId="4495" applyFont="1" applyBorder="1" applyAlignment="1">
      <alignment horizontal="left"/>
    </xf>
    <xf numFmtId="1" fontId="22" fillId="0" borderId="11" xfId="4495" applyNumberFormat="1" applyFont="1" applyBorder="1" applyAlignment="1">
      <alignment horizontal="center"/>
    </xf>
    <xf numFmtId="0" fontId="22" fillId="0" borderId="3" xfId="4495" applyFont="1" applyBorder="1" applyAlignment="1">
      <alignment horizontal="center" wrapText="1"/>
    </xf>
    <xf numFmtId="0" fontId="22" fillId="0" borderId="4" xfId="4495" applyFont="1" applyBorder="1" applyAlignment="1">
      <alignment horizontal="center" wrapText="1"/>
    </xf>
    <xf numFmtId="0" fontId="22" fillId="0" borderId="5" xfId="4495" applyFont="1" applyBorder="1" applyAlignment="1">
      <alignment horizontal="center" wrapText="1"/>
    </xf>
    <xf numFmtId="0" fontId="15" fillId="0" borderId="4" xfId="4495" applyFont="1" applyBorder="1" applyAlignment="1">
      <alignment horizontal="left"/>
    </xf>
    <xf numFmtId="0" fontId="15" fillId="0" borderId="5" xfId="4495" applyFont="1" applyBorder="1" applyAlignment="1">
      <alignment horizontal="left"/>
    </xf>
    <xf numFmtId="1" fontId="15" fillId="0" borderId="11" xfId="4495" applyNumberFormat="1" applyFont="1" applyBorder="1" applyAlignment="1">
      <alignment horizontal="center"/>
    </xf>
    <xf numFmtId="0" fontId="15" fillId="0" borderId="11" xfId="4495" applyFont="1" applyBorder="1" applyAlignment="1">
      <alignment horizontal="center"/>
    </xf>
    <xf numFmtId="1" fontId="15" fillId="46" borderId="11" xfId="4495" applyNumberFormat="1" applyFont="1" applyFill="1" applyBorder="1" applyAlignment="1">
      <alignment horizontal="center"/>
    </xf>
    <xf numFmtId="0" fontId="22" fillId="0" borderId="3" xfId="4495" applyFont="1" applyBorder="1" applyAlignment="1">
      <alignment horizontal="center"/>
    </xf>
    <xf numFmtId="0" fontId="22" fillId="0" borderId="4" xfId="4495" applyFont="1" applyBorder="1" applyAlignment="1">
      <alignment horizontal="center"/>
    </xf>
    <xf numFmtId="0" fontId="22" fillId="0" borderId="5" xfId="4495" applyFont="1" applyBorder="1" applyAlignment="1">
      <alignment horizontal="center"/>
    </xf>
    <xf numFmtId="0" fontId="22" fillId="0" borderId="3" xfId="4495" applyFont="1" applyBorder="1" applyAlignment="1">
      <alignment horizontal="left"/>
    </xf>
    <xf numFmtId="0" fontId="15"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2" fillId="0" borderId="4" xfId="4495" applyNumberFormat="1" applyFont="1" applyBorder="1" applyAlignment="1">
      <alignment horizontal="center" wrapText="1"/>
    </xf>
    <xf numFmtId="0" fontId="15" fillId="0" borderId="50" xfId="4496" applyFont="1" applyBorder="1" applyAlignment="1">
      <alignment horizontal="left" wrapText="1"/>
    </xf>
    <xf numFmtId="0" fontId="15" fillId="0" borderId="51" xfId="4496" applyFont="1" applyBorder="1" applyAlignment="1">
      <alignment horizontal="left" wrapText="1"/>
    </xf>
    <xf numFmtId="0" fontId="15" fillId="0" borderId="52" xfId="4496" applyFont="1" applyBorder="1" applyAlignment="1">
      <alignment horizontal="left" wrapText="1"/>
    </xf>
    <xf numFmtId="0" fontId="15" fillId="0" borderId="53" xfId="4496" applyFont="1" applyBorder="1" applyAlignment="1">
      <alignment horizontal="left" wrapText="1"/>
    </xf>
    <xf numFmtId="0" fontId="15" fillId="0" borderId="0" xfId="4496" applyFont="1" applyAlignment="1">
      <alignment horizontal="left" wrapText="1"/>
    </xf>
    <xf numFmtId="0" fontId="15" fillId="0" borderId="54" xfId="4496" applyFont="1" applyBorder="1" applyAlignment="1">
      <alignment horizontal="left" wrapText="1"/>
    </xf>
    <xf numFmtId="0" fontId="15" fillId="0" borderId="57" xfId="4496" applyFont="1" applyBorder="1" applyAlignment="1">
      <alignment horizontal="left" wrapText="1"/>
    </xf>
    <xf numFmtId="0" fontId="15" fillId="0" borderId="58" xfId="4496" applyFont="1" applyBorder="1" applyAlignment="1">
      <alignment horizontal="left" wrapText="1"/>
    </xf>
    <xf numFmtId="0" fontId="15" fillId="0" borderId="59" xfId="4496" applyFont="1" applyBorder="1" applyAlignment="1">
      <alignment horizontal="left" wrapText="1"/>
    </xf>
    <xf numFmtId="1" fontId="15" fillId="0" borderId="4" xfId="4496" applyNumberFormat="1" applyFont="1" applyBorder="1" applyAlignment="1">
      <alignment horizontal="center"/>
    </xf>
    <xf numFmtId="1" fontId="15" fillId="0" borderId="5" xfId="4496" applyNumberFormat="1" applyFont="1" applyBorder="1" applyAlignment="1">
      <alignment horizontal="center"/>
    </xf>
    <xf numFmtId="49" fontId="21" fillId="3" borderId="2" xfId="4495" applyNumberFormat="1" applyFont="1" applyFill="1" applyBorder="1" applyAlignment="1">
      <alignment horizontal="center" vertical="center" wrapText="1"/>
    </xf>
    <xf numFmtId="49" fontId="21" fillId="3" borderId="2" xfId="4495" applyNumberFormat="1" applyFont="1" applyFill="1" applyBorder="1" applyAlignment="1">
      <alignment horizontal="center" vertical="center"/>
    </xf>
    <xf numFmtId="49" fontId="21" fillId="3" borderId="0" xfId="4495" applyNumberFormat="1" applyFont="1" applyFill="1" applyAlignment="1">
      <alignment horizontal="center" vertical="center"/>
    </xf>
    <xf numFmtId="0" fontId="22" fillId="0" borderId="1" xfId="4495" applyFont="1" applyBorder="1" applyAlignment="1">
      <alignment horizontal="center" wrapText="1"/>
    </xf>
    <xf numFmtId="0" fontId="22" fillId="0" borderId="2" xfId="4495" applyFont="1" applyBorder="1" applyAlignment="1">
      <alignment horizontal="center" wrapText="1"/>
    </xf>
    <xf numFmtId="0" fontId="22" fillId="0" borderId="7" xfId="4495" applyFont="1" applyBorder="1" applyAlignment="1">
      <alignment horizontal="center" wrapText="1"/>
    </xf>
    <xf numFmtId="0" fontId="22" fillId="0" borderId="9" xfId="4495" applyFont="1" applyBorder="1" applyAlignment="1">
      <alignment horizontal="center" wrapText="1"/>
    </xf>
    <xf numFmtId="0" fontId="22" fillId="0" borderId="6" xfId="4495" applyFont="1" applyBorder="1" applyAlignment="1">
      <alignment horizontal="center" wrapText="1"/>
    </xf>
    <xf numFmtId="0" fontId="22" fillId="0" borderId="10" xfId="4495" applyFont="1" applyBorder="1" applyAlignment="1">
      <alignment horizontal="center" wrapText="1"/>
    </xf>
    <xf numFmtId="0" fontId="22" fillId="0" borderId="0" xfId="4495" applyFont="1" applyAlignment="1">
      <alignment horizontal="center" vertical="top"/>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5" borderId="50" xfId="4495" applyFill="1" applyBorder="1" applyAlignment="1">
      <alignment horizontal="center"/>
    </xf>
    <xf numFmtId="0" fontId="119" fillId="5" borderId="51" xfId="4495" applyFill="1" applyBorder="1" applyAlignment="1">
      <alignment horizontal="center"/>
    </xf>
    <xf numFmtId="0" fontId="119" fillId="0" borderId="53" xfId="4495" applyBorder="1" applyAlignment="1">
      <alignment horizontal="center"/>
    </xf>
    <xf numFmtId="0" fontId="119" fillId="0" borderId="0" xfId="4495" applyAlignment="1">
      <alignment horizontal="center"/>
    </xf>
    <xf numFmtId="0" fontId="23" fillId="5" borderId="0" xfId="4495" applyFont="1" applyFill="1" applyAlignment="1">
      <alignment horizontal="left" vertical="top"/>
    </xf>
    <xf numFmtId="0" fontId="119" fillId="5" borderId="53" xfId="4495" applyFill="1" applyBorder="1" applyAlignment="1">
      <alignment horizontal="center"/>
    </xf>
    <xf numFmtId="0" fontId="119" fillId="5" borderId="0" xfId="4495" applyFill="1" applyAlignment="1">
      <alignment horizontal="center"/>
    </xf>
    <xf numFmtId="0" fontId="23" fillId="0" borderId="58" xfId="4495" applyFont="1" applyBorder="1" applyAlignment="1">
      <alignment horizontal="left" vertical="top" wrapText="1"/>
    </xf>
    <xf numFmtId="0" fontId="23"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3" fillId="5" borderId="58" xfId="4495" applyNumberFormat="1" applyFont="1" applyFill="1" applyBorder="1" applyAlignment="1">
      <alignment horizontal="left"/>
    </xf>
    <xf numFmtId="0" fontId="119" fillId="5" borderId="55" xfId="4495" applyFill="1" applyBorder="1" applyAlignment="1">
      <alignment horizontal="center"/>
    </xf>
    <xf numFmtId="0" fontId="119" fillId="5" borderId="6" xfId="4495" applyFill="1" applyBorder="1" applyAlignment="1">
      <alignment horizontal="center"/>
    </xf>
    <xf numFmtId="0" fontId="23" fillId="5" borderId="0" xfId="4495" applyFont="1" applyFill="1" applyAlignment="1">
      <alignment horizontal="left" vertical="top" wrapText="1"/>
    </xf>
    <xf numFmtId="0" fontId="23" fillId="5" borderId="58" xfId="4495" applyFont="1" applyFill="1" applyBorder="1" applyAlignment="1">
      <alignment horizontal="left" vertical="top" wrapText="1"/>
    </xf>
    <xf numFmtId="0" fontId="23"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2" fillId="0" borderId="51" xfId="4495" applyFont="1" applyBorder="1" applyAlignment="1">
      <alignment horizontal="center" vertical="top"/>
    </xf>
    <xf numFmtId="0" fontId="22" fillId="0" borderId="52" xfId="4495" applyFont="1" applyBorder="1" applyAlignment="1">
      <alignment horizontal="center" vertical="top"/>
    </xf>
    <xf numFmtId="0" fontId="52" fillId="0" borderId="51" xfId="4495" applyFont="1" applyBorder="1" applyAlignment="1">
      <alignment horizontal="left" wrapText="1"/>
    </xf>
    <xf numFmtId="0" fontId="52" fillId="0" borderId="0" xfId="4495" applyFont="1" applyAlignment="1">
      <alignment horizontal="left" wrapText="1"/>
    </xf>
    <xf numFmtId="0" fontId="22" fillId="0" borderId="54" xfId="4495" applyFont="1" applyBorder="1" applyAlignment="1">
      <alignment horizontal="center" vertical="top"/>
    </xf>
    <xf numFmtId="0" fontId="129" fillId="0" borderId="0" xfId="4495" applyFont="1" applyAlignment="1">
      <alignment horizontal="left" vertical="center" wrapText="1"/>
    </xf>
    <xf numFmtId="0" fontId="22" fillId="0" borderId="0" xfId="4495" applyFont="1" applyAlignment="1">
      <alignment horizontal="left" vertical="top" wrapText="1"/>
    </xf>
    <xf numFmtId="0" fontId="15" fillId="0" borderId="0" xfId="4495" applyFont="1" applyAlignment="1">
      <alignment horizontal="left" vertical="top" wrapText="1" shrinkToFit="1"/>
    </xf>
    <xf numFmtId="44" fontId="15" fillId="0" borderId="0" xfId="707" applyFont="1" applyFill="1" applyBorder="1" applyAlignment="1" applyProtection="1">
      <alignment horizontal="left" vertical="top" wrapText="1"/>
    </xf>
    <xf numFmtId="0" fontId="15" fillId="0" borderId="0" xfId="4495" applyFont="1" applyAlignment="1">
      <alignment wrapText="1"/>
    </xf>
    <xf numFmtId="0" fontId="15" fillId="5" borderId="6" xfId="4495" applyFont="1" applyFill="1" applyBorder="1" applyAlignment="1" applyProtection="1">
      <alignment horizontal="center"/>
      <protection locked="0"/>
    </xf>
    <xf numFmtId="0" fontId="15" fillId="0" borderId="0" xfId="4495" applyFont="1" applyAlignment="1">
      <alignment horizontal="left" vertical="center" wrapText="1" shrinkToFit="1"/>
    </xf>
    <xf numFmtId="0" fontId="15" fillId="5" borderId="6" xfId="4495" applyFont="1" applyFill="1" applyBorder="1" applyAlignment="1" applyProtection="1">
      <alignment horizontal="left" wrapText="1" shrinkToFit="1"/>
      <protection locked="0"/>
    </xf>
    <xf numFmtId="0" fontId="15" fillId="43" borderId="6" xfId="1192" applyFill="1" applyBorder="1" applyAlignment="1" applyProtection="1">
      <alignment horizontal="left" vertical="top"/>
      <protection locked="0"/>
    </xf>
    <xf numFmtId="0" fontId="174" fillId="0" borderId="0" xfId="0" applyFont="1" applyAlignment="1" applyProtection="1">
      <alignment horizontal="left"/>
      <protection locked="0"/>
    </xf>
    <xf numFmtId="168" fontId="171" fillId="0" borderId="0" xfId="0" applyNumberFormat="1" applyFont="1" applyAlignment="1">
      <alignment horizontal="center" vertical="top" wrapText="1"/>
    </xf>
    <xf numFmtId="168" fontId="171" fillId="0" borderId="12" xfId="0" applyNumberFormat="1" applyFont="1" applyBorder="1" applyAlignment="1">
      <alignment horizontal="center" vertical="top" wrapText="1"/>
    </xf>
    <xf numFmtId="0" fontId="15" fillId="0" borderId="50" xfId="4495" applyFont="1" applyBorder="1" applyAlignment="1">
      <alignment horizontal="left" vertical="center" wrapText="1"/>
    </xf>
    <xf numFmtId="0" fontId="15" fillId="0" borderId="51" xfId="4495" applyFont="1" applyBorder="1" applyAlignment="1">
      <alignment horizontal="left" vertical="center" wrapText="1"/>
    </xf>
    <xf numFmtId="0" fontId="15" fillId="0" borderId="52" xfId="4495" applyFont="1" applyBorder="1" applyAlignment="1">
      <alignment horizontal="left" vertical="center" wrapText="1"/>
    </xf>
    <xf numFmtId="0" fontId="15" fillId="0" borderId="53" xfId="4495" applyFont="1" applyBorder="1" applyAlignment="1">
      <alignment horizontal="left" vertical="center" wrapText="1"/>
    </xf>
    <xf numFmtId="0" fontId="15" fillId="0" borderId="0" xfId="4495" applyFont="1" applyAlignment="1">
      <alignment horizontal="left" vertical="center" wrapText="1"/>
    </xf>
    <xf numFmtId="0" fontId="15" fillId="0" borderId="54" xfId="4495" applyFont="1" applyBorder="1" applyAlignment="1">
      <alignment horizontal="left" vertical="center" wrapText="1"/>
    </xf>
    <xf numFmtId="0" fontId="15" fillId="43" borderId="53" xfId="4495" applyFont="1" applyFill="1" applyBorder="1" applyAlignment="1" applyProtection="1">
      <alignment vertical="top" wrapText="1"/>
      <protection locked="0"/>
    </xf>
    <xf numFmtId="0" fontId="15" fillId="43" borderId="0" xfId="4495" applyFont="1" applyFill="1" applyAlignment="1" applyProtection="1">
      <alignment vertical="top" wrapText="1"/>
      <protection locked="0"/>
    </xf>
    <xf numFmtId="0" fontId="15" fillId="43" borderId="54" xfId="4495" applyFont="1" applyFill="1" applyBorder="1" applyAlignment="1" applyProtection="1">
      <alignment vertical="top" wrapText="1"/>
      <protection locked="0"/>
    </xf>
    <xf numFmtId="0" fontId="15" fillId="43" borderId="55" xfId="4495" applyFont="1" applyFill="1" applyBorder="1" applyAlignment="1" applyProtection="1">
      <alignment vertical="top" wrapText="1"/>
      <protection locked="0"/>
    </xf>
    <xf numFmtId="0" fontId="15" fillId="43" borderId="6" xfId="4495" applyFont="1" applyFill="1" applyBorder="1" applyAlignment="1" applyProtection="1">
      <alignment vertical="top" wrapText="1"/>
      <protection locked="0"/>
    </xf>
    <xf numFmtId="0" fontId="15" fillId="43" borderId="56" xfId="4495" applyFont="1" applyFill="1" applyBorder="1" applyAlignment="1" applyProtection="1">
      <alignment vertical="top" wrapText="1"/>
      <protection locked="0"/>
    </xf>
    <xf numFmtId="0" fontId="15" fillId="43" borderId="0" xfId="4495" applyFont="1" applyFill="1" applyAlignment="1" applyProtection="1">
      <alignment horizontal="left" vertical="center" wrapText="1"/>
      <protection locked="0"/>
    </xf>
    <xf numFmtId="0" fontId="15" fillId="43" borderId="54" xfId="4495" applyFont="1" applyFill="1" applyBorder="1" applyAlignment="1" applyProtection="1">
      <alignment horizontal="left" vertical="center" wrapText="1"/>
      <protection locked="0"/>
    </xf>
    <xf numFmtId="0" fontId="15" fillId="43" borderId="6" xfId="4495" applyFont="1" applyFill="1" applyBorder="1" applyAlignment="1" applyProtection="1">
      <alignment horizontal="left" vertical="center" wrapText="1"/>
      <protection locked="0"/>
    </xf>
    <xf numFmtId="0" fontId="15"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5" fillId="0" borderId="59" xfId="4495" applyFont="1" applyBorder="1" applyAlignment="1">
      <alignment horizontal="left" vertical="top" wrapText="1"/>
    </xf>
    <xf numFmtId="0" fontId="15" fillId="0" borderId="4" xfId="4496" applyFont="1" applyBorder="1" applyAlignment="1">
      <alignment horizontal="center"/>
    </xf>
    <xf numFmtId="0" fontId="15" fillId="0" borderId="5" xfId="4496" applyFont="1" applyBorder="1" applyAlignment="1">
      <alignment horizontal="center"/>
    </xf>
    <xf numFmtId="0" fontId="15" fillId="0" borderId="50" xfId="4495" applyFont="1" applyBorder="1" applyAlignment="1">
      <alignment horizontal="left" vertical="top" wrapText="1"/>
    </xf>
    <xf numFmtId="0" fontId="15" fillId="0" borderId="51" xfId="4495" applyFont="1" applyBorder="1" applyAlignment="1">
      <alignment horizontal="left" vertical="top" wrapText="1"/>
    </xf>
    <xf numFmtId="0" fontId="15" fillId="0" borderId="52" xfId="4495" applyFont="1" applyBorder="1" applyAlignment="1">
      <alignment horizontal="left" vertical="top" wrapText="1"/>
    </xf>
    <xf numFmtId="0" fontId="22" fillId="0" borderId="0" xfId="4495" applyFont="1"/>
    <xf numFmtId="0" fontId="15" fillId="0" borderId="57" xfId="4495" applyFont="1" applyBorder="1" applyAlignment="1">
      <alignment horizontal="left" vertical="center" wrapText="1"/>
    </xf>
    <xf numFmtId="0" fontId="15" fillId="0" borderId="58" xfId="4495" applyFont="1" applyBorder="1" applyAlignment="1">
      <alignment horizontal="left" vertical="center" wrapText="1"/>
    </xf>
    <xf numFmtId="0" fontId="15" fillId="0" borderId="59" xfId="4495" applyFont="1" applyBorder="1" applyAlignment="1">
      <alignment horizontal="left" vertical="center" wrapText="1"/>
    </xf>
    <xf numFmtId="0" fontId="22" fillId="0" borderId="0" xfId="4495" applyFont="1" applyAlignment="1">
      <alignment horizontal="left" vertical="top"/>
    </xf>
    <xf numFmtId="0" fontId="119" fillId="0" borderId="0" xfId="4495" applyAlignment="1" applyProtection="1">
      <alignment horizontal="center"/>
      <protection locked="0"/>
    </xf>
    <xf numFmtId="9" fontId="15" fillId="0" borderId="4" xfId="543" applyNumberFormat="1" applyBorder="1" applyAlignment="1">
      <alignment horizontal="center"/>
    </xf>
    <xf numFmtId="168" fontId="15" fillId="0" borderId="6" xfId="4495" applyNumberFormat="1" applyFont="1" applyBorder="1" applyAlignment="1">
      <alignment horizontal="right"/>
    </xf>
    <xf numFmtId="168" fontId="117" fillId="0" borderId="6" xfId="4495" applyNumberFormat="1" applyFont="1" applyBorder="1" applyAlignment="1">
      <alignment horizontal="right"/>
    </xf>
    <xf numFmtId="168" fontId="15" fillId="43" borderId="6" xfId="4495" applyNumberFormat="1" applyFont="1" applyFill="1" applyBorder="1" applyAlignment="1" applyProtection="1">
      <alignment horizontal="right"/>
      <protection locked="0"/>
    </xf>
    <xf numFmtId="6" fontId="15" fillId="0" borderId="3" xfId="1192" applyNumberFormat="1" applyBorder="1" applyAlignment="1">
      <alignment horizontal="right"/>
    </xf>
    <xf numFmtId="6" fontId="15" fillId="0" borderId="4" xfId="1192" applyNumberFormat="1" applyBorder="1" applyAlignment="1">
      <alignment horizontal="right"/>
    </xf>
    <xf numFmtId="6" fontId="15" fillId="0" borderId="5" xfId="1192" applyNumberFormat="1" applyBorder="1" applyAlignment="1">
      <alignment horizontal="right"/>
    </xf>
    <xf numFmtId="168" fontId="15" fillId="0" borderId="4" xfId="4495" applyNumberFormat="1" applyFont="1" applyBorder="1" applyAlignment="1">
      <alignment horizontal="right"/>
    </xf>
    <xf numFmtId="165" fontId="15" fillId="43" borderId="3" xfId="4495" applyNumberFormat="1" applyFont="1" applyFill="1" applyBorder="1" applyAlignment="1" applyProtection="1">
      <alignment horizontal="center"/>
      <protection locked="0"/>
    </xf>
    <xf numFmtId="165" fontId="15" fillId="43" borderId="4" xfId="4495" applyNumberFormat="1" applyFont="1" applyFill="1" applyBorder="1" applyAlignment="1" applyProtection="1">
      <alignment horizontal="center"/>
      <protection locked="0"/>
    </xf>
    <xf numFmtId="165" fontId="15" fillId="43" borderId="5" xfId="4495" applyNumberFormat="1" applyFont="1" applyFill="1" applyBorder="1" applyAlignment="1" applyProtection="1">
      <alignment horizontal="center"/>
      <protection locked="0"/>
    </xf>
    <xf numFmtId="165" fontId="15" fillId="0" borderId="6" xfId="1192" applyNumberFormat="1" applyBorder="1" applyAlignment="1">
      <alignment horizontal="right"/>
    </xf>
    <xf numFmtId="168" fontId="15" fillId="0" borderId="2" xfId="1192" applyNumberFormat="1" applyBorder="1" applyAlignment="1">
      <alignment horizontal="right"/>
    </xf>
    <xf numFmtId="0" fontId="15" fillId="5" borderId="6" xfId="1192" applyFill="1" applyBorder="1" applyAlignment="1" applyProtection="1">
      <alignment horizontal="left"/>
      <protection locked="0"/>
    </xf>
    <xf numFmtId="165" fontId="15" fillId="0" borderId="0" xfId="1192" applyNumberFormat="1" applyAlignment="1">
      <alignment horizontal="right"/>
    </xf>
    <xf numFmtId="2" fontId="15" fillId="0" borderId="0" xfId="1192" applyNumberFormat="1" applyAlignment="1">
      <alignment horizontal="right"/>
    </xf>
    <xf numFmtId="1" fontId="15" fillId="0" borderId="3" xfId="4495" applyNumberFormat="1" applyFont="1" applyBorder="1" applyAlignment="1">
      <alignment horizontal="center"/>
    </xf>
    <xf numFmtId="1" fontId="15" fillId="0" borderId="4" xfId="4495" applyNumberFormat="1" applyFont="1" applyBorder="1" applyAlignment="1">
      <alignment horizontal="center"/>
    </xf>
    <xf numFmtId="1" fontId="15" fillId="0" borderId="5" xfId="4495" applyNumberFormat="1" applyFont="1" applyBorder="1" applyAlignment="1">
      <alignment horizontal="center"/>
    </xf>
    <xf numFmtId="0" fontId="23" fillId="5" borderId="6" xfId="4495" applyFont="1" applyFill="1" applyBorder="1" applyAlignment="1" applyProtection="1">
      <alignment horizontal="left"/>
      <protection locked="0"/>
    </xf>
    <xf numFmtId="0" fontId="15" fillId="0" borderId="0" xfId="4495" applyFont="1" applyAlignment="1">
      <alignment horizontal="left"/>
    </xf>
    <xf numFmtId="0" fontId="15"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5" fillId="44" borderId="6" xfId="4495" applyFont="1" applyFill="1" applyBorder="1" applyAlignment="1">
      <alignment horizontal="left"/>
    </xf>
    <xf numFmtId="0" fontId="15" fillId="0" borderId="0" xfId="1192" applyAlignment="1">
      <alignment horizontal="right"/>
    </xf>
    <xf numFmtId="9" fontId="15" fillId="0" borderId="6" xfId="1192" applyNumberFormat="1" applyBorder="1" applyAlignment="1">
      <alignment horizontal="center"/>
    </xf>
    <xf numFmtId="9" fontId="15" fillId="0" borderId="6" xfId="1192" quotePrefix="1" applyNumberFormat="1" applyBorder="1" applyAlignment="1">
      <alignment horizontal="center"/>
    </xf>
    <xf numFmtId="9" fontId="15" fillId="0" borderId="0" xfId="1192" quotePrefix="1" applyNumberFormat="1" applyAlignment="1">
      <alignment horizontal="center"/>
    </xf>
    <xf numFmtId="1" fontId="15" fillId="5" borderId="4" xfId="1192" applyNumberFormat="1" applyFill="1" applyBorder="1" applyAlignment="1" applyProtection="1">
      <alignment horizontal="center"/>
      <protection locked="0"/>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1" fillId="3" borderId="2" xfId="4495" applyFont="1" applyFill="1" applyBorder="1" applyAlignment="1">
      <alignment horizontal="center" vertical="center"/>
    </xf>
    <xf numFmtId="0" fontId="21" fillId="3" borderId="16" xfId="4495" applyFont="1" applyFill="1" applyBorder="1" applyAlignment="1">
      <alignment horizontal="center" vertical="center"/>
    </xf>
    <xf numFmtId="0" fontId="22" fillId="0" borderId="48" xfId="4495" applyFont="1" applyBorder="1" applyAlignment="1">
      <alignment horizontal="left" vertical="top"/>
    </xf>
    <xf numFmtId="0" fontId="22" fillId="0" borderId="49" xfId="4495" applyFont="1" applyBorder="1" applyAlignment="1">
      <alignment horizontal="left" vertical="top"/>
    </xf>
    <xf numFmtId="0" fontId="15" fillId="0" borderId="50" xfId="4495" applyFont="1" applyBorder="1" applyAlignment="1">
      <alignment vertical="center" wrapText="1"/>
    </xf>
    <xf numFmtId="0" fontId="15" fillId="0" borderId="51" xfId="4495" applyFont="1" applyBorder="1" applyAlignment="1">
      <alignment vertical="center" wrapText="1"/>
    </xf>
    <xf numFmtId="0" fontId="15" fillId="0" borderId="52" xfId="4495" applyFont="1" applyBorder="1" applyAlignment="1">
      <alignment vertical="center" wrapText="1"/>
    </xf>
    <xf numFmtId="0" fontId="15" fillId="0" borderId="57" xfId="4495" applyFont="1" applyBorder="1" applyAlignment="1">
      <alignment vertical="center" wrapText="1"/>
    </xf>
    <xf numFmtId="0" fontId="15" fillId="0" borderId="58" xfId="4495" applyFont="1" applyBorder="1" applyAlignment="1">
      <alignment vertical="center" wrapText="1"/>
    </xf>
    <xf numFmtId="0" fontId="15"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53" fillId="0" borderId="0" xfId="569" applyFont="1" applyAlignment="1">
      <alignment vertical="top" wrapText="1"/>
    </xf>
    <xf numFmtId="0" fontId="15" fillId="0" borderId="0" xfId="569" applyAlignment="1">
      <alignment horizontal="right" vertical="top" wrapText="1"/>
    </xf>
    <xf numFmtId="0" fontId="21" fillId="3" borderId="3" xfId="0" applyFont="1" applyFill="1" applyBorder="1" applyAlignment="1">
      <alignment horizontal="left" vertical="top"/>
    </xf>
    <xf numFmtId="0" fontId="21" fillId="3" borderId="4" xfId="0" applyFont="1" applyFill="1" applyBorder="1" applyAlignment="1">
      <alignment horizontal="left" vertical="top"/>
    </xf>
    <xf numFmtId="0" fontId="21" fillId="3" borderId="5" xfId="0" applyFont="1" applyFill="1" applyBorder="1" applyAlignment="1">
      <alignment horizontal="left" vertical="top"/>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168" fontId="97" fillId="0" borderId="84" xfId="4499" applyNumberFormat="1" applyFont="1" applyFill="1" applyBorder="1" applyAlignment="1" applyProtection="1">
      <alignment horizontal="left" vertical="center" indent="1"/>
    </xf>
    <xf numFmtId="168" fontId="97" fillId="0" borderId="83" xfId="4499" applyNumberFormat="1" applyFont="1" applyFill="1" applyBorder="1" applyAlignment="1" applyProtection="1">
      <alignment horizontal="left" vertical="center" indent="1"/>
    </xf>
    <xf numFmtId="0" fontId="97" fillId="0" borderId="11" xfId="4496" applyFont="1" applyBorder="1" applyAlignment="1">
      <alignment horizontal="left" indent="1"/>
    </xf>
    <xf numFmtId="0" fontId="97" fillId="0" borderId="15" xfId="4496" applyFont="1" applyBorder="1" applyAlignment="1">
      <alignment horizontal="left" indent="1"/>
    </xf>
    <xf numFmtId="0" fontId="136" fillId="0" borderId="71" xfId="4496" applyFont="1" applyBorder="1" applyAlignment="1">
      <alignment horizontal="left" indent="1"/>
    </xf>
    <xf numFmtId="168" fontId="97" fillId="0" borderId="11" xfId="4499" applyNumberFormat="1" applyFont="1" applyFill="1" applyBorder="1" applyAlignment="1" applyProtection="1">
      <alignment horizontal="left" vertical="center" indent="1"/>
    </xf>
    <xf numFmtId="168" fontId="97" fillId="0" borderId="13" xfId="4499" applyNumberFormat="1" applyFont="1" applyFill="1" applyBorder="1" applyAlignment="1" applyProtection="1">
      <alignment horizontal="left" vertical="center" indent="1"/>
    </xf>
    <xf numFmtId="49" fontId="135" fillId="3" borderId="0" xfId="1192" applyNumberFormat="1" applyFont="1" applyFill="1" applyAlignment="1">
      <alignment horizontal="center" vertical="center"/>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136" fillId="0" borderId="90" xfId="4496" applyFont="1" applyBorder="1" applyAlignment="1">
      <alignment horizontal="center" vertical="top" wrapText="1"/>
    </xf>
    <xf numFmtId="0" fontId="136" fillId="0" borderId="89" xfId="4496" applyFont="1" applyBorder="1" applyAlignment="1">
      <alignment horizontal="center" vertical="top" wrapText="1"/>
    </xf>
    <xf numFmtId="0" fontId="97" fillId="0" borderId="71" xfId="4496" applyFont="1" applyBorder="1"/>
    <xf numFmtId="0" fontId="97" fillId="0" borderId="74" xfId="4496" applyFont="1" applyBorder="1"/>
    <xf numFmtId="0" fontId="97" fillId="0" borderId="11" xfId="4496" applyFont="1" applyBorder="1"/>
    <xf numFmtId="0" fontId="97" fillId="0" borderId="91" xfId="4496" applyFont="1" applyBorder="1"/>
    <xf numFmtId="0" fontId="97" fillId="0" borderId="0" xfId="4496" applyFont="1" applyAlignment="1">
      <alignment horizontal="left"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97" fillId="0" borderId="80" xfId="4496" applyFont="1" applyBorder="1" applyAlignment="1">
      <alignment horizontal="right"/>
    </xf>
    <xf numFmtId="0" fontId="97" fillId="0" borderId="11" xfId="4496" applyFont="1" applyBorder="1" applyAlignment="1">
      <alignment horizontal="right"/>
    </xf>
    <xf numFmtId="0" fontId="97" fillId="0" borderId="72" xfId="4496" applyFont="1" applyBorder="1" applyAlignment="1">
      <alignment horizontal="right"/>
    </xf>
    <xf numFmtId="0" fontId="97" fillId="0" borderId="73" xfId="4496" applyFont="1" applyBorder="1" applyAlignment="1">
      <alignment horizontal="right"/>
    </xf>
    <xf numFmtId="0" fontId="97" fillId="0" borderId="73" xfId="4496" applyFont="1" applyBorder="1"/>
    <xf numFmtId="0" fontId="97" fillId="0" borderId="93" xfId="4496" applyFont="1" applyBorder="1"/>
    <xf numFmtId="0" fontId="97" fillId="0" borderId="70" xfId="4496" applyFont="1" applyBorder="1" applyAlignment="1">
      <alignment horizontal="right"/>
    </xf>
    <xf numFmtId="0" fontId="97" fillId="0" borderId="71" xfId="4496" applyFont="1" applyBorder="1" applyAlignment="1">
      <alignment horizontal="right"/>
    </xf>
    <xf numFmtId="0" fontId="148" fillId="45" borderId="72" xfId="8726" applyFont="1" applyFill="1" applyBorder="1" applyAlignment="1">
      <alignment horizontal="center"/>
    </xf>
    <xf numFmtId="0" fontId="148" fillId="45" borderId="73" xfId="8726" applyFont="1" applyFill="1" applyBorder="1" applyAlignment="1">
      <alignment horizontal="center"/>
    </xf>
    <xf numFmtId="0" fontId="3" fillId="49" borderId="73" xfId="8726" applyFill="1" applyBorder="1" applyAlignment="1" applyProtection="1">
      <alignment horizontal="center"/>
      <protection locked="0"/>
    </xf>
    <xf numFmtId="0" fontId="3" fillId="49" borderId="93" xfId="8726" applyFill="1" applyBorder="1" applyAlignment="1" applyProtection="1">
      <alignment horizontal="center"/>
      <protection locked="0"/>
    </xf>
    <xf numFmtId="0" fontId="3" fillId="49" borderId="11" xfId="8726" applyFill="1" applyBorder="1" applyAlignment="1" applyProtection="1">
      <alignment horizontal="center"/>
      <protection locked="0"/>
    </xf>
    <xf numFmtId="0" fontId="3" fillId="49" borderId="91" xfId="8726" applyFill="1" applyBorder="1" applyAlignment="1" applyProtection="1">
      <alignment horizontal="center"/>
      <protection locked="0"/>
    </xf>
    <xf numFmtId="0" fontId="148" fillId="45" borderId="80" xfId="8726" applyFont="1" applyFill="1" applyBorder="1" applyAlignment="1">
      <alignment horizontal="center"/>
    </xf>
    <xf numFmtId="0" fontId="148" fillId="45" borderId="11" xfId="8726" applyFont="1" applyFill="1" applyBorder="1" applyAlignment="1">
      <alignment horizontal="center"/>
    </xf>
    <xf numFmtId="0" fontId="148" fillId="45" borderId="11" xfId="8726" applyFont="1" applyFill="1" applyBorder="1" applyAlignment="1">
      <alignment horizontal="center" wrapText="1"/>
    </xf>
    <xf numFmtId="0" fontId="149" fillId="45" borderId="11" xfId="8726" applyFont="1" applyFill="1" applyBorder="1" applyAlignment="1">
      <alignment horizontal="center"/>
    </xf>
    <xf numFmtId="0" fontId="149" fillId="45" borderId="91" xfId="8726" applyFont="1" applyFill="1" applyBorder="1" applyAlignment="1">
      <alignment horizontal="center"/>
    </xf>
    <xf numFmtId="0" fontId="101" fillId="45" borderId="70" xfId="8726" applyFont="1" applyFill="1" applyBorder="1" applyAlignment="1">
      <alignment horizontal="center"/>
    </xf>
    <xf numFmtId="0" fontId="101" fillId="45" borderId="71" xfId="8726" applyFont="1" applyFill="1" applyBorder="1" applyAlignment="1">
      <alignment horizontal="center"/>
    </xf>
    <xf numFmtId="0" fontId="101" fillId="45" borderId="74" xfId="8726" applyFont="1" applyFill="1" applyBorder="1" applyAlignment="1">
      <alignment horizontal="center"/>
    </xf>
    <xf numFmtId="0" fontId="101" fillId="45" borderId="70" xfId="8726" applyFont="1" applyFill="1" applyBorder="1" applyAlignment="1">
      <alignment horizontal="left" wrapText="1"/>
    </xf>
    <xf numFmtId="0" fontId="101" fillId="45" borderId="71" xfId="8726" applyFont="1" applyFill="1" applyBorder="1" applyAlignment="1">
      <alignment horizontal="left" wrapText="1"/>
    </xf>
    <xf numFmtId="0" fontId="101" fillId="45" borderId="80" xfId="8726" applyFont="1" applyFill="1" applyBorder="1" applyAlignment="1">
      <alignment horizontal="left" wrapText="1"/>
    </xf>
    <xf numFmtId="0" fontId="101" fillId="45" borderId="11" xfId="8726" applyFont="1" applyFill="1" applyBorder="1" applyAlignment="1">
      <alignment horizontal="left" wrapText="1"/>
    </xf>
    <xf numFmtId="0" fontId="162" fillId="49" borderId="80" xfId="8726" applyFont="1" applyFill="1" applyBorder="1" applyAlignment="1">
      <alignment horizontal="left" vertical="top"/>
    </xf>
    <xf numFmtId="0" fontId="162" fillId="49" borderId="11" xfId="8726" applyFont="1" applyFill="1" applyBorder="1" applyAlignment="1">
      <alignment horizontal="left" vertical="top"/>
    </xf>
    <xf numFmtId="0" fontId="162" fillId="49" borderId="91" xfId="8726" applyFont="1" applyFill="1" applyBorder="1" applyAlignment="1">
      <alignment horizontal="left" vertical="top"/>
    </xf>
    <xf numFmtId="0" fontId="162" fillId="49" borderId="72" xfId="8726" applyFont="1" applyFill="1" applyBorder="1" applyAlignment="1">
      <alignment horizontal="left" vertical="top"/>
    </xf>
    <xf numFmtId="0" fontId="162" fillId="49" borderId="73" xfId="8726" applyFont="1" applyFill="1" applyBorder="1" applyAlignment="1">
      <alignment horizontal="left" vertical="top"/>
    </xf>
    <xf numFmtId="0" fontId="162" fillId="49" borderId="93" xfId="8726" applyFont="1" applyFill="1" applyBorder="1" applyAlignment="1">
      <alignment horizontal="left" vertical="top"/>
    </xf>
    <xf numFmtId="10" fontId="3" fillId="49" borderId="84" xfId="8726" applyNumberFormat="1" applyFill="1" applyBorder="1" applyAlignment="1" applyProtection="1">
      <alignment horizontal="center"/>
      <protection locked="0"/>
    </xf>
    <xf numFmtId="10" fontId="3" fillId="49" borderId="82" xfId="8726" applyNumberFormat="1" applyFill="1" applyBorder="1" applyAlignment="1" applyProtection="1">
      <alignment horizontal="center"/>
      <protection locked="0"/>
    </xf>
    <xf numFmtId="10" fontId="3" fillId="49" borderId="85" xfId="8726" applyNumberFormat="1" applyFill="1" applyBorder="1" applyAlignment="1" applyProtection="1">
      <alignment horizontal="center"/>
      <protection locked="0"/>
    </xf>
    <xf numFmtId="0" fontId="3" fillId="49" borderId="3" xfId="8726" applyFill="1" applyBorder="1" applyAlignment="1" applyProtection="1">
      <alignment horizontal="center"/>
      <protection locked="0"/>
    </xf>
    <xf numFmtId="0" fontId="3" fillId="49" borderId="4" xfId="8726" applyFill="1" applyBorder="1" applyAlignment="1" applyProtection="1">
      <alignment horizontal="center"/>
      <protection locked="0"/>
    </xf>
    <xf numFmtId="0" fontId="3" fillId="49" borderId="79" xfId="8726" applyFill="1" applyBorder="1" applyAlignment="1" applyProtection="1">
      <alignment horizontal="center"/>
      <protection locked="0"/>
    </xf>
    <xf numFmtId="0" fontId="147" fillId="49" borderId="3" xfId="8726" applyFont="1" applyFill="1" applyBorder="1" applyAlignment="1" applyProtection="1">
      <alignment horizontal="center"/>
      <protection locked="0"/>
    </xf>
    <xf numFmtId="0" fontId="147" fillId="49" borderId="4" xfId="8726" applyFont="1" applyFill="1" applyBorder="1" applyAlignment="1" applyProtection="1">
      <alignment horizontal="center"/>
      <protection locked="0"/>
    </xf>
    <xf numFmtId="0" fontId="147" fillId="49" borderId="79" xfId="8726" applyFont="1" applyFill="1" applyBorder="1" applyAlignment="1" applyProtection="1">
      <alignment horizontal="center"/>
      <protection locked="0"/>
    </xf>
    <xf numFmtId="10" fontId="3" fillId="0" borderId="84" xfId="8726" applyNumberFormat="1" applyBorder="1" applyAlignment="1">
      <alignment horizontal="center"/>
    </xf>
    <xf numFmtId="10" fontId="3" fillId="0" borderId="82" xfId="8726" applyNumberFormat="1" applyBorder="1" applyAlignment="1">
      <alignment horizontal="center"/>
    </xf>
    <xf numFmtId="10" fontId="3" fillId="0" borderId="85" xfId="8726" applyNumberFormat="1" applyBorder="1" applyAlignment="1">
      <alignment horizontal="center"/>
    </xf>
    <xf numFmtId="0" fontId="147" fillId="49" borderId="71" xfId="8726" applyFont="1" applyFill="1" applyBorder="1" applyAlignment="1" applyProtection="1">
      <alignment horizontal="left" wrapText="1"/>
      <protection locked="0"/>
    </xf>
    <xf numFmtId="0" fontId="147" fillId="49" borderId="74" xfId="8726" applyFont="1" applyFill="1" applyBorder="1" applyAlignment="1" applyProtection="1">
      <alignment horizontal="left" wrapText="1"/>
      <protection locked="0"/>
    </xf>
    <xf numFmtId="0" fontId="147" fillId="49" borderId="11" xfId="8726" applyFont="1" applyFill="1" applyBorder="1" applyAlignment="1" applyProtection="1">
      <alignment horizontal="left" wrapText="1"/>
      <protection locked="0"/>
    </xf>
    <xf numFmtId="0" fontId="147" fillId="49" borderId="91" xfId="8726" applyFont="1" applyFill="1" applyBorder="1" applyAlignment="1" applyProtection="1">
      <alignment horizontal="left" wrapText="1"/>
      <protection locked="0"/>
    </xf>
    <xf numFmtId="168" fontId="164" fillId="49" borderId="11" xfId="700" applyNumberFormat="1" applyFont="1" applyFill="1" applyBorder="1" applyAlignment="1" applyProtection="1">
      <alignment horizontal="left"/>
      <protection locked="0"/>
    </xf>
    <xf numFmtId="168" fontId="164" fillId="49" borderId="91" xfId="700" applyNumberFormat="1" applyFont="1" applyFill="1" applyBorder="1" applyAlignment="1" applyProtection="1">
      <alignment horizontal="left"/>
      <protection locked="0"/>
    </xf>
    <xf numFmtId="0" fontId="145" fillId="45" borderId="95" xfId="8726" applyFont="1" applyFill="1" applyBorder="1" applyAlignment="1">
      <alignment horizontal="center"/>
    </xf>
    <xf numFmtId="0" fontId="145" fillId="45" borderId="13" xfId="8726" applyFont="1" applyFill="1" applyBorder="1" applyAlignment="1">
      <alignment horizontal="center"/>
    </xf>
    <xf numFmtId="0" fontId="145" fillId="45" borderId="71" xfId="8726" applyFont="1" applyFill="1" applyBorder="1" applyAlignment="1">
      <alignment horizontal="center"/>
    </xf>
    <xf numFmtId="0" fontId="145" fillId="45" borderId="74"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168" fontId="145" fillId="45" borderId="43" xfId="8726" applyNumberFormat="1" applyFont="1" applyFill="1" applyBorder="1" applyAlignment="1">
      <alignment horizontal="left"/>
    </xf>
    <xf numFmtId="168" fontId="145" fillId="45" borderId="96" xfId="8726" applyNumberFormat="1" applyFont="1" applyFill="1" applyBorder="1" applyAlignment="1">
      <alignment horizontal="left"/>
    </xf>
    <xf numFmtId="0" fontId="160" fillId="45" borderId="11" xfId="8726" applyFont="1" applyFill="1" applyBorder="1" applyAlignment="1">
      <alignment horizontal="right"/>
    </xf>
    <xf numFmtId="14" fontId="147" fillId="49" borderId="11" xfId="8726" applyNumberFormat="1" applyFont="1" applyFill="1" applyBorder="1" applyAlignment="1" applyProtection="1">
      <alignment horizontal="center"/>
      <protection locked="0"/>
    </xf>
    <xf numFmtId="0" fontId="147" fillId="49" borderId="11" xfId="8726" applyFont="1" applyFill="1" applyBorder="1" applyAlignment="1" applyProtection="1">
      <alignment horizontal="center"/>
      <protection locked="0"/>
    </xf>
    <xf numFmtId="1" fontId="163" fillId="49" borderId="11" xfId="8726" applyNumberFormat="1" applyFont="1" applyFill="1" applyBorder="1" applyAlignment="1" applyProtection="1">
      <alignment horizontal="center"/>
      <protection locked="0"/>
    </xf>
    <xf numFmtId="1" fontId="163" fillId="49" borderId="3" xfId="8726" applyNumberFormat="1" applyFont="1" applyFill="1" applyBorder="1" applyAlignment="1" applyProtection="1">
      <alignment horizontal="center"/>
      <protection locked="0"/>
    </xf>
    <xf numFmtId="1" fontId="163" fillId="49" borderId="4" xfId="8726" applyNumberFormat="1" applyFont="1" applyFill="1" applyBorder="1" applyAlignment="1" applyProtection="1">
      <alignment horizontal="center"/>
      <protection locked="0"/>
    </xf>
    <xf numFmtId="1" fontId="163" fillId="49" borderId="5" xfId="8726" applyNumberFormat="1" applyFont="1" applyFill="1" applyBorder="1" applyAlignment="1" applyProtection="1">
      <alignment horizontal="center"/>
      <protection locked="0"/>
    </xf>
    <xf numFmtId="1" fontId="149" fillId="44" borderId="3" xfId="8726" applyNumberFormat="1" applyFont="1" applyFill="1" applyBorder="1" applyAlignment="1">
      <alignment horizontal="center"/>
    </xf>
    <xf numFmtId="1" fontId="149" fillId="44" borderId="4" xfId="8726" applyNumberFormat="1" applyFont="1" applyFill="1" applyBorder="1" applyAlignment="1">
      <alignment horizontal="center"/>
    </xf>
    <xf numFmtId="1" fontId="149" fillId="44" borderId="5" xfId="8726" applyNumberFormat="1" applyFont="1" applyFill="1" applyBorder="1" applyAlignment="1">
      <alignment horizontal="center"/>
    </xf>
    <xf numFmtId="0" fontId="3" fillId="49" borderId="1" xfId="8726" applyFill="1" applyBorder="1" applyAlignment="1" applyProtection="1">
      <alignment horizontal="center"/>
      <protection locked="0"/>
    </xf>
    <xf numFmtId="0" fontId="3" fillId="49" borderId="2" xfId="8726" applyFill="1" applyBorder="1" applyAlignment="1" applyProtection="1">
      <alignment horizontal="center"/>
      <protection locked="0"/>
    </xf>
    <xf numFmtId="0" fontId="147" fillId="49" borderId="89" xfId="8726" applyFont="1" applyFill="1" applyBorder="1" applyAlignment="1" applyProtection="1">
      <alignment horizontal="left"/>
      <protection locked="0"/>
    </xf>
    <xf numFmtId="0" fontId="147" fillId="49" borderId="71" xfId="8726" applyFont="1" applyFill="1" applyBorder="1" applyAlignment="1" applyProtection="1">
      <alignment horizontal="left"/>
      <protection locked="0"/>
    </xf>
    <xf numFmtId="0" fontId="147" fillId="49" borderId="74" xfId="8726" applyFont="1" applyFill="1" applyBorder="1" applyAlignment="1" applyProtection="1">
      <alignment horizontal="left"/>
      <protection locked="0"/>
    </xf>
    <xf numFmtId="0" fontId="145" fillId="45" borderId="80" xfId="8726" applyFont="1" applyFill="1" applyBorder="1" applyAlignment="1">
      <alignment horizontal="center"/>
    </xf>
    <xf numFmtId="0" fontId="145" fillId="45" borderId="11" xfId="8726" applyFont="1" applyFill="1" applyBorder="1" applyAlignment="1">
      <alignment horizontal="center"/>
    </xf>
    <xf numFmtId="0" fontId="145" fillId="45" borderId="3" xfId="8726" applyFont="1" applyFill="1" applyBorder="1" applyAlignment="1">
      <alignment horizontal="center"/>
    </xf>
    <xf numFmtId="0" fontId="145" fillId="45" borderId="4" xfId="8726" applyFont="1" applyFill="1" applyBorder="1" applyAlignment="1">
      <alignment horizontal="center"/>
    </xf>
    <xf numFmtId="0" fontId="145" fillId="45" borderId="79" xfId="8726" applyFont="1" applyFill="1" applyBorder="1" applyAlignment="1">
      <alignment horizontal="center"/>
    </xf>
    <xf numFmtId="0" fontId="101" fillId="45" borderId="72" xfId="8726" applyFont="1" applyFill="1" applyBorder="1" applyAlignment="1">
      <alignment horizontal="center"/>
    </xf>
    <xf numFmtId="0" fontId="101" fillId="45" borderId="73" xfId="8726" applyFont="1" applyFill="1" applyBorder="1" applyAlignment="1">
      <alignment horizontal="center"/>
    </xf>
    <xf numFmtId="14" fontId="147" fillId="49" borderId="83" xfId="8726" applyNumberFormat="1" applyFont="1" applyFill="1" applyBorder="1" applyAlignment="1" applyProtection="1">
      <alignment horizontal="center"/>
      <protection locked="0"/>
    </xf>
    <xf numFmtId="0" fontId="147" fillId="49" borderId="73" xfId="8726" applyFont="1" applyFill="1" applyBorder="1" applyAlignment="1" applyProtection="1">
      <alignment horizontal="center"/>
      <protection locked="0"/>
    </xf>
    <xf numFmtId="0" fontId="147" fillId="49" borderId="93" xfId="8726" applyFont="1" applyFill="1" applyBorder="1" applyAlignment="1" applyProtection="1">
      <alignment horizontal="center"/>
      <protection locked="0"/>
    </xf>
    <xf numFmtId="0" fontId="164" fillId="49" borderId="80" xfId="8726" applyFont="1" applyFill="1" applyBorder="1" applyAlignment="1" applyProtection="1">
      <alignment horizontal="right"/>
      <protection locked="0"/>
    </xf>
    <xf numFmtId="0" fontId="164" fillId="49" borderId="11" xfId="8726" applyFont="1" applyFill="1" applyBorder="1" applyAlignment="1" applyProtection="1">
      <alignment horizontal="right"/>
      <protection locked="0"/>
    </xf>
    <xf numFmtId="43" fontId="145" fillId="53" borderId="3" xfId="698" applyFont="1" applyFill="1" applyBorder="1" applyAlignment="1" applyProtection="1">
      <alignment horizontal="center"/>
      <protection hidden="1"/>
    </xf>
    <xf numFmtId="43" fontId="145" fillId="53" borderId="4" xfId="698" applyFont="1" applyFill="1" applyBorder="1" applyAlignment="1" applyProtection="1">
      <alignment horizontal="center"/>
      <protection hidden="1"/>
    </xf>
    <xf numFmtId="43" fontId="145" fillId="53" borderId="79" xfId="698" applyFont="1" applyFill="1" applyBorder="1" applyAlignment="1" applyProtection="1">
      <alignment horizontal="center"/>
      <protection hidden="1"/>
    </xf>
    <xf numFmtId="0" fontId="177" fillId="54" borderId="3" xfId="698" applyNumberFormat="1" applyFont="1" applyFill="1" applyBorder="1" applyAlignment="1" applyProtection="1">
      <alignment horizontal="center"/>
      <protection locked="0"/>
    </xf>
    <xf numFmtId="0" fontId="177" fillId="54" borderId="4" xfId="698" applyNumberFormat="1" applyFont="1" applyFill="1" applyBorder="1" applyAlignment="1" applyProtection="1">
      <alignment horizontal="center"/>
      <protection locked="0"/>
    </xf>
    <xf numFmtId="0" fontId="177" fillId="54" borderId="79" xfId="698" applyNumberFormat="1" applyFont="1" applyFill="1" applyBorder="1" applyAlignment="1" applyProtection="1">
      <alignment horizontal="center"/>
      <protection locked="0"/>
    </xf>
    <xf numFmtId="44" fontId="146" fillId="0" borderId="8" xfId="700" applyFont="1" applyBorder="1" applyAlignment="1" applyProtection="1">
      <alignment horizontal="center" wrapText="1"/>
      <protection hidden="1"/>
    </xf>
    <xf numFmtId="44" fontId="146" fillId="0" borderId="0" xfId="700" applyFont="1" applyBorder="1" applyAlignment="1" applyProtection="1">
      <alignment horizontal="center" wrapText="1"/>
      <protection hidden="1"/>
    </xf>
    <xf numFmtId="44" fontId="146" fillId="0" borderId="12" xfId="700" applyFont="1" applyBorder="1" applyAlignment="1" applyProtection="1">
      <alignment horizontal="center" wrapText="1"/>
      <protection hidden="1"/>
    </xf>
    <xf numFmtId="44" fontId="146" fillId="0" borderId="9" xfId="700" applyFont="1" applyBorder="1" applyAlignment="1" applyProtection="1">
      <alignment horizontal="center" wrapText="1"/>
      <protection hidden="1"/>
    </xf>
    <xf numFmtId="44" fontId="146" fillId="0" borderId="6" xfId="700" applyFont="1" applyBorder="1" applyAlignment="1" applyProtection="1">
      <alignment horizontal="center" wrapText="1"/>
      <protection hidden="1"/>
    </xf>
    <xf numFmtId="44" fontId="146" fillId="0" borderId="10" xfId="700" applyFont="1" applyBorder="1" applyAlignment="1" applyProtection="1">
      <alignment horizontal="center" wrapText="1"/>
      <protection hidden="1"/>
    </xf>
    <xf numFmtId="43" fontId="146" fillId="53" borderId="8" xfId="698" applyFont="1" applyFill="1" applyBorder="1" applyAlignment="1" applyProtection="1">
      <alignment horizontal="center" wrapText="1"/>
      <protection hidden="1"/>
    </xf>
    <xf numFmtId="43" fontId="146" fillId="53" borderId="0" xfId="698" applyFont="1" applyFill="1" applyBorder="1" applyAlignment="1" applyProtection="1">
      <alignment horizontal="center" wrapText="1"/>
      <protection hidden="1"/>
    </xf>
    <xf numFmtId="43" fontId="146" fillId="53" borderId="41" xfId="698" applyFont="1" applyFill="1" applyBorder="1" applyAlignment="1" applyProtection="1">
      <alignment horizontal="center" wrapText="1"/>
      <protection hidden="1"/>
    </xf>
    <xf numFmtId="43" fontId="146" fillId="53" borderId="9" xfId="698" applyFont="1" applyFill="1" applyBorder="1" applyAlignment="1" applyProtection="1">
      <alignment horizontal="center" wrapText="1"/>
      <protection hidden="1"/>
    </xf>
    <xf numFmtId="43" fontId="146" fillId="53" borderId="6" xfId="698" applyFont="1" applyFill="1" applyBorder="1" applyAlignment="1" applyProtection="1">
      <alignment horizontal="center" wrapText="1"/>
      <protection hidden="1"/>
    </xf>
    <xf numFmtId="43" fontId="146" fillId="53" borderId="103" xfId="698" applyFont="1" applyFill="1" applyBorder="1" applyAlignment="1" applyProtection="1">
      <alignment horizontal="center" wrapText="1"/>
      <protection hidden="1"/>
    </xf>
    <xf numFmtId="0" fontId="147" fillId="53" borderId="80" xfId="698" applyNumberFormat="1" applyFont="1" applyFill="1" applyBorder="1" applyAlignment="1" applyProtection="1">
      <alignment horizontal="center"/>
      <protection hidden="1"/>
    </xf>
    <xf numFmtId="0" fontId="147" fillId="53" borderId="11" xfId="698" applyNumberFormat="1" applyFont="1" applyFill="1" applyBorder="1" applyAlignment="1" applyProtection="1">
      <alignment horizontal="center"/>
      <protection hidden="1"/>
    </xf>
    <xf numFmtId="0" fontId="147" fillId="49" borderId="11" xfId="0" applyFont="1" applyFill="1" applyBorder="1" applyAlignment="1" applyProtection="1">
      <alignment horizontal="center"/>
      <protection locked="0"/>
    </xf>
    <xf numFmtId="14" fontId="177" fillId="49" borderId="11" xfId="700" applyNumberFormat="1" applyFont="1" applyFill="1" applyBorder="1" applyAlignment="1" applyProtection="1">
      <alignment horizontal="center"/>
      <protection locked="0"/>
    </xf>
    <xf numFmtId="44" fontId="177" fillId="49" borderId="11" xfId="700" applyFont="1" applyFill="1" applyBorder="1" applyAlignment="1" applyProtection="1">
      <alignment horizontal="center"/>
      <protection locked="0"/>
    </xf>
    <xf numFmtId="164" fontId="147" fillId="49" borderId="11" xfId="700" applyNumberFormat="1" applyFont="1" applyFill="1" applyBorder="1" applyAlignment="1" applyProtection="1">
      <alignment horizontal="center"/>
      <protection locked="0"/>
    </xf>
    <xf numFmtId="9" fontId="147" fillId="49" borderId="11" xfId="1022" applyFont="1" applyFill="1" applyBorder="1" applyAlignment="1" applyProtection="1">
      <alignment horizontal="center"/>
      <protection locked="0"/>
    </xf>
    <xf numFmtId="0" fontId="101" fillId="44" borderId="0" xfId="8726" applyFont="1" applyFill="1" applyAlignment="1">
      <alignment horizontal="left"/>
    </xf>
    <xf numFmtId="0" fontId="149" fillId="44" borderId="0" xfId="8726" applyFont="1" applyFill="1" applyAlignment="1">
      <alignment horizontal="left" vertical="top"/>
    </xf>
    <xf numFmtId="0" fontId="101" fillId="44" borderId="0" xfId="4503" applyFont="1" applyFill="1" applyBorder="1" applyAlignment="1">
      <alignment horizontal="left" vertical="top"/>
    </xf>
    <xf numFmtId="0" fontId="173" fillId="48" borderId="65" xfId="8726" applyFont="1" applyFill="1" applyBorder="1" applyAlignment="1">
      <alignment horizontal="center"/>
    </xf>
    <xf numFmtId="0" fontId="173" fillId="48" borderId="29" xfId="8726" applyFont="1" applyFill="1" applyBorder="1" applyAlignment="1">
      <alignment horizontal="center"/>
    </xf>
    <xf numFmtId="0" fontId="173" fillId="48" borderId="31" xfId="8726" applyFont="1" applyFill="1" applyBorder="1" applyAlignment="1">
      <alignment horizontal="center"/>
    </xf>
    <xf numFmtId="0" fontId="3" fillId="48" borderId="66" xfId="8726" applyFill="1" applyBorder="1" applyAlignment="1">
      <alignment horizontal="center"/>
    </xf>
    <xf numFmtId="0" fontId="3" fillId="48" borderId="0" xfId="8726" applyFill="1" applyAlignment="1">
      <alignment horizontal="center"/>
    </xf>
    <xf numFmtId="0" fontId="3" fillId="48" borderId="41" xfId="8726" applyFill="1" applyBorder="1" applyAlignment="1">
      <alignment horizontal="center"/>
    </xf>
    <xf numFmtId="0" fontId="145" fillId="48" borderId="66" xfId="8726" applyFont="1" applyFill="1" applyBorder="1" applyAlignment="1">
      <alignment horizontal="center"/>
    </xf>
    <xf numFmtId="0" fontId="145" fillId="48" borderId="0" xfId="8726" applyFont="1" applyFill="1" applyAlignment="1">
      <alignment horizontal="center"/>
    </xf>
    <xf numFmtId="0" fontId="145" fillId="48" borderId="41" xfId="8726" applyFont="1" applyFill="1" applyBorder="1" applyAlignment="1">
      <alignment horizontal="center"/>
    </xf>
    <xf numFmtId="0" fontId="101" fillId="48" borderId="66" xfId="8726" applyFont="1" applyFill="1" applyBorder="1" applyAlignment="1">
      <alignment horizontal="center"/>
    </xf>
    <xf numFmtId="0" fontId="101" fillId="48" borderId="0" xfId="8726" applyFont="1" applyFill="1" applyAlignment="1">
      <alignment horizontal="center"/>
    </xf>
    <xf numFmtId="0" fontId="101" fillId="48" borderId="41" xfId="8726" applyFont="1" applyFill="1" applyBorder="1" applyAlignment="1">
      <alignment horizontal="center"/>
    </xf>
    <xf numFmtId="14" fontId="3" fillId="49" borderId="67" xfId="8726" applyNumberFormat="1" applyFill="1" applyBorder="1" applyAlignment="1" applyProtection="1">
      <alignment horizontal="center"/>
      <protection locked="0"/>
    </xf>
    <xf numFmtId="14" fontId="3" fillId="49" borderId="68" xfId="8726" applyNumberFormat="1" applyFill="1" applyBorder="1" applyAlignment="1" applyProtection="1">
      <alignment horizontal="center"/>
      <protection locked="0"/>
    </xf>
    <xf numFmtId="14" fontId="3" fillId="49" borderId="69" xfId="8726" applyNumberFormat="1" applyFill="1" applyBorder="1" applyAlignment="1" applyProtection="1">
      <alignment horizontal="center"/>
      <protection locked="0"/>
    </xf>
    <xf numFmtId="0" fontId="3" fillId="49" borderId="67" xfId="8726" applyFill="1" applyBorder="1" applyAlignment="1" applyProtection="1">
      <alignment horizontal="left"/>
      <protection locked="0"/>
    </xf>
    <xf numFmtId="0" fontId="3" fillId="49" borderId="68" xfId="8726" applyFill="1" applyBorder="1" applyAlignment="1" applyProtection="1">
      <alignment horizontal="left"/>
      <protection locked="0"/>
    </xf>
    <xf numFmtId="0" fontId="3" fillId="49" borderId="69" xfId="8726" applyFill="1" applyBorder="1" applyAlignment="1" applyProtection="1">
      <alignment horizontal="left"/>
      <protection locked="0"/>
    </xf>
    <xf numFmtId="0" fontId="3" fillId="49" borderId="67" xfId="8726" applyFill="1" applyBorder="1" applyAlignment="1" applyProtection="1">
      <alignment horizontal="center"/>
      <protection locked="0"/>
    </xf>
    <xf numFmtId="0" fontId="3" fillId="49" borderId="68" xfId="8726" applyFill="1" applyBorder="1" applyAlignment="1" applyProtection="1">
      <alignment horizontal="center"/>
      <protection locked="0"/>
    </xf>
    <xf numFmtId="0" fontId="3" fillId="49" borderId="69" xfId="8726" applyFill="1" applyBorder="1" applyAlignment="1" applyProtection="1">
      <alignment horizontal="center"/>
      <protection locked="0"/>
    </xf>
    <xf numFmtId="0" fontId="101" fillId="48" borderId="42" xfId="8726" applyFont="1" applyFill="1" applyBorder="1" applyAlignment="1">
      <alignment horizontal="center"/>
    </xf>
    <xf numFmtId="0" fontId="145" fillId="48" borderId="0" xfId="8726" applyFont="1" applyFill="1" applyAlignment="1">
      <alignment horizontal="left" vertical="top" wrapText="1"/>
    </xf>
    <xf numFmtId="0" fontId="101" fillId="48" borderId="0" xfId="8726" applyFont="1" applyFill="1" applyAlignment="1">
      <alignment horizontal="left"/>
    </xf>
    <xf numFmtId="43" fontId="145" fillId="45" borderId="67" xfId="698" applyFont="1" applyFill="1" applyBorder="1" applyAlignment="1" applyProtection="1">
      <alignment horizontal="center"/>
      <protection hidden="1"/>
    </xf>
    <xf numFmtId="43" fontId="145" fillId="45" borderId="68" xfId="698" applyFont="1" applyFill="1" applyBorder="1" applyAlignment="1" applyProtection="1">
      <alignment horizontal="center"/>
      <protection hidden="1"/>
    </xf>
    <xf numFmtId="43" fontId="145" fillId="45" borderId="69" xfId="698" applyFont="1" applyFill="1" applyBorder="1" applyAlignment="1" applyProtection="1">
      <alignment horizontal="center"/>
      <protection hidden="1"/>
    </xf>
    <xf numFmtId="43" fontId="146" fillId="53" borderId="66" xfId="698" applyFont="1" applyFill="1" applyBorder="1" applyAlignment="1" applyProtection="1">
      <alignment horizontal="center" wrapText="1"/>
      <protection hidden="1"/>
    </xf>
    <xf numFmtId="43" fontId="146" fillId="53" borderId="12" xfId="698" applyFont="1" applyFill="1" applyBorder="1" applyAlignment="1" applyProtection="1">
      <alignment horizontal="center" wrapText="1"/>
      <protection hidden="1"/>
    </xf>
    <xf numFmtId="43" fontId="146" fillId="53" borderId="102" xfId="698" applyFont="1" applyFill="1" applyBorder="1" applyAlignment="1" applyProtection="1">
      <alignment horizontal="center" wrapText="1"/>
      <protection hidden="1"/>
    </xf>
    <xf numFmtId="43" fontId="146" fillId="53" borderId="10" xfId="698" applyFont="1" applyFill="1" applyBorder="1" applyAlignment="1" applyProtection="1">
      <alignment horizontal="center" wrapText="1"/>
      <protection hidden="1"/>
    </xf>
    <xf numFmtId="14" fontId="146" fillId="0" borderId="8" xfId="700" applyNumberFormat="1" applyFont="1" applyFill="1" applyBorder="1" applyAlignment="1" applyProtection="1">
      <alignment horizontal="center" wrapText="1"/>
      <protection hidden="1"/>
    </xf>
    <xf numFmtId="14" fontId="146" fillId="0" borderId="0" xfId="700" applyNumberFormat="1" applyFont="1" applyFill="1" applyBorder="1" applyAlignment="1" applyProtection="1">
      <alignment horizontal="center" wrapText="1"/>
      <protection hidden="1"/>
    </xf>
    <xf numFmtId="14" fontId="146" fillId="0" borderId="12" xfId="700" applyNumberFormat="1" applyFont="1" applyFill="1" applyBorder="1" applyAlignment="1" applyProtection="1">
      <alignment horizontal="center" wrapText="1"/>
      <protection hidden="1"/>
    </xf>
    <xf numFmtId="14" fontId="146" fillId="0" borderId="9" xfId="700" applyNumberFormat="1" applyFont="1" applyFill="1" applyBorder="1" applyAlignment="1" applyProtection="1">
      <alignment horizontal="center" wrapText="1"/>
      <protection hidden="1"/>
    </xf>
    <xf numFmtId="14" fontId="146" fillId="0" borderId="6" xfId="700" applyNumberFormat="1" applyFont="1" applyFill="1" applyBorder="1" applyAlignment="1" applyProtection="1">
      <alignment horizontal="center" wrapText="1"/>
      <protection hidden="1"/>
    </xf>
    <xf numFmtId="14" fontId="146" fillId="0" borderId="10" xfId="700" applyNumberFormat="1" applyFont="1" applyFill="1" applyBorder="1" applyAlignment="1" applyProtection="1">
      <alignment horizontal="center" wrapText="1"/>
      <protection hidden="1"/>
    </xf>
    <xf numFmtId="0" fontId="101" fillId="0" borderId="67" xfId="8726" applyFont="1" applyBorder="1" applyAlignment="1">
      <alignment horizontal="left"/>
    </xf>
    <xf numFmtId="0" fontId="101" fillId="0" borderId="68" xfId="8726" applyFont="1" applyBorder="1" applyAlignment="1">
      <alignment horizontal="left"/>
    </xf>
    <xf numFmtId="0" fontId="148" fillId="45" borderId="72" xfId="8726" applyFont="1" applyFill="1" applyBorder="1" applyAlignment="1">
      <alignment horizontal="right"/>
    </xf>
    <xf numFmtId="0" fontId="148" fillId="45" borderId="73" xfId="8726" applyFont="1" applyFill="1" applyBorder="1" applyAlignment="1">
      <alignment horizontal="right"/>
    </xf>
    <xf numFmtId="0" fontId="149" fillId="44" borderId="73" xfId="700" applyNumberFormat="1" applyFont="1" applyFill="1" applyBorder="1" applyAlignment="1">
      <alignment horizontal="left"/>
    </xf>
    <xf numFmtId="168" fontId="149" fillId="44" borderId="73" xfId="700" applyNumberFormat="1" applyFont="1" applyFill="1" applyBorder="1" applyAlignment="1">
      <alignment horizontal="left"/>
    </xf>
    <xf numFmtId="168" fontId="149" fillId="44" borderId="93" xfId="700" applyNumberFormat="1" applyFont="1" applyFill="1" applyBorder="1" applyAlignment="1">
      <alignment horizontal="left"/>
    </xf>
    <xf numFmtId="0" fontId="145" fillId="48" borderId="0" xfId="8726" applyFont="1" applyFill="1" applyAlignment="1">
      <alignment horizontal="right"/>
    </xf>
    <xf numFmtId="182" fontId="3" fillId="49" borderId="11" xfId="700" applyNumberFormat="1" applyFont="1" applyFill="1" applyBorder="1" applyAlignment="1" applyProtection="1">
      <alignment horizontal="center"/>
      <protection locked="0"/>
    </xf>
    <xf numFmtId="10" fontId="162" fillId="49" borderId="11" xfId="1022" applyNumberFormat="1" applyFont="1" applyFill="1" applyBorder="1" applyAlignment="1" applyProtection="1">
      <alignment horizontal="center"/>
      <protection locked="0"/>
    </xf>
    <xf numFmtId="44" fontId="3" fillId="49" borderId="97" xfId="700" applyFont="1" applyFill="1" applyBorder="1" applyAlignment="1" applyProtection="1">
      <alignment horizontal="center"/>
      <protection locked="0"/>
    </xf>
    <xf numFmtId="168" fontId="146" fillId="48" borderId="0" xfId="700" applyNumberFormat="1" applyFont="1" applyFill="1" applyBorder="1" applyAlignment="1" applyProtection="1">
      <alignment horizontal="left"/>
      <protection locked="0"/>
    </xf>
    <xf numFmtId="0" fontId="149" fillId="45" borderId="67" xfId="0" applyFont="1" applyFill="1" applyBorder="1" applyAlignment="1" applyProtection="1">
      <alignment horizontal="center" wrapText="1"/>
      <protection hidden="1"/>
    </xf>
    <xf numFmtId="0" fontId="149" fillId="45" borderId="68" xfId="0" applyFont="1" applyFill="1" applyBorder="1" applyAlignment="1" applyProtection="1">
      <alignment horizontal="center" wrapText="1"/>
      <protection hidden="1"/>
    </xf>
    <xf numFmtId="0" fontId="149" fillId="45" borderId="69" xfId="0" applyFont="1" applyFill="1" applyBorder="1" applyAlignment="1" applyProtection="1">
      <alignment horizontal="center" wrapText="1"/>
      <protection hidden="1"/>
    </xf>
    <xf numFmtId="44" fontId="3" fillId="44" borderId="11" xfId="700" applyFont="1" applyFill="1" applyBorder="1" applyAlignment="1" applyProtection="1">
      <alignment horizontal="center"/>
      <protection hidden="1"/>
    </xf>
    <xf numFmtId="0" fontId="3" fillId="48" borderId="3" xfId="8726" applyFill="1" applyBorder="1" applyAlignment="1">
      <alignment horizontal="center"/>
    </xf>
    <xf numFmtId="0" fontId="3" fillId="48" borderId="4" xfId="8726" applyFill="1" applyBorder="1" applyAlignment="1">
      <alignment horizontal="center"/>
    </xf>
    <xf numFmtId="0" fontId="3" fillId="48" borderId="5" xfId="8726" applyFill="1" applyBorder="1" applyAlignment="1">
      <alignment horizontal="center"/>
    </xf>
    <xf numFmtId="0" fontId="3" fillId="48" borderId="1" xfId="8726" applyFill="1" applyBorder="1" applyAlignment="1">
      <alignment horizontal="center"/>
    </xf>
    <xf numFmtId="0" fontId="3" fillId="48" borderId="2" xfId="8726" applyFill="1" applyBorder="1" applyAlignment="1">
      <alignment horizontal="center"/>
    </xf>
    <xf numFmtId="0" fontId="3" fillId="48" borderId="7" xfId="8726" applyFill="1" applyBorder="1" applyAlignment="1">
      <alignment horizontal="center"/>
    </xf>
    <xf numFmtId="0" fontId="164" fillId="45" borderId="70" xfId="8726" applyFont="1" applyFill="1" applyBorder="1" applyAlignment="1">
      <alignment horizontal="right"/>
    </xf>
    <xf numFmtId="0" fontId="164" fillId="45" borderId="71" xfId="8726" applyFont="1" applyFill="1" applyBorder="1" applyAlignment="1">
      <alignment horizontal="right"/>
    </xf>
    <xf numFmtId="168" fontId="147" fillId="44" borderId="71" xfId="700" applyNumberFormat="1" applyFont="1" applyFill="1" applyBorder="1" applyAlignment="1">
      <alignment horizontal="left"/>
    </xf>
    <xf numFmtId="168" fontId="147" fillId="44" borderId="74" xfId="700" applyNumberFormat="1" applyFont="1" applyFill="1" applyBorder="1" applyAlignment="1">
      <alignment horizontal="left"/>
    </xf>
    <xf numFmtId="0" fontId="162" fillId="49" borderId="81" xfId="8726" applyFont="1" applyFill="1" applyBorder="1" applyAlignment="1" applyProtection="1">
      <alignment horizontal="center"/>
      <protection locked="0"/>
    </xf>
    <xf numFmtId="0" fontId="162" fillId="49" borderId="82" xfId="8726" applyFont="1" applyFill="1" applyBorder="1" applyAlignment="1" applyProtection="1">
      <alignment horizontal="center"/>
      <protection locked="0"/>
    </xf>
    <xf numFmtId="0" fontId="164" fillId="49" borderId="73" xfId="8726" applyFont="1" applyFill="1" applyBorder="1" applyAlignment="1" applyProtection="1">
      <alignment horizontal="left"/>
      <protection locked="0"/>
    </xf>
    <xf numFmtId="0" fontId="164" fillId="49" borderId="93" xfId="8726" applyFont="1" applyFill="1" applyBorder="1" applyAlignment="1" applyProtection="1">
      <alignment horizontal="left"/>
      <protection locked="0"/>
    </xf>
    <xf numFmtId="168" fontId="162" fillId="49" borderId="82" xfId="700" applyNumberFormat="1" applyFont="1" applyFill="1" applyBorder="1" applyAlignment="1" applyProtection="1">
      <alignment horizontal="left"/>
      <protection locked="0"/>
    </xf>
    <xf numFmtId="168" fontId="162" fillId="49" borderId="85" xfId="700" applyNumberFormat="1" applyFont="1" applyFill="1" applyBorder="1" applyAlignment="1" applyProtection="1">
      <alignment horizontal="left"/>
      <protection locked="0"/>
    </xf>
    <xf numFmtId="0" fontId="162" fillId="49" borderId="81" xfId="8726" applyFont="1" applyFill="1" applyBorder="1" applyAlignment="1" applyProtection="1">
      <alignment horizontal="left"/>
      <protection locked="0"/>
    </xf>
    <xf numFmtId="0" fontId="162" fillId="49" borderId="82" xfId="8726" applyFont="1" applyFill="1" applyBorder="1" applyAlignment="1" applyProtection="1">
      <alignment horizontal="left"/>
      <protection locked="0"/>
    </xf>
    <xf numFmtId="0" fontId="162" fillId="49" borderId="85" xfId="8726" applyFont="1" applyFill="1" applyBorder="1" applyAlignment="1" applyProtection="1">
      <alignment horizontal="left"/>
      <protection locked="0"/>
    </xf>
    <xf numFmtId="0" fontId="172" fillId="48" borderId="0" xfId="8726" applyFont="1" applyFill="1" applyAlignment="1">
      <alignment horizontal="left" wrapText="1"/>
    </xf>
    <xf numFmtId="0" fontId="172" fillId="48" borderId="41" xfId="8726" applyFont="1" applyFill="1" applyBorder="1" applyAlignment="1">
      <alignment horizontal="left" wrapText="1"/>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0" fontId="164" fillId="49" borderId="11" xfId="8726" applyFont="1" applyFill="1" applyBorder="1" applyAlignment="1" applyProtection="1">
      <alignment horizontal="left"/>
      <protection locked="0"/>
    </xf>
    <xf numFmtId="168" fontId="162" fillId="49" borderId="11" xfId="700" applyNumberFormat="1" applyFont="1" applyFill="1" applyBorder="1" applyAlignment="1" applyProtection="1">
      <alignment horizontal="left"/>
      <protection locked="0"/>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4" fillId="49" borderId="80" xfId="8726" applyFont="1" applyFill="1" applyBorder="1" applyAlignment="1" applyProtection="1">
      <alignment horizontal="center"/>
      <protection locked="0"/>
    </xf>
    <xf numFmtId="0" fontId="164" fillId="49" borderId="11" xfId="8726" applyFont="1" applyFill="1" applyBorder="1" applyAlignment="1" applyProtection="1">
      <alignment horizontal="center"/>
      <protection locked="0"/>
    </xf>
    <xf numFmtId="44" fontId="3" fillId="49" borderId="11" xfId="700" applyFont="1" applyFill="1" applyBorder="1" applyAlignment="1" applyProtection="1">
      <alignment horizontal="center"/>
      <protection locked="0"/>
    </xf>
    <xf numFmtId="0" fontId="162" fillId="45" borderId="80" xfId="8726" applyFont="1" applyFill="1" applyBorder="1" applyAlignment="1">
      <alignment horizontal="right"/>
    </xf>
    <xf numFmtId="0" fontId="162" fillId="45" borderId="11" xfId="8726" applyFont="1" applyFill="1" applyBorder="1" applyAlignment="1">
      <alignment horizontal="right"/>
    </xf>
    <xf numFmtId="168" fontId="162" fillId="44" borderId="11" xfId="700" applyNumberFormat="1" applyFont="1" applyFill="1" applyBorder="1" applyAlignment="1">
      <alignment horizontal="left"/>
    </xf>
    <xf numFmtId="43" fontId="145" fillId="55" borderId="104" xfId="698" applyFont="1" applyFill="1" applyBorder="1" applyAlignment="1" applyProtection="1">
      <alignment horizontal="center"/>
      <protection hidden="1"/>
    </xf>
    <xf numFmtId="43" fontId="145" fillId="55" borderId="97" xfId="698" applyFont="1" applyFill="1" applyBorder="1" applyAlignment="1" applyProtection="1">
      <alignment horizontal="center"/>
      <protection hidden="1"/>
    </xf>
    <xf numFmtId="43" fontId="145" fillId="55" borderId="98" xfId="698" applyFont="1" applyFill="1" applyBorder="1" applyAlignment="1" applyProtection="1">
      <alignment horizontal="center"/>
      <protection hidden="1"/>
    </xf>
    <xf numFmtId="43" fontId="147" fillId="53" borderId="13" xfId="698" applyFont="1" applyFill="1" applyBorder="1" applyAlignment="1" applyProtection="1">
      <alignment horizontal="left"/>
      <protection hidden="1"/>
    </xf>
    <xf numFmtId="44" fontId="3" fillId="49" borderId="13" xfId="700" applyFont="1" applyFill="1" applyBorder="1" applyAlignment="1" applyProtection="1">
      <alignment horizontal="center"/>
      <protection locked="0"/>
    </xf>
    <xf numFmtId="0" fontId="162" fillId="48" borderId="9" xfId="8726" applyFont="1" applyFill="1" applyBorder="1" applyAlignment="1">
      <alignment horizontal="center"/>
    </xf>
    <xf numFmtId="0" fontId="162" fillId="48" borderId="6" xfId="8726" applyFont="1" applyFill="1" applyBorder="1" applyAlignment="1">
      <alignment horizontal="center"/>
    </xf>
    <xf numFmtId="0" fontId="162" fillId="48" borderId="10" xfId="8726" applyFont="1" applyFill="1" applyBorder="1" applyAlignment="1">
      <alignment horizontal="center"/>
    </xf>
    <xf numFmtId="43" fontId="147" fillId="53" borderId="11" xfId="698" applyFont="1" applyFill="1" applyBorder="1" applyAlignment="1" applyProtection="1">
      <alignment horizontal="left"/>
      <protection hidden="1"/>
    </xf>
    <xf numFmtId="14" fontId="162" fillId="49" borderId="11" xfId="8726" applyNumberFormat="1" applyFont="1" applyFill="1" applyBorder="1" applyAlignment="1" applyProtection="1">
      <alignment horizontal="center"/>
      <protection locked="0"/>
    </xf>
    <xf numFmtId="14" fontId="162" fillId="49" borderId="91" xfId="8726" applyNumberFormat="1" applyFont="1" applyFill="1" applyBorder="1" applyAlignment="1" applyProtection="1">
      <alignment horizontal="center"/>
      <protection locked="0"/>
    </xf>
    <xf numFmtId="168" fontId="164" fillId="44" borderId="11" xfId="700" applyNumberFormat="1" applyFont="1" applyFill="1" applyBorder="1" applyAlignment="1">
      <alignment horizontal="left"/>
    </xf>
    <xf numFmtId="0" fontId="148" fillId="47" borderId="11" xfId="8726" applyFont="1" applyFill="1" applyBorder="1" applyAlignment="1">
      <alignment horizontal="center"/>
    </xf>
    <xf numFmtId="0" fontId="148" fillId="47" borderId="91" xfId="8726" applyFont="1" applyFill="1" applyBorder="1" applyAlignment="1">
      <alignment horizontal="center"/>
    </xf>
    <xf numFmtId="0" fontId="164" fillId="45" borderId="80" xfId="8726" applyFont="1" applyFill="1" applyBorder="1" applyAlignment="1">
      <alignment horizontal="right"/>
    </xf>
    <xf numFmtId="0" fontId="164" fillId="45" borderId="11" xfId="8726" applyFont="1" applyFill="1" applyBorder="1" applyAlignment="1">
      <alignment horizontal="right"/>
    </xf>
    <xf numFmtId="0" fontId="172" fillId="45" borderId="72" xfId="8726" applyFont="1" applyFill="1" applyBorder="1" applyAlignment="1">
      <alignment horizontal="center"/>
    </xf>
    <xf numFmtId="0" fontId="172" fillId="45" borderId="73" xfId="8726" applyFont="1" applyFill="1" applyBorder="1" applyAlignment="1">
      <alignment horizontal="center"/>
    </xf>
    <xf numFmtId="0" fontId="158" fillId="49" borderId="73" xfId="8726" applyFont="1" applyFill="1" applyBorder="1" applyAlignment="1" applyProtection="1">
      <alignment horizontal="left"/>
      <protection locked="0"/>
    </xf>
    <xf numFmtId="0" fontId="164" fillId="49" borderId="73" xfId="8726" applyFont="1" applyFill="1" applyBorder="1" applyAlignment="1" applyProtection="1">
      <alignment horizontal="center"/>
      <protection locked="0"/>
    </xf>
    <xf numFmtId="14" fontId="164" fillId="49" borderId="73" xfId="8726" applyNumberFormat="1" applyFont="1" applyFill="1" applyBorder="1" applyAlignment="1" applyProtection="1">
      <alignment horizontal="center"/>
      <protection locked="0"/>
    </xf>
    <xf numFmtId="168" fontId="164" fillId="49" borderId="73" xfId="8727" applyNumberFormat="1" applyFont="1" applyFill="1" applyBorder="1" applyAlignment="1" applyProtection="1">
      <alignment horizontal="center"/>
      <protection locked="0"/>
    </xf>
    <xf numFmtId="168" fontId="164" fillId="49" borderId="93" xfId="8727" applyNumberFormat="1" applyFont="1" applyFill="1" applyBorder="1" applyAlignment="1" applyProtection="1">
      <alignment horizontal="center"/>
      <protection locked="0"/>
    </xf>
    <xf numFmtId="0" fontId="162" fillId="49" borderId="72" xfId="8726" applyFont="1" applyFill="1" applyBorder="1" applyAlignment="1" applyProtection="1">
      <alignment horizontal="center"/>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4" fontId="162" fillId="49" borderId="93" xfId="8726" applyNumberFormat="1" applyFont="1" applyFill="1" applyBorder="1" applyAlignment="1" applyProtection="1">
      <alignment horizontal="center"/>
      <protection locked="0"/>
    </xf>
    <xf numFmtId="0" fontId="101" fillId="45" borderId="65" xfId="8726" applyFont="1" applyFill="1" applyBorder="1" applyAlignment="1">
      <alignment horizontal="left" wrapText="1"/>
    </xf>
    <xf numFmtId="0" fontId="101" fillId="45" borderId="29" xfId="8726" applyFont="1" applyFill="1" applyBorder="1" applyAlignment="1">
      <alignment horizontal="left" wrapText="1"/>
    </xf>
    <xf numFmtId="0" fontId="101" fillId="45" borderId="31" xfId="8726" applyFont="1" applyFill="1" applyBorder="1" applyAlignment="1">
      <alignment horizontal="left" wrapText="1"/>
    </xf>
    <xf numFmtId="0" fontId="101" fillId="45" borderId="86" xfId="8726" applyFont="1" applyFill="1" applyBorder="1" applyAlignment="1">
      <alignment horizontal="left" wrapText="1"/>
    </xf>
    <xf numFmtId="0" fontId="101" fillId="45" borderId="42" xfId="8726" applyFont="1" applyFill="1" applyBorder="1" applyAlignment="1">
      <alignment horizontal="left" wrapText="1"/>
    </xf>
    <xf numFmtId="0" fontId="101" fillId="45" borderId="44" xfId="8726" applyFont="1" applyFill="1" applyBorder="1" applyAlignment="1">
      <alignment horizontal="left" wrapText="1"/>
    </xf>
    <xf numFmtId="0" fontId="145" fillId="45" borderId="70" xfId="8726" applyFont="1" applyFill="1" applyBorder="1" applyAlignment="1">
      <alignment horizontal="left"/>
    </xf>
    <xf numFmtId="0" fontId="145" fillId="45" borderId="71" xfId="8726" applyFont="1" applyFill="1" applyBorder="1" applyAlignment="1">
      <alignment horizontal="left"/>
    </xf>
    <xf numFmtId="0" fontId="145" fillId="45" borderId="74" xfId="8726" applyFont="1" applyFill="1" applyBorder="1" applyAlignment="1">
      <alignment horizontal="left"/>
    </xf>
    <xf numFmtId="0" fontId="101" fillId="45" borderId="80" xfId="8726" applyFont="1" applyFill="1" applyBorder="1" applyAlignment="1">
      <alignment horizontal="center"/>
    </xf>
    <xf numFmtId="0" fontId="101" fillId="45" borderId="11" xfId="8726" applyFont="1" applyFill="1" applyBorder="1" applyAlignment="1">
      <alignment horizontal="center"/>
    </xf>
    <xf numFmtId="0" fontId="101" fillId="45" borderId="91" xfId="8726" applyFont="1" applyFill="1" applyBorder="1" applyAlignment="1">
      <alignment horizontal="center"/>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72" fillId="45" borderId="80" xfId="8726" applyFont="1" applyFill="1" applyBorder="1" applyAlignment="1">
      <alignment horizontal="center"/>
    </xf>
    <xf numFmtId="0" fontId="172" fillId="45" borderId="11" xfId="8726" applyFont="1" applyFill="1" applyBorder="1" applyAlignment="1">
      <alignment horizontal="center"/>
    </xf>
    <xf numFmtId="0" fontId="158" fillId="49" borderId="11" xfId="8726" applyFont="1" applyFill="1" applyBorder="1" applyAlignment="1" applyProtection="1">
      <alignment horizontal="left"/>
      <protection locked="0"/>
    </xf>
    <xf numFmtId="14" fontId="164" fillId="49" borderId="11" xfId="8726" applyNumberFormat="1" applyFont="1" applyFill="1" applyBorder="1" applyAlignment="1" applyProtection="1">
      <alignment horizontal="center"/>
      <protection locked="0"/>
    </xf>
    <xf numFmtId="168" fontId="164" fillId="49" borderId="11" xfId="8727" applyNumberFormat="1" applyFont="1" applyFill="1" applyBorder="1" applyAlignment="1" applyProtection="1">
      <alignment horizontal="center"/>
      <protection locked="0"/>
    </xf>
    <xf numFmtId="168" fontId="164" fillId="49" borderId="91" xfId="8727" applyNumberFormat="1" applyFont="1" applyFill="1" applyBorder="1" applyAlignment="1" applyProtection="1">
      <alignment horizontal="center"/>
      <protection locked="0"/>
    </xf>
    <xf numFmtId="0" fontId="149" fillId="45" borderId="11" xfId="8726" applyFont="1" applyFill="1" applyBorder="1" applyAlignment="1">
      <alignment horizontal="center" wrapText="1"/>
    </xf>
    <xf numFmtId="0" fontId="149" fillId="45" borderId="91" xfId="8726" applyFont="1" applyFill="1" applyBorder="1" applyAlignment="1">
      <alignment horizontal="center" wrapText="1"/>
    </xf>
    <xf numFmtId="0" fontId="160" fillId="45" borderId="80" xfId="8726" applyFont="1" applyFill="1" applyBorder="1" applyAlignment="1">
      <alignment horizontal="left"/>
    </xf>
    <xf numFmtId="0" fontId="160" fillId="45" borderId="11" xfId="8726" applyFont="1" applyFill="1" applyBorder="1" applyAlignment="1">
      <alignment horizontal="left"/>
    </xf>
    <xf numFmtId="0" fontId="160" fillId="45" borderId="72" xfId="8726" applyFont="1" applyFill="1" applyBorder="1" applyAlignment="1">
      <alignment horizontal="left"/>
    </xf>
    <xf numFmtId="0" fontId="160" fillId="45" borderId="73" xfId="8726" applyFont="1" applyFill="1" applyBorder="1" applyAlignment="1">
      <alignment horizontal="left"/>
    </xf>
    <xf numFmtId="0" fontId="145" fillId="45" borderId="70" xfId="8726" applyFont="1" applyFill="1" applyBorder="1" applyAlignment="1">
      <alignment horizontal="center"/>
    </xf>
    <xf numFmtId="0" fontId="153" fillId="45" borderId="80" xfId="8726" applyFont="1" applyFill="1" applyBorder="1" applyAlignment="1">
      <alignment horizontal="left"/>
    </xf>
    <xf numFmtId="0" fontId="153" fillId="45" borderId="11" xfId="8726" applyFont="1" applyFill="1" applyBorder="1" applyAlignment="1">
      <alignment horizontal="left"/>
    </xf>
    <xf numFmtId="0" fontId="163" fillId="49" borderId="11" xfId="8726" applyFont="1" applyFill="1" applyBorder="1" applyAlignment="1" applyProtection="1">
      <alignment horizontal="left"/>
      <protection locked="0"/>
    </xf>
    <xf numFmtId="0" fontId="163" fillId="49" borderId="91" xfId="8726" applyFont="1" applyFill="1" applyBorder="1" applyAlignment="1" applyProtection="1">
      <alignment horizontal="left"/>
      <protection locked="0"/>
    </xf>
    <xf numFmtId="0" fontId="164" fillId="49" borderId="80" xfId="8726" applyFont="1" applyFill="1" applyBorder="1" applyAlignment="1" applyProtection="1">
      <alignment horizontal="left" vertical="top"/>
      <protection locked="0"/>
    </xf>
    <xf numFmtId="0" fontId="164" fillId="49" borderId="11" xfId="8726" applyFont="1" applyFill="1" applyBorder="1" applyAlignment="1" applyProtection="1">
      <alignment horizontal="left" vertical="top"/>
      <protection locked="0"/>
    </xf>
    <xf numFmtId="0" fontId="164" fillId="49" borderId="91" xfId="8726" applyFont="1" applyFill="1" applyBorder="1" applyAlignment="1" applyProtection="1">
      <alignment horizontal="left" vertical="top"/>
      <protection locked="0"/>
    </xf>
    <xf numFmtId="0" fontId="164" fillId="49" borderId="72" xfId="8726" applyFont="1" applyFill="1" applyBorder="1" applyAlignment="1" applyProtection="1">
      <alignment horizontal="left" vertical="top"/>
      <protection locked="0"/>
    </xf>
    <xf numFmtId="0" fontId="164" fillId="49" borderId="73" xfId="8726" applyFont="1" applyFill="1" applyBorder="1" applyAlignment="1" applyProtection="1">
      <alignment horizontal="left" vertical="top"/>
      <protection locked="0"/>
    </xf>
    <xf numFmtId="0" fontId="164" fillId="49" borderId="93" xfId="8726" applyFont="1" applyFill="1" applyBorder="1" applyAlignment="1" applyProtection="1">
      <alignment horizontal="left" vertical="top"/>
      <protection locked="0"/>
    </xf>
    <xf numFmtId="0" fontId="145" fillId="45" borderId="75" xfId="8726" applyFont="1" applyFill="1" applyBorder="1" applyAlignment="1">
      <alignment horizontal="center"/>
    </xf>
    <xf numFmtId="0" fontId="145" fillId="45" borderId="76" xfId="8726" applyFont="1" applyFill="1" applyBorder="1" applyAlignment="1">
      <alignment horizontal="center"/>
    </xf>
    <xf numFmtId="0" fontId="145" fillId="45" borderId="77" xfId="8726" applyFont="1" applyFill="1" applyBorder="1" applyAlignment="1">
      <alignment horizontal="center"/>
    </xf>
    <xf numFmtId="0" fontId="101" fillId="45" borderId="74" xfId="8726" applyFont="1" applyFill="1" applyBorder="1" applyAlignment="1">
      <alignment horizontal="left" wrapText="1"/>
    </xf>
    <xf numFmtId="0" fontId="101" fillId="45" borderId="91" xfId="8726" applyFont="1" applyFill="1" applyBorder="1" applyAlignment="1">
      <alignment horizontal="left" wrapText="1"/>
    </xf>
    <xf numFmtId="0" fontId="101" fillId="45" borderId="65" xfId="8726" applyFont="1" applyFill="1" applyBorder="1" applyAlignment="1">
      <alignment horizontal="center"/>
    </xf>
    <xf numFmtId="0" fontId="101" fillId="45" borderId="29" xfId="8726" applyFont="1" applyFill="1" applyBorder="1" applyAlignment="1">
      <alignment horizontal="center"/>
    </xf>
    <xf numFmtId="0" fontId="101" fillId="45" borderId="31" xfId="8726" applyFont="1" applyFill="1" applyBorder="1" applyAlignment="1">
      <alignment horizontal="center"/>
    </xf>
    <xf numFmtId="0" fontId="159" fillId="45" borderId="11" xfId="8726" applyFont="1" applyFill="1" applyBorder="1" applyAlignment="1">
      <alignment horizontal="left"/>
    </xf>
    <xf numFmtId="0" fontId="159" fillId="45" borderId="91" xfId="8726" applyFont="1" applyFill="1" applyBorder="1" applyAlignment="1">
      <alignment horizontal="left"/>
    </xf>
    <xf numFmtId="0" fontId="3" fillId="47" borderId="73" xfId="8726" applyFill="1" applyBorder="1" applyAlignment="1" applyProtection="1">
      <alignment horizontal="center"/>
      <protection locked="0"/>
    </xf>
    <xf numFmtId="0" fontId="3" fillId="47" borderId="93" xfId="8726" applyFill="1" applyBorder="1" applyAlignment="1" applyProtection="1">
      <alignment horizontal="center"/>
      <protection locked="0"/>
    </xf>
    <xf numFmtId="0" fontId="145" fillId="45" borderId="94" xfId="8726" applyFont="1" applyFill="1" applyBorder="1" applyAlignment="1">
      <alignment horizontal="right"/>
    </xf>
    <xf numFmtId="0" fontId="145" fillId="45" borderId="43" xfId="8726" applyFont="1" applyFill="1" applyBorder="1" applyAlignment="1">
      <alignment horizontal="right"/>
    </xf>
    <xf numFmtId="0" fontId="162" fillId="49" borderId="71" xfId="8726" applyFont="1" applyFill="1" applyBorder="1" applyAlignment="1" applyProtection="1">
      <alignment horizontal="left"/>
      <protection locked="0"/>
    </xf>
    <xf numFmtId="0" fontId="162" fillId="49" borderId="74" xfId="8726" applyFont="1" applyFill="1" applyBorder="1" applyAlignment="1" applyProtection="1">
      <alignment horizontal="left"/>
      <protection locked="0"/>
    </xf>
    <xf numFmtId="0" fontId="145" fillId="45" borderId="72" xfId="8726" applyFont="1" applyFill="1" applyBorder="1" applyAlignment="1">
      <alignment horizontal="center"/>
    </xf>
    <xf numFmtId="0" fontId="145" fillId="45" borderId="73" xfId="8726" applyFont="1" applyFill="1" applyBorder="1" applyAlignment="1">
      <alignment horizontal="center"/>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0" fontId="162" fillId="44" borderId="80" xfId="8726" applyFont="1" applyFill="1" applyBorder="1" applyAlignment="1" applyProtection="1">
      <alignment horizontal="right"/>
      <protection locked="0"/>
    </xf>
    <xf numFmtId="0" fontId="162" fillId="44" borderId="11" xfId="8726" applyFont="1" applyFill="1" applyBorder="1" applyAlignment="1" applyProtection="1">
      <alignment horizontal="right"/>
      <protection locked="0"/>
    </xf>
    <xf numFmtId="0" fontId="162" fillId="44" borderId="91" xfId="8726" applyFont="1" applyFill="1" applyBorder="1" applyAlignment="1" applyProtection="1">
      <alignment horizontal="right"/>
      <protection locked="0"/>
    </xf>
    <xf numFmtId="0" fontId="162" fillId="49" borderId="5" xfId="8726" applyFont="1" applyFill="1" applyBorder="1" applyAlignment="1" applyProtection="1">
      <alignment horizontal="left"/>
      <protection locked="0"/>
    </xf>
    <xf numFmtId="0" fontId="162" fillId="44" borderId="72" xfId="8726" applyFont="1" applyFill="1" applyBorder="1" applyAlignment="1" applyProtection="1">
      <alignment horizontal="right"/>
      <protection locked="0"/>
    </xf>
    <xf numFmtId="0" fontId="162" fillId="44" borderId="73" xfId="8726" applyFont="1" applyFill="1" applyBorder="1" applyAlignment="1" applyProtection="1">
      <alignment horizontal="right"/>
      <protection locked="0"/>
    </xf>
    <xf numFmtId="0" fontId="162" fillId="44" borderId="93" xfId="8726" applyFont="1" applyFill="1" applyBorder="1" applyAlignment="1" applyProtection="1">
      <alignment horizontal="right"/>
      <protection locked="0"/>
    </xf>
    <xf numFmtId="168" fontId="162" fillId="49" borderId="11" xfId="8727" applyNumberFormat="1"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0" fontId="162" fillId="49" borderId="11" xfId="700" applyNumberFormat="1" applyFont="1" applyFill="1" applyBorder="1" applyAlignment="1" applyProtection="1">
      <alignment horizontal="left"/>
      <protection locked="0"/>
    </xf>
    <xf numFmtId="0" fontId="162" fillId="49" borderId="91" xfId="700" applyNumberFormat="1" applyFont="1" applyFill="1" applyBorder="1" applyAlignment="1" applyProtection="1">
      <alignment horizontal="left"/>
      <protection locked="0"/>
    </xf>
    <xf numFmtId="168" fontId="148" fillId="45" borderId="73" xfId="8727" applyNumberFormat="1" applyFont="1" applyFill="1" applyBorder="1" applyAlignment="1">
      <alignment horizontal="center"/>
    </xf>
    <xf numFmtId="1" fontId="148" fillId="45" borderId="73" xfId="8727" applyNumberFormat="1" applyFont="1" applyFill="1" applyBorder="1" applyAlignment="1">
      <alignment horizontal="center"/>
    </xf>
    <xf numFmtId="0" fontId="148" fillId="45" borderId="73" xfId="8727" applyNumberFormat="1" applyFont="1" applyFill="1" applyBorder="1" applyAlignment="1">
      <alignment horizontal="center"/>
    </xf>
    <xf numFmtId="0" fontId="148" fillId="45" borderId="93" xfId="8727" applyNumberFormat="1" applyFont="1" applyFill="1" applyBorder="1" applyAlignment="1">
      <alignment horizontal="center"/>
    </xf>
    <xf numFmtId="0" fontId="145" fillId="45" borderId="65" xfId="8726" applyFont="1" applyFill="1" applyBorder="1" applyAlignment="1">
      <alignment horizontal="center"/>
    </xf>
    <xf numFmtId="0" fontId="145" fillId="45" borderId="29" xfId="8726" applyFont="1" applyFill="1" applyBorder="1" applyAlignment="1">
      <alignment horizontal="center"/>
    </xf>
    <xf numFmtId="0" fontId="145" fillId="45" borderId="31" xfId="8726" applyFont="1" applyFill="1" applyBorder="1" applyAlignment="1">
      <alignment horizontal="center"/>
    </xf>
    <xf numFmtId="0" fontId="162" fillId="49" borderId="83" xfId="8726" applyFont="1" applyFill="1" applyBorder="1" applyAlignment="1" applyProtection="1">
      <alignment horizontal="left"/>
      <protection locked="0"/>
    </xf>
    <xf numFmtId="0" fontId="149" fillId="45" borderId="11" xfId="8726" applyFont="1" applyFill="1" applyBorder="1" applyAlignment="1">
      <alignment horizontal="center" vertical="center" wrapText="1"/>
    </xf>
    <xf numFmtId="0" fontId="149" fillId="45" borderId="91" xfId="8726" applyFont="1" applyFill="1" applyBorder="1" applyAlignment="1">
      <alignment horizontal="center" vertical="center" wrapText="1"/>
    </xf>
    <xf numFmtId="1" fontId="163" fillId="49" borderId="73" xfId="8726" applyNumberFormat="1" applyFont="1" applyFill="1" applyBorder="1" applyAlignment="1" applyProtection="1">
      <alignment horizontal="center"/>
      <protection locked="0"/>
    </xf>
    <xf numFmtId="1" fontId="163" fillId="49" borderId="84" xfId="8726" applyNumberFormat="1" applyFont="1" applyFill="1" applyBorder="1" applyAlignment="1" applyProtection="1">
      <alignment horizontal="center"/>
      <protection locked="0"/>
    </xf>
    <xf numFmtId="1" fontId="163" fillId="49" borderId="82" xfId="8726" applyNumberFormat="1" applyFont="1" applyFill="1" applyBorder="1" applyAlignment="1" applyProtection="1">
      <alignment horizontal="center"/>
      <protection locked="0"/>
    </xf>
    <xf numFmtId="1" fontId="163" fillId="49" borderId="83" xfId="8726" applyNumberFormat="1" applyFont="1" applyFill="1" applyBorder="1" applyAlignment="1" applyProtection="1">
      <alignment horizontal="center"/>
      <protection locked="0"/>
    </xf>
    <xf numFmtId="0" fontId="162" fillId="49" borderId="72" xfId="8726" applyFont="1" applyFill="1" applyBorder="1" applyAlignment="1" applyProtection="1">
      <alignment horizontal="right"/>
      <protection locked="0"/>
    </xf>
    <xf numFmtId="0" fontId="162" fillId="49" borderId="73" xfId="8726" applyFont="1" applyFill="1" applyBorder="1" applyAlignment="1" applyProtection="1">
      <alignment horizontal="right"/>
      <protection locked="0"/>
    </xf>
    <xf numFmtId="0" fontId="163" fillId="49" borderId="73" xfId="8726" applyFont="1" applyFill="1" applyBorder="1" applyAlignment="1" applyProtection="1">
      <alignment horizontal="center"/>
      <protection locked="0"/>
    </xf>
    <xf numFmtId="0" fontId="163" fillId="49" borderId="11" xfId="8726" applyFont="1" applyFill="1" applyBorder="1" applyAlignment="1" applyProtection="1">
      <alignment horizontal="center"/>
      <protection locked="0"/>
    </xf>
    <xf numFmtId="9" fontId="149" fillId="44" borderId="84" xfId="8728" applyFont="1" applyFill="1" applyBorder="1" applyAlignment="1">
      <alignment horizontal="center"/>
    </xf>
    <xf numFmtId="9" fontId="149" fillId="44" borderId="82" xfId="8728" applyFont="1" applyFill="1" applyBorder="1" applyAlignment="1">
      <alignment horizontal="center"/>
    </xf>
    <xf numFmtId="9" fontId="149" fillId="44" borderId="85" xfId="8728" applyFont="1" applyFill="1" applyBorder="1" applyAlignment="1">
      <alignment horizontal="center"/>
    </xf>
    <xf numFmtId="9" fontId="149" fillId="44" borderId="3" xfId="8728" applyFont="1" applyFill="1" applyBorder="1" applyAlignment="1">
      <alignment horizontal="center"/>
    </xf>
    <xf numFmtId="9" fontId="149" fillId="44" borderId="4" xfId="8728" applyFont="1" applyFill="1" applyBorder="1" applyAlignment="1">
      <alignment horizontal="center"/>
    </xf>
    <xf numFmtId="9" fontId="149" fillId="44" borderId="79" xfId="8728" applyFont="1" applyFill="1" applyBorder="1" applyAlignment="1">
      <alignment horizontal="center"/>
    </xf>
    <xf numFmtId="0" fontId="148" fillId="44" borderId="88" xfId="8726" applyFont="1" applyFill="1" applyBorder="1" applyAlignment="1">
      <alignment horizontal="center"/>
    </xf>
    <xf numFmtId="0" fontId="148" fillId="44" borderId="42" xfId="8726" applyFont="1" applyFill="1" applyBorder="1" applyAlignment="1">
      <alignment horizontal="center"/>
    </xf>
    <xf numFmtId="0" fontId="148" fillId="44" borderId="87" xfId="8726" applyFont="1" applyFill="1" applyBorder="1" applyAlignment="1">
      <alignment horizontal="center"/>
    </xf>
    <xf numFmtId="9" fontId="148" fillId="49" borderId="13" xfId="8726" applyNumberFormat="1" applyFont="1" applyFill="1" applyBorder="1" applyAlignment="1" applyProtection="1">
      <alignment horizontal="center"/>
      <protection locked="0"/>
    </xf>
    <xf numFmtId="0" fontId="145" fillId="45" borderId="67" xfId="8726" applyFont="1" applyFill="1" applyBorder="1" applyAlignment="1">
      <alignment horizontal="center"/>
    </xf>
    <xf numFmtId="0" fontId="145" fillId="45" borderId="68" xfId="8726" applyFont="1" applyFill="1" applyBorder="1" applyAlignment="1">
      <alignment horizontal="center"/>
    </xf>
    <xf numFmtId="0" fontId="145" fillId="45" borderId="69" xfId="8726" applyFont="1" applyFill="1" applyBorder="1" applyAlignment="1">
      <alignment horizontal="center"/>
    </xf>
    <xf numFmtId="0" fontId="149" fillId="45" borderId="65" xfId="8726" applyFont="1" applyFill="1" applyBorder="1" applyAlignment="1">
      <alignment horizontal="center" vertical="center" wrapText="1"/>
    </xf>
    <xf numFmtId="0" fontId="149" fillId="45" borderId="29" xfId="8726" applyFont="1" applyFill="1" applyBorder="1" applyAlignment="1">
      <alignment horizontal="center" vertical="center" wrapText="1"/>
    </xf>
    <xf numFmtId="0" fontId="149" fillId="45" borderId="31" xfId="8726" applyFont="1" applyFill="1" applyBorder="1" applyAlignment="1">
      <alignment horizontal="center" vertical="center" wrapText="1"/>
    </xf>
    <xf numFmtId="0" fontId="149" fillId="45" borderId="86" xfId="8726" applyFont="1" applyFill="1" applyBorder="1" applyAlignment="1">
      <alignment horizontal="center" vertical="center" wrapText="1"/>
    </xf>
    <xf numFmtId="0" fontId="149" fillId="45" borderId="42" xfId="8726" applyFont="1" applyFill="1" applyBorder="1" applyAlignment="1">
      <alignment horizontal="center" vertical="center" wrapText="1"/>
    </xf>
    <xf numFmtId="0" fontId="149" fillId="45" borderId="44" xfId="8726" applyFont="1" applyFill="1" applyBorder="1" applyAlignment="1">
      <alignment horizontal="center" vertical="center" wrapText="1"/>
    </xf>
    <xf numFmtId="0" fontId="149" fillId="45" borderId="67" xfId="8726" applyFont="1" applyFill="1" applyBorder="1" applyAlignment="1">
      <alignment horizontal="center"/>
    </xf>
    <xf numFmtId="0" fontId="149" fillId="45" borderId="68" xfId="8726" applyFont="1" applyFill="1" applyBorder="1" applyAlignment="1">
      <alignment horizontal="center"/>
    </xf>
    <xf numFmtId="0" fontId="149" fillId="45" borderId="69" xfId="8726" applyFont="1" applyFill="1" applyBorder="1" applyAlignment="1">
      <alignment horizontal="center"/>
    </xf>
    <xf numFmtId="9" fontId="148" fillId="44" borderId="88" xfId="1022" applyFont="1" applyFill="1" applyBorder="1" applyAlignment="1">
      <alignment horizontal="center"/>
    </xf>
    <xf numFmtId="9" fontId="148" fillId="44" borderId="42" xfId="1022" applyFont="1" applyFill="1" applyBorder="1" applyAlignment="1">
      <alignment horizontal="center"/>
    </xf>
    <xf numFmtId="9" fontId="148" fillId="44" borderId="44" xfId="1022" applyFont="1" applyFill="1" applyBorder="1" applyAlignment="1">
      <alignment horizontal="center"/>
    </xf>
    <xf numFmtId="0" fontId="149" fillId="45" borderId="95" xfId="8726" applyFont="1" applyFill="1" applyBorder="1" applyAlignment="1">
      <alignment horizontal="center" vertical="center" wrapText="1"/>
    </xf>
    <xf numFmtId="0" fontId="149" fillId="45" borderId="13" xfId="8726" applyFont="1" applyFill="1" applyBorder="1" applyAlignment="1">
      <alignment horizontal="center" vertical="center"/>
    </xf>
    <xf numFmtId="0" fontId="149" fillId="45" borderId="80" xfId="8726" applyFont="1" applyFill="1" applyBorder="1" applyAlignment="1">
      <alignment horizontal="center" vertical="center"/>
    </xf>
    <xf numFmtId="0" fontId="149" fillId="45" borderId="11" xfId="8726" applyFont="1" applyFill="1" applyBorder="1" applyAlignment="1">
      <alignment horizontal="center" vertical="center"/>
    </xf>
    <xf numFmtId="0" fontId="148" fillId="44" borderId="86" xfId="8726" applyFont="1" applyFill="1" applyBorder="1" applyAlignment="1">
      <alignment horizontal="center"/>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9" fontId="149" fillId="49" borderId="9" xfId="8726" applyNumberFormat="1" applyFont="1" applyFill="1" applyBorder="1" applyAlignment="1" applyProtection="1">
      <alignment horizontal="center"/>
      <protection locked="0"/>
    </xf>
    <xf numFmtId="9" fontId="149" fillId="49" borderId="6" xfId="8726" applyNumberFormat="1" applyFont="1" applyFill="1" applyBorder="1" applyAlignment="1" applyProtection="1">
      <alignment horizontal="center"/>
      <protection locked="0"/>
    </xf>
    <xf numFmtId="9" fontId="149" fillId="49" borderId="10" xfId="8726" applyNumberFormat="1" applyFont="1" applyFill="1" applyBorder="1" applyAlignment="1" applyProtection="1">
      <alignment horizontal="center"/>
      <protection locked="0"/>
    </xf>
    <xf numFmtId="0" fontId="149" fillId="44" borderId="9" xfId="8726" applyFont="1" applyFill="1" applyBorder="1" applyAlignment="1">
      <alignment horizontal="center"/>
    </xf>
    <xf numFmtId="0" fontId="149" fillId="44" borderId="6" xfId="8726" applyFont="1" applyFill="1" applyBorder="1" applyAlignment="1">
      <alignment horizontal="center"/>
    </xf>
    <xf numFmtId="0" fontId="149" fillId="44" borderId="10" xfId="8726" applyFont="1" applyFill="1" applyBorder="1" applyAlignment="1">
      <alignment horizontal="center"/>
    </xf>
    <xf numFmtId="0" fontId="149" fillId="44" borderId="103" xfId="8726" applyFont="1" applyFill="1" applyBorder="1" applyAlignment="1">
      <alignment horizontal="center"/>
    </xf>
    <xf numFmtId="9" fontId="162" fillId="49" borderId="92" xfId="8726" applyNumberFormat="1" applyFont="1" applyFill="1" applyBorder="1" applyAlignment="1">
      <alignment horizontal="center"/>
    </xf>
    <xf numFmtId="9" fontId="162" fillId="49" borderId="4" xfId="8726" applyNumberFormat="1" applyFont="1" applyFill="1" applyBorder="1" applyAlignment="1">
      <alignment horizontal="center"/>
    </xf>
    <xf numFmtId="9" fontId="162" fillId="49" borderId="5" xfId="8726" applyNumberFormat="1" applyFont="1" applyFill="1" applyBorder="1" applyAlignment="1">
      <alignment horizontal="center"/>
    </xf>
    <xf numFmtId="0" fontId="162" fillId="44" borderId="3" xfId="8726" applyFont="1" applyFill="1" applyBorder="1" applyAlignment="1">
      <alignment horizontal="center"/>
    </xf>
    <xf numFmtId="0" fontId="162" fillId="44" borderId="4" xfId="8726" applyFont="1" applyFill="1" applyBorder="1" applyAlignment="1">
      <alignment horizontal="center"/>
    </xf>
    <xf numFmtId="0" fontId="162" fillId="44" borderId="5" xfId="8726" applyFont="1" applyFill="1" applyBorder="1" applyAlignment="1">
      <alignment horizontal="center"/>
    </xf>
    <xf numFmtId="9" fontId="148" fillId="44" borderId="3" xfId="8726" applyNumberFormat="1" applyFont="1" applyFill="1" applyBorder="1" applyAlignment="1">
      <alignment horizontal="center"/>
    </xf>
    <xf numFmtId="9" fontId="148" fillId="44" borderId="4" xfId="8726" applyNumberFormat="1" applyFont="1" applyFill="1" applyBorder="1" applyAlignment="1">
      <alignment horizontal="center"/>
    </xf>
    <xf numFmtId="9" fontId="148" fillId="44" borderId="79" xfId="8726" applyNumberFormat="1" applyFont="1" applyFill="1" applyBorder="1" applyAlignment="1">
      <alignment horizontal="center"/>
    </xf>
    <xf numFmtId="0" fontId="148" fillId="44" borderId="81" xfId="8726" applyFont="1" applyFill="1" applyBorder="1" applyAlignment="1">
      <alignment horizontal="center"/>
    </xf>
    <xf numFmtId="0" fontId="148" fillId="44" borderId="82" xfId="8726" applyFont="1" applyFill="1" applyBorder="1" applyAlignment="1">
      <alignment horizontal="center"/>
    </xf>
    <xf numFmtId="0" fontId="148" fillId="44" borderId="83" xfId="8726" applyFont="1" applyFill="1" applyBorder="1" applyAlignment="1">
      <alignment horizontal="center"/>
    </xf>
    <xf numFmtId="0" fontId="162" fillId="44" borderId="84" xfId="8726" applyFont="1" applyFill="1" applyBorder="1" applyAlignment="1">
      <alignment horizontal="center"/>
    </xf>
    <xf numFmtId="0" fontId="162" fillId="44" borderId="82" xfId="8726" applyFont="1" applyFill="1" applyBorder="1" applyAlignment="1">
      <alignment horizontal="center"/>
    </xf>
    <xf numFmtId="0" fontId="162" fillId="44" borderId="83" xfId="8726" applyFont="1" applyFill="1" applyBorder="1" applyAlignment="1">
      <alignment horizontal="center"/>
    </xf>
    <xf numFmtId="9" fontId="148" fillId="44" borderId="84" xfId="8726" applyNumberFormat="1" applyFont="1" applyFill="1" applyBorder="1" applyAlignment="1">
      <alignment horizontal="center"/>
    </xf>
    <xf numFmtId="9" fontId="148" fillId="44" borderId="82" xfId="8726" applyNumberFormat="1" applyFont="1" applyFill="1" applyBorder="1" applyAlignment="1">
      <alignment horizontal="center"/>
    </xf>
    <xf numFmtId="9" fontId="148" fillId="44" borderId="85" xfId="8726" applyNumberFormat="1" applyFont="1" applyFill="1" applyBorder="1" applyAlignment="1">
      <alignment horizontal="center"/>
    </xf>
    <xf numFmtId="0" fontId="148" fillId="45" borderId="13"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11" xfId="8726" applyFont="1" applyFill="1" applyBorder="1" applyAlignment="1">
      <alignment horizontal="center" vertical="center"/>
    </xf>
    <xf numFmtId="0" fontId="148" fillId="45" borderId="9" xfId="8726" applyFont="1" applyFill="1" applyBorder="1" applyAlignment="1">
      <alignment horizontal="center" vertical="center"/>
    </xf>
    <xf numFmtId="0" fontId="148" fillId="45" borderId="3" xfId="8726" applyFont="1" applyFill="1" applyBorder="1" applyAlignment="1">
      <alignment horizontal="center" vertical="center"/>
    </xf>
    <xf numFmtId="0" fontId="148" fillId="45" borderId="78" xfId="8726" applyFont="1" applyFill="1" applyBorder="1" applyAlignment="1">
      <alignment horizontal="center"/>
    </xf>
    <xf numFmtId="0" fontId="148" fillId="45" borderId="2" xfId="8726" applyFont="1" applyFill="1" applyBorder="1" applyAlignment="1">
      <alignment horizontal="center"/>
    </xf>
    <xf numFmtId="0" fontId="148" fillId="45" borderId="7" xfId="8726" applyFont="1" applyFill="1" applyBorder="1" applyAlignment="1">
      <alignment horizontal="center"/>
    </xf>
    <xf numFmtId="0" fontId="148" fillId="45" borderId="3" xfId="8726" applyFont="1" applyFill="1" applyBorder="1" applyAlignment="1">
      <alignment horizontal="center"/>
    </xf>
    <xf numFmtId="0" fontId="148" fillId="45" borderId="4" xfId="8726" applyFont="1" applyFill="1" applyBorder="1" applyAlignment="1">
      <alignment horizontal="center"/>
    </xf>
    <xf numFmtId="0" fontId="148" fillId="45" borderId="5" xfId="8726" applyFont="1" applyFill="1" applyBorder="1" applyAlignment="1">
      <alignment horizontal="center"/>
    </xf>
    <xf numFmtId="0" fontId="148" fillId="45" borderId="79" xfId="8726" applyFont="1" applyFill="1" applyBorder="1" applyAlignment="1">
      <alignment horizontal="center"/>
    </xf>
    <xf numFmtId="168" fontId="164" fillId="44" borderId="11" xfId="8727" applyNumberFormat="1" applyFont="1" applyFill="1" applyBorder="1" applyAlignment="1" applyProtection="1">
      <alignment horizontal="left"/>
    </xf>
    <xf numFmtId="0" fontId="148" fillId="45" borderId="11" xfId="8726" applyFont="1" applyFill="1" applyBorder="1" applyAlignment="1">
      <alignment horizontal="right"/>
    </xf>
    <xf numFmtId="1" fontId="3" fillId="44" borderId="11" xfId="8726" applyNumberFormat="1" applyFill="1" applyBorder="1" applyAlignment="1">
      <alignment horizontal="center"/>
    </xf>
    <xf numFmtId="0" fontId="3" fillId="44" borderId="11" xfId="8726" applyFill="1" applyBorder="1" applyAlignment="1">
      <alignment horizontal="center"/>
    </xf>
    <xf numFmtId="0" fontId="146" fillId="45" borderId="11" xfId="8726" applyFont="1" applyFill="1" applyBorder="1" applyAlignment="1">
      <alignment horizontal="right" wrapText="1"/>
    </xf>
    <xf numFmtId="14" fontId="147" fillId="49" borderId="11" xfId="8726" applyNumberFormat="1" applyFont="1" applyFill="1" applyBorder="1" applyAlignment="1" applyProtection="1">
      <alignment horizontal="center" vertical="center"/>
      <protection locked="0"/>
    </xf>
    <xf numFmtId="0" fontId="147" fillId="49" borderId="11" xfId="8726" applyFont="1" applyFill="1" applyBorder="1" applyAlignment="1" applyProtection="1">
      <alignment horizontal="center" vertical="center"/>
      <protection locked="0"/>
    </xf>
    <xf numFmtId="0" fontId="101" fillId="45" borderId="67" xfId="8726" applyFont="1" applyFill="1" applyBorder="1" applyAlignment="1">
      <alignment horizontal="center"/>
    </xf>
    <xf numFmtId="0" fontId="101" fillId="45" borderId="68" xfId="8726" applyFont="1" applyFill="1" applyBorder="1" applyAlignment="1">
      <alignment horizontal="center"/>
    </xf>
    <xf numFmtId="0" fontId="101" fillId="45" borderId="69" xfId="8726" applyFont="1" applyFill="1" applyBorder="1" applyAlignment="1">
      <alignment horizontal="center"/>
    </xf>
    <xf numFmtId="0" fontId="147" fillId="49" borderId="67" xfId="8726" applyFont="1" applyFill="1" applyBorder="1" applyAlignment="1" applyProtection="1">
      <alignment horizontal="center"/>
      <protection locked="0"/>
    </xf>
    <xf numFmtId="0" fontId="147" fillId="49" borderId="68" xfId="8726" applyFont="1" applyFill="1" applyBorder="1" applyAlignment="1" applyProtection="1">
      <alignment horizontal="center"/>
      <protection locked="0"/>
    </xf>
    <xf numFmtId="0" fontId="147" fillId="49" borderId="69" xfId="8726" applyFont="1" applyFill="1" applyBorder="1" applyAlignment="1" applyProtection="1">
      <alignment horizontal="center"/>
      <protection locked="0"/>
    </xf>
    <xf numFmtId="0" fontId="101" fillId="45" borderId="67" xfId="8726" applyFont="1" applyFill="1" applyBorder="1" applyAlignment="1">
      <alignment horizontal="right"/>
    </xf>
    <xf numFmtId="0" fontId="101" fillId="45" borderId="68" xfId="8726" applyFont="1" applyFill="1" applyBorder="1" applyAlignment="1">
      <alignment horizontal="right"/>
    </xf>
    <xf numFmtId="0" fontId="101" fillId="45" borderId="99" xfId="8726" applyFont="1" applyFill="1" applyBorder="1" applyAlignment="1">
      <alignment horizontal="right"/>
    </xf>
    <xf numFmtId="0" fontId="3" fillId="44" borderId="97" xfId="8726" applyFill="1" applyBorder="1" applyAlignment="1">
      <alignment horizontal="center"/>
    </xf>
    <xf numFmtId="0" fontId="3" fillId="44" borderId="98" xfId="8726" applyFill="1" applyBorder="1" applyAlignment="1">
      <alignment horizontal="center"/>
    </xf>
    <xf numFmtId="1" fontId="147" fillId="49" borderId="11" xfId="8726" applyNumberFormat="1" applyFont="1" applyFill="1" applyBorder="1" applyAlignment="1" applyProtection="1">
      <alignment horizontal="center"/>
      <protection locked="0"/>
    </xf>
    <xf numFmtId="0" fontId="144" fillId="47" borderId="65" xfId="8726" applyFont="1" applyFill="1" applyBorder="1" applyAlignment="1">
      <alignment horizontal="center"/>
    </xf>
    <xf numFmtId="0" fontId="144" fillId="47" borderId="29" xfId="8726" applyFont="1" applyFill="1" applyBorder="1" applyAlignment="1">
      <alignment horizontal="center"/>
    </xf>
    <xf numFmtId="0" fontId="144" fillId="47" borderId="31" xfId="8726" applyFont="1" applyFill="1" applyBorder="1" applyAlignment="1">
      <alignment horizontal="center"/>
    </xf>
    <xf numFmtId="0" fontId="145" fillId="49" borderId="66" xfId="8726" applyFont="1" applyFill="1" applyBorder="1" applyAlignment="1">
      <alignment horizontal="center"/>
    </xf>
    <xf numFmtId="0" fontId="145" fillId="49" borderId="0" xfId="8726" applyFont="1" applyFill="1" applyAlignment="1">
      <alignment horizontal="center"/>
    </xf>
    <xf numFmtId="0" fontId="145" fillId="49" borderId="41" xfId="8726" applyFont="1" applyFill="1" applyBorder="1" applyAlignment="1">
      <alignment horizontal="center"/>
    </xf>
    <xf numFmtId="0" fontId="147" fillId="44" borderId="67" xfId="8726" applyFont="1" applyFill="1" applyBorder="1" applyAlignment="1">
      <alignment horizontal="left"/>
    </xf>
    <xf numFmtId="0" fontId="147" fillId="44" borderId="68" xfId="8726" applyFont="1" applyFill="1" applyBorder="1" applyAlignment="1">
      <alignment horizontal="left"/>
    </xf>
    <xf numFmtId="0" fontId="147" fillId="44" borderId="69" xfId="8726" applyFont="1" applyFill="1" applyBorder="1" applyAlignment="1">
      <alignment horizontal="left"/>
    </xf>
    <xf numFmtId="0" fontId="146" fillId="45" borderId="11" xfId="8726" applyFont="1" applyFill="1" applyBorder="1" applyAlignment="1">
      <alignment horizontal="right"/>
    </xf>
    <xf numFmtId="0" fontId="3" fillId="44" borderId="67" xfId="8726" applyFill="1" applyBorder="1" applyAlignment="1">
      <alignment horizontal="center"/>
    </xf>
    <xf numFmtId="0" fontId="3" fillId="44" borderId="68" xfId="8726" applyFill="1" applyBorder="1" applyAlignment="1">
      <alignment horizontal="center"/>
    </xf>
    <xf numFmtId="0" fontId="3" fillId="44" borderId="69" xfId="8726" applyFill="1" applyBorder="1" applyAlignment="1">
      <alignment horizontal="center"/>
    </xf>
    <xf numFmtId="0" fontId="101" fillId="45" borderId="70" xfId="8726" applyFont="1" applyFill="1" applyBorder="1" applyAlignment="1">
      <alignment horizontal="center" wrapText="1"/>
    </xf>
    <xf numFmtId="0" fontId="101" fillId="45" borderId="71" xfId="8726" applyFont="1" applyFill="1" applyBorder="1" applyAlignment="1">
      <alignment horizontal="center" wrapText="1"/>
    </xf>
    <xf numFmtId="0" fontId="101" fillId="45" borderId="74" xfId="8726" applyFont="1" applyFill="1" applyBorder="1" applyAlignment="1">
      <alignment horizontal="center" wrapText="1"/>
    </xf>
    <xf numFmtId="0" fontId="101" fillId="45" borderId="104" xfId="8726" applyFont="1" applyFill="1" applyBorder="1" applyAlignment="1">
      <alignment horizontal="center"/>
    </xf>
    <xf numFmtId="0" fontId="101" fillId="45" borderId="97" xfId="8726" applyFont="1" applyFill="1" applyBorder="1" applyAlignment="1">
      <alignment horizontal="center"/>
    </xf>
    <xf numFmtId="0" fontId="101" fillId="45" borderId="98" xfId="8726" applyFont="1" applyFill="1" applyBorder="1" applyAlignment="1">
      <alignment horizontal="center"/>
    </xf>
    <xf numFmtId="43" fontId="145" fillId="56" borderId="13" xfId="698" applyFont="1" applyFill="1" applyBorder="1" applyAlignment="1" applyProtection="1">
      <alignment horizontal="center"/>
      <protection hidden="1"/>
    </xf>
    <xf numFmtId="43" fontId="147" fillId="53" borderId="11" xfId="698" applyFont="1" applyFill="1" applyBorder="1" applyAlignment="1" applyProtection="1">
      <alignment horizontal="left" wrapText="1"/>
      <protection hidden="1"/>
    </xf>
    <xf numFmtId="0" fontId="162" fillId="45" borderId="11" xfId="8726" applyFont="1" applyFill="1" applyBorder="1" applyAlignment="1">
      <alignment horizontal="left"/>
    </xf>
    <xf numFmtId="0" fontId="172" fillId="45" borderId="11" xfId="8726" applyFont="1" applyFill="1" applyBorder="1" applyAlignment="1">
      <alignment horizontal="left" wrapText="1"/>
    </xf>
    <xf numFmtId="0" fontId="149" fillId="45" borderId="13" xfId="0" applyFont="1" applyFill="1" applyBorder="1" applyAlignment="1" applyProtection="1">
      <alignment horizontal="left" wrapText="1"/>
      <protection hidden="1"/>
    </xf>
    <xf numFmtId="0" fontId="149" fillId="45" borderId="13" xfId="0" applyFont="1" applyFill="1" applyBorder="1" applyAlignment="1" applyProtection="1">
      <alignment horizontal="center" wrapText="1"/>
      <protection hidden="1"/>
    </xf>
    <xf numFmtId="182" fontId="3" fillId="0" borderId="13" xfId="8726" applyNumberFormat="1" applyBorder="1" applyAlignment="1">
      <alignment horizontal="center"/>
    </xf>
    <xf numFmtId="0" fontId="3" fillId="0" borderId="13" xfId="8726" applyBorder="1" applyAlignment="1">
      <alignment horizontal="center"/>
    </xf>
    <xf numFmtId="44" fontId="3" fillId="0" borderId="11" xfId="700" applyFont="1" applyBorder="1" applyAlignment="1" applyProtection="1">
      <alignment horizontal="center"/>
      <protection hidden="1"/>
    </xf>
    <xf numFmtId="44" fontId="3" fillId="49" borderId="11" xfId="700" applyFont="1" applyFill="1" applyBorder="1" applyAlignment="1" applyProtection="1">
      <alignment horizontal="center"/>
      <protection hidden="1"/>
    </xf>
    <xf numFmtId="168" fontId="147" fillId="49" borderId="11" xfId="8727" applyNumberFormat="1" applyFont="1" applyFill="1" applyBorder="1" applyAlignment="1">
      <alignment horizontal="center"/>
    </xf>
    <xf numFmtId="0" fontId="145" fillId="44" borderId="11" xfId="8726" applyFont="1" applyFill="1" applyBorder="1" applyAlignment="1">
      <alignment horizontal="left"/>
    </xf>
    <xf numFmtId="0" fontId="162" fillId="48" borderId="3" xfId="8726" applyFont="1" applyFill="1" applyBorder="1" applyAlignment="1">
      <alignment horizontal="center"/>
    </xf>
    <xf numFmtId="0" fontId="162" fillId="48" borderId="4" xfId="8726" applyFont="1" applyFill="1" applyBorder="1" applyAlignment="1">
      <alignment horizontal="center"/>
    </xf>
    <xf numFmtId="0" fontId="162" fillId="48" borderId="5" xfId="8726" applyFont="1" applyFill="1" applyBorder="1" applyAlignment="1">
      <alignment horizontal="center"/>
    </xf>
    <xf numFmtId="0" fontId="147" fillId="49" borderId="3" xfId="0" applyFont="1" applyFill="1" applyBorder="1" applyAlignment="1" applyProtection="1">
      <alignment horizontal="center"/>
      <protection locked="0"/>
    </xf>
    <xf numFmtId="0" fontId="147" fillId="49" borderId="4" xfId="0" applyFont="1" applyFill="1" applyBorder="1" applyAlignment="1" applyProtection="1">
      <alignment horizontal="center"/>
      <protection locked="0"/>
    </xf>
    <xf numFmtId="0" fontId="147" fillId="49" borderId="5" xfId="0" applyFont="1" applyFill="1" applyBorder="1" applyAlignment="1" applyProtection="1">
      <alignment horizontal="center"/>
      <protection locked="0"/>
    </xf>
    <xf numFmtId="43" fontId="145" fillId="53" borderId="80" xfId="698" applyFont="1" applyFill="1" applyBorder="1" applyAlignment="1" applyProtection="1">
      <alignment horizontal="right"/>
      <protection hidden="1"/>
    </xf>
    <xf numFmtId="43" fontId="145" fillId="53" borderId="11" xfId="698" applyFont="1" applyFill="1" applyBorder="1" applyAlignment="1" applyProtection="1">
      <alignment horizontal="right"/>
      <protection hidden="1"/>
    </xf>
    <xf numFmtId="44" fontId="145" fillId="0" borderId="11" xfId="700" applyFont="1" applyBorder="1" applyAlignment="1" applyProtection="1">
      <alignment horizontal="center"/>
      <protection hidden="1"/>
    </xf>
    <xf numFmtId="164" fontId="145" fillId="0" borderId="11" xfId="700" applyNumberFormat="1" applyFont="1" applyBorder="1" applyAlignment="1" applyProtection="1">
      <alignment horizontal="center"/>
      <protection hidden="1"/>
    </xf>
    <xf numFmtId="9" fontId="145" fillId="0" borderId="11" xfId="1022" applyFont="1" applyBorder="1" applyAlignment="1" applyProtection="1">
      <alignment horizontal="center"/>
      <protection hidden="1"/>
    </xf>
    <xf numFmtId="168" fontId="15" fillId="2" borderId="3" xfId="569" applyNumberFormat="1" applyFill="1" applyBorder="1" applyAlignment="1">
      <alignment horizontal="center"/>
    </xf>
    <xf numFmtId="168" fontId="15" fillId="2" borderId="4" xfId="569" applyNumberFormat="1" applyFill="1" applyBorder="1" applyAlignment="1">
      <alignment horizontal="center"/>
    </xf>
    <xf numFmtId="168" fontId="15" fillId="2" borderId="5" xfId="569" applyNumberFormat="1" applyFill="1" applyBorder="1" applyAlignment="1">
      <alignment horizontal="center"/>
    </xf>
    <xf numFmtId="168" fontId="15" fillId="5" borderId="5" xfId="569" applyNumberFormat="1" applyFill="1" applyBorder="1" applyAlignment="1" applyProtection="1">
      <alignment horizontal="center"/>
      <protection locked="0"/>
    </xf>
    <xf numFmtId="168" fontId="15" fillId="5" borderId="11" xfId="569" applyNumberFormat="1" applyFill="1" applyBorder="1" applyAlignment="1" applyProtection="1">
      <alignment horizontal="center"/>
      <protection locked="0"/>
    </xf>
    <xf numFmtId="168" fontId="15" fillId="0" borderId="5" xfId="569" applyNumberFormat="1" applyBorder="1" applyAlignment="1">
      <alignment horizontal="center"/>
    </xf>
    <xf numFmtId="168" fontId="15" fillId="0" borderId="11" xfId="569" applyNumberFormat="1" applyBorder="1" applyAlignment="1">
      <alignment horizontal="center"/>
    </xf>
    <xf numFmtId="168" fontId="15" fillId="0" borderId="3" xfId="569" applyNumberFormat="1" applyBorder="1" applyAlignment="1">
      <alignment horizontal="center"/>
    </xf>
    <xf numFmtId="168" fontId="15" fillId="0" borderId="4" xfId="569" applyNumberFormat="1" applyBorder="1" applyAlignment="1">
      <alignment horizontal="center"/>
    </xf>
    <xf numFmtId="179" fontId="22" fillId="0" borderId="0" xfId="569" applyNumberFormat="1" applyFont="1" applyAlignment="1">
      <alignment horizontal="center" wrapText="1"/>
    </xf>
    <xf numFmtId="0" fontId="22" fillId="0" borderId="16" xfId="271" applyFont="1" applyBorder="1" applyAlignment="1">
      <alignment horizontal="center"/>
    </xf>
    <xf numFmtId="164" fontId="22" fillId="0" borderId="0" xfId="569" applyNumberFormat="1" applyFont="1" applyAlignment="1">
      <alignment horizontal="center" wrapText="1"/>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0" fontId="52" fillId="0" borderId="0" xfId="569" applyFont="1" applyAlignment="1">
      <alignment horizontal="left"/>
    </xf>
    <xf numFmtId="0" fontId="15" fillId="0" borderId="3" xfId="569" applyBorder="1" applyAlignment="1">
      <alignment horizontal="right"/>
    </xf>
    <xf numFmtId="0" fontId="15" fillId="0" borderId="4" xfId="569" applyBorder="1" applyAlignment="1">
      <alignment horizontal="right"/>
    </xf>
    <xf numFmtId="0" fontId="15" fillId="0" borderId="5" xfId="569" applyBorder="1" applyAlignment="1">
      <alignment horizontal="right"/>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168" fontId="15" fillId="0" borderId="3" xfId="569" applyNumberFormat="1" applyBorder="1" applyAlignment="1">
      <alignment horizontal="right"/>
    </xf>
    <xf numFmtId="168" fontId="15" fillId="0" borderId="4" xfId="569" applyNumberFormat="1" applyBorder="1" applyAlignment="1">
      <alignment horizontal="right"/>
    </xf>
    <xf numFmtId="168" fontId="15" fillId="0" borderId="5" xfId="569" applyNumberFormat="1" applyBorder="1" applyAlignment="1">
      <alignment horizontal="right"/>
    </xf>
    <xf numFmtId="9" fontId="15" fillId="0" borderId="5" xfId="569" applyNumberFormat="1" applyBorder="1" applyAlignment="1">
      <alignment horizontal="center"/>
    </xf>
    <xf numFmtId="9" fontId="15" fillId="0" borderId="11" xfId="569" applyNumberFormat="1" applyBorder="1" applyAlignment="1">
      <alignment horizontal="center"/>
    </xf>
    <xf numFmtId="0" fontId="22" fillId="0" borderId="3" xfId="569" applyFont="1" applyBorder="1" applyAlignment="1">
      <alignment horizontal="left"/>
    </xf>
    <xf numFmtId="0" fontId="22" fillId="0" borderId="5" xfId="569" applyFont="1" applyBorder="1" applyAlignment="1">
      <alignment horizontal="left"/>
    </xf>
    <xf numFmtId="0" fontId="23" fillId="0" borderId="4" xfId="569" applyFont="1" applyBorder="1" applyAlignment="1">
      <alignment horizontal="left"/>
    </xf>
    <xf numFmtId="0" fontId="23" fillId="0" borderId="5" xfId="569" applyFont="1" applyBorder="1" applyAlignment="1">
      <alignment horizontal="left"/>
    </xf>
    <xf numFmtId="0" fontId="21" fillId="3" borderId="2" xfId="569" applyFont="1" applyFill="1" applyBorder="1" applyAlignment="1">
      <alignment horizontal="center" vertical="center"/>
    </xf>
    <xf numFmtId="0" fontId="21" fillId="3" borderId="16" xfId="569" applyFont="1" applyFill="1" applyBorder="1" applyAlignment="1">
      <alignment horizontal="center" vertical="center"/>
    </xf>
    <xf numFmtId="0" fontId="22" fillId="0" borderId="11" xfId="569" applyFont="1" applyBorder="1" applyAlignment="1">
      <alignment horizontal="center" wrapText="1"/>
    </xf>
    <xf numFmtId="168" fontId="15" fillId="0" borderId="7" xfId="569" applyNumberFormat="1" applyBorder="1" applyAlignment="1">
      <alignment horizontal="center"/>
    </xf>
    <xf numFmtId="168" fontId="15" fillId="0" borderId="15" xfId="569" applyNumberFormat="1" applyBorder="1" applyAlignment="1">
      <alignment horizontal="center"/>
    </xf>
    <xf numFmtId="168" fontId="15" fillId="5" borderId="10" xfId="569" applyNumberFormat="1" applyFill="1" applyBorder="1" applyAlignment="1" applyProtection="1">
      <alignment horizontal="center"/>
      <protection locked="0"/>
    </xf>
    <xf numFmtId="168" fontId="15" fillId="5" borderId="13" xfId="569" applyNumberFormat="1" applyFill="1" applyBorder="1" applyAlignment="1" applyProtection="1">
      <alignment horizontal="center"/>
      <protection locked="0"/>
    </xf>
    <xf numFmtId="5" fontId="15" fillId="0" borderId="5" xfId="569" applyNumberFormat="1" applyBorder="1" applyAlignment="1">
      <alignment horizontal="center"/>
    </xf>
    <xf numFmtId="5" fontId="15" fillId="0" borderId="11" xfId="569" applyNumberFormat="1" applyBorder="1" applyAlignment="1">
      <alignment horizontal="center"/>
    </xf>
    <xf numFmtId="5" fontId="15" fillId="0" borderId="3" xfId="569" applyNumberFormat="1" applyBorder="1" applyAlignment="1">
      <alignment horizontal="center"/>
    </xf>
    <xf numFmtId="5" fontId="15" fillId="0" borderId="4" xfId="569" applyNumberFormat="1" applyBorder="1" applyAlignment="1">
      <alignment horizontal="center"/>
    </xf>
    <xf numFmtId="9" fontId="15" fillId="0" borderId="9" xfId="569" applyNumberFormat="1" applyBorder="1" applyAlignment="1">
      <alignment horizontal="center" vertical="center"/>
    </xf>
    <xf numFmtId="9" fontId="15" fillId="0" borderId="6" xfId="569" applyNumberFormat="1" applyBorder="1" applyAlignment="1">
      <alignment horizontal="center" vertical="center"/>
    </xf>
    <xf numFmtId="9" fontId="15" fillId="0" borderId="10" xfId="569" applyNumberFormat="1" applyBorder="1" applyAlignment="1">
      <alignment horizontal="center" vertical="center"/>
    </xf>
    <xf numFmtId="168" fontId="15" fillId="0" borderId="11" xfId="569" applyNumberFormat="1" applyBorder="1" applyAlignment="1">
      <alignment horizontal="right"/>
    </xf>
    <xf numFmtId="0" fontId="22" fillId="0" borderId="6" xfId="569" applyFont="1" applyBorder="1" applyAlignment="1">
      <alignment horizontal="center"/>
    </xf>
    <xf numFmtId="0" fontId="15" fillId="0" borderId="4" xfId="569" applyBorder="1" applyAlignment="1">
      <alignment horizontal="center"/>
    </xf>
    <xf numFmtId="0" fontId="15" fillId="0" borderId="5" xfId="569" applyBorder="1" applyAlignment="1">
      <alignment horizontal="center"/>
    </xf>
    <xf numFmtId="176" fontId="15" fillId="5" borderId="3" xfId="569" applyNumberFormat="1" applyFill="1" applyBorder="1" applyAlignment="1" applyProtection="1">
      <alignment horizontal="right"/>
      <protection locked="0"/>
    </xf>
    <xf numFmtId="176" fontId="15" fillId="5" borderId="4" xfId="569" applyNumberFormat="1" applyFill="1" applyBorder="1" applyAlignment="1" applyProtection="1">
      <alignment horizontal="right"/>
      <protection locked="0"/>
    </xf>
    <xf numFmtId="176" fontId="15" fillId="5" borderId="5" xfId="569" applyNumberFormat="1" applyFill="1" applyBorder="1" applyAlignment="1" applyProtection="1">
      <alignment horizontal="right"/>
      <protection locked="0"/>
    </xf>
    <xf numFmtId="0" fontId="106" fillId="0" borderId="0" xfId="569" applyFont="1" applyAlignment="1">
      <alignment horizontal="left" wrapText="1"/>
    </xf>
    <xf numFmtId="168" fontId="15" fillId="0" borderId="3" xfId="569" applyNumberFormat="1" applyBorder="1" applyAlignment="1" applyProtection="1">
      <alignment horizontal="right"/>
      <protection locked="0"/>
    </xf>
    <xf numFmtId="168" fontId="15" fillId="0" borderId="4" xfId="569" applyNumberFormat="1" applyBorder="1" applyAlignment="1" applyProtection="1">
      <alignment horizontal="right"/>
      <protection locked="0"/>
    </xf>
    <xf numFmtId="168" fontId="15" fillId="0" borderId="5" xfId="569" applyNumberFormat="1" applyBorder="1" applyAlignment="1" applyProtection="1">
      <alignment horizontal="right"/>
      <protection locked="0"/>
    </xf>
    <xf numFmtId="0" fontId="22" fillId="0" borderId="11" xfId="569" applyFont="1" applyBorder="1" applyAlignment="1">
      <alignment horizontal="center"/>
    </xf>
    <xf numFmtId="165" fontId="15" fillId="0" borderId="11" xfId="569" applyNumberFormat="1" applyBorder="1" applyAlignment="1" applyProtection="1">
      <alignment horizontal="center"/>
      <protection locked="0"/>
    </xf>
    <xf numFmtId="168" fontId="15" fillId="0" borderId="11" xfId="569" applyNumberFormat="1" applyBorder="1"/>
    <xf numFmtId="168" fontId="15" fillId="0" borderId="3" xfId="569" applyNumberFormat="1" applyBorder="1"/>
    <xf numFmtId="168" fontId="15" fillId="0" borderId="4" xfId="569" applyNumberFormat="1" applyBorder="1"/>
    <xf numFmtId="168" fontId="15" fillId="0" borderId="5" xfId="569" applyNumberFormat="1" applyBorder="1"/>
    <xf numFmtId="168" fontId="15" fillId="0" borderId="11" xfId="569" applyNumberFormat="1" applyBorder="1" applyAlignment="1">
      <alignment wrapText="1"/>
    </xf>
    <xf numFmtId="9" fontId="15" fillId="0" borderId="15" xfId="569" applyNumberFormat="1" applyBorder="1" applyAlignment="1">
      <alignment horizontal="center"/>
    </xf>
    <xf numFmtId="0" fontId="15" fillId="0" borderId="11" xfId="569" applyBorder="1" applyAlignment="1">
      <alignment horizontal="center"/>
    </xf>
    <xf numFmtId="0" fontId="106" fillId="0" borderId="0" xfId="0" applyFont="1" applyAlignment="1">
      <alignment horizontal="left" vertical="top" wrapText="1"/>
    </xf>
    <xf numFmtId="0" fontId="20" fillId="0" borderId="6" xfId="271" applyFont="1" applyBorder="1" applyAlignment="1">
      <alignment horizontal="center"/>
    </xf>
    <xf numFmtId="3" fontId="15" fillId="0" borderId="0" xfId="0" applyNumberFormat="1" applyFont="1" applyAlignment="1">
      <alignment horizontal="left" vertical="top" wrapText="1"/>
    </xf>
    <xf numFmtId="3" fontId="24" fillId="0" borderId="0" xfId="0" applyNumberFormat="1" applyFont="1" applyAlignment="1">
      <alignment horizontal="left" vertical="top" wrapText="1"/>
    </xf>
    <xf numFmtId="0" fontId="15" fillId="43" borderId="0" xfId="0" applyFont="1" applyFill="1" applyAlignment="1">
      <alignment horizontal="left"/>
    </xf>
  </cellXfs>
  <cellStyles count="25610">
    <cellStyle name="20% - Accent1" xfId="1" builtinId="30" customBuiltin="1"/>
    <cellStyle name="20% - Accent1 10" xfId="4505" xr:uid="{00000000-0005-0000-0000-000001000000}"/>
    <cellStyle name="20% - Accent1 10 2" xfId="12947" xr:uid="{D5F9180F-91A2-4176-A4A5-E7DBE41D3877}"/>
    <cellStyle name="20% - Accent1 10 3" xfId="21387" xr:uid="{EFF25F3E-18E7-4C58-A5E1-BB4E30DACA72}"/>
    <cellStyle name="20% - Accent1 11" xfId="8729" xr:uid="{1F278059-3D6E-4DCC-94D4-95DBB047603C}"/>
    <cellStyle name="20% - Accent1 12" xfId="17170" xr:uid="{A76FAE85-41F1-4F20-941B-55CE2DA914F1}"/>
    <cellStyle name="20% - Accent1 2" xfId="2" xr:uid="{00000000-0005-0000-0000-000002000000}"/>
    <cellStyle name="20% - Accent1 2 10" xfId="8730" xr:uid="{BABD252F-DCE5-49AE-81BE-8C246AAE0653}"/>
    <cellStyle name="20% - Accent1 2 11" xfId="17171" xr:uid="{DF21D1E8-C394-4658-BB86-7A62BF7C70C0}"/>
    <cellStyle name="20% - Accent1 2 2" xfId="3" xr:uid="{00000000-0005-0000-0000-000003000000}"/>
    <cellStyle name="20% - Accent1 2 2 10" xfId="17172" xr:uid="{4FED2533-1072-4975-AB72-B9335E7D887D}"/>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15509" xr:uid="{2FD78EF0-F779-4B4D-B494-F1A0734298BF}"/>
    <cellStyle name="20% - Accent1 2 2 2 2 2 2 3" xfId="23949" xr:uid="{427DE0C7-7B4B-4616-81E6-FE52DB16DE4C}"/>
    <cellStyle name="20% - Accent1 2 2 2 2 2 3" xfId="11291" xr:uid="{B6DFD2E7-D282-47CC-BC3B-EA5F8A677F77}"/>
    <cellStyle name="20% - Accent1 2 2 2 2 2 4" xfId="19732" xr:uid="{8400B6B1-4685-4B41-BCD2-6ABA53C6F14D}"/>
    <cellStyle name="20% - Accent1 2 2 2 2 3" xfId="4922" xr:uid="{00000000-0005-0000-0000-000008000000}"/>
    <cellStyle name="20% - Accent1 2 2 2 2 3 2" xfId="13364" xr:uid="{D4242F0B-EE7A-4F49-832C-856CA5890AE3}"/>
    <cellStyle name="20% - Accent1 2 2 2 2 3 3" xfId="21804" xr:uid="{BBB4BE48-9701-4EAA-945E-F4B6EDB10A11}"/>
    <cellStyle name="20% - Accent1 2 2 2 2 4" xfId="9146" xr:uid="{68279FF0-9A90-4763-89AD-5128CA46D1F5}"/>
    <cellStyle name="20% - Accent1 2 2 2 2 5" xfId="17587" xr:uid="{AF0248F6-DB0E-4CEE-BB27-0F3D96E1394A}"/>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15922" xr:uid="{B3F69B9D-A86C-42BD-A8C3-21BD6C225725}"/>
    <cellStyle name="20% - Accent1 2 2 2 3 2 2 3" xfId="24362" xr:uid="{4375A495-C99B-4C98-BCC6-97CCB494E636}"/>
    <cellStyle name="20% - Accent1 2 2 2 3 2 3" xfId="11704" xr:uid="{63C87BC4-485D-4BE5-97A7-CB78818BAD6E}"/>
    <cellStyle name="20% - Accent1 2 2 2 3 2 4" xfId="20145" xr:uid="{4006B802-48E2-4C6A-84FF-CD2A468CAFCA}"/>
    <cellStyle name="20% - Accent1 2 2 2 3 3" xfId="5335" xr:uid="{00000000-0005-0000-0000-00000C000000}"/>
    <cellStyle name="20% - Accent1 2 2 2 3 3 2" xfId="13777" xr:uid="{FDED13DD-DF71-44D0-9B46-FD5CD2CA7AD7}"/>
    <cellStyle name="20% - Accent1 2 2 2 3 3 3" xfId="22217" xr:uid="{A0B9F707-1E2A-4AEC-A69D-09A387C7331F}"/>
    <cellStyle name="20% - Accent1 2 2 2 3 4" xfId="9559" xr:uid="{2AE637D1-C677-45D1-A5B6-E7412919C38B}"/>
    <cellStyle name="20% - Accent1 2 2 2 3 5" xfId="18000" xr:uid="{A9B86907-1DF9-48CA-9285-7A16B270BFE6}"/>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16335" xr:uid="{007BAEDB-0BBC-4A63-8C31-BDDE92B76CCE}"/>
    <cellStyle name="20% - Accent1 2 2 2 4 2 2 3" xfId="24775" xr:uid="{196A300B-3A82-4F93-B364-6B98652B5666}"/>
    <cellStyle name="20% - Accent1 2 2 2 4 2 3" xfId="12117" xr:uid="{716B6DB1-403D-4611-BA03-B8C2039A4028}"/>
    <cellStyle name="20% - Accent1 2 2 2 4 2 4" xfId="20558" xr:uid="{6F632EE8-82B5-4C2B-9982-77F931979AE5}"/>
    <cellStyle name="20% - Accent1 2 2 2 4 3" xfId="5748" xr:uid="{00000000-0005-0000-0000-000010000000}"/>
    <cellStyle name="20% - Accent1 2 2 2 4 3 2" xfId="14190" xr:uid="{27666BA5-2E0F-450F-A98E-86C04959F39C}"/>
    <cellStyle name="20% - Accent1 2 2 2 4 3 3" xfId="22630" xr:uid="{3230D517-D2EB-451E-9BD7-442E4B0CA7A9}"/>
    <cellStyle name="20% - Accent1 2 2 2 4 4" xfId="9972" xr:uid="{1E124E36-7B86-4EBB-AF3B-285BE8F7BF20}"/>
    <cellStyle name="20% - Accent1 2 2 2 4 5" xfId="18413" xr:uid="{4942D79A-E98D-46AF-8822-D104FB794B5B}"/>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16748" xr:uid="{9B214E76-B8FD-4704-B7D4-5725FE338F4F}"/>
    <cellStyle name="20% - Accent1 2 2 2 5 2 2 3" xfId="25188" xr:uid="{8CBDAAE5-53AC-4E63-8AAD-AB6E3399EE29}"/>
    <cellStyle name="20% - Accent1 2 2 2 5 2 3" xfId="12530" xr:uid="{BD638F6B-3F64-4954-A986-99D9B62BBE66}"/>
    <cellStyle name="20% - Accent1 2 2 2 5 2 4" xfId="20971" xr:uid="{D9BD970A-087C-4103-991A-8C9950ED7B93}"/>
    <cellStyle name="20% - Accent1 2 2 2 5 3" xfId="6161" xr:uid="{00000000-0005-0000-0000-000014000000}"/>
    <cellStyle name="20% - Accent1 2 2 2 5 3 2" xfId="14603" xr:uid="{797C1E7E-2E6C-4857-B7AB-D67F57D4A072}"/>
    <cellStyle name="20% - Accent1 2 2 2 5 3 3" xfId="23043" xr:uid="{AC6EAEE1-4E57-4F34-97BD-1AAEF7A3B8A1}"/>
    <cellStyle name="20% - Accent1 2 2 2 5 4" xfId="10385" xr:uid="{5B82C692-2DEB-4026-9446-F7E6C7FA5C46}"/>
    <cellStyle name="20% - Accent1 2 2 2 5 5" xfId="18826" xr:uid="{2B024FF0-CDDE-47AA-9278-134F2E488E92}"/>
    <cellStyle name="20% - Accent1 2 2 2 6" xfId="2267" xr:uid="{00000000-0005-0000-0000-000015000000}"/>
    <cellStyle name="20% - Accent1 2 2 2 6 2" xfId="6574" xr:uid="{00000000-0005-0000-0000-000016000000}"/>
    <cellStyle name="20% - Accent1 2 2 2 6 2 2" xfId="15016" xr:uid="{CF5C1541-E020-4D2C-9CE0-2C2E698E08B6}"/>
    <cellStyle name="20% - Accent1 2 2 2 6 2 3" xfId="23456" xr:uid="{703335F7-2791-4449-8E5A-E4419660F386}"/>
    <cellStyle name="20% - Accent1 2 2 2 6 3" xfId="10798" xr:uid="{038D72D3-CF54-4EFC-9D29-43EA7AB7DC76}"/>
    <cellStyle name="20% - Accent1 2 2 2 6 4" xfId="19239" xr:uid="{CA1A6F15-433E-4427-ADFB-CE6DD7E1BB53}"/>
    <cellStyle name="20% - Accent1 2 2 2 7" xfId="4508" xr:uid="{00000000-0005-0000-0000-000017000000}"/>
    <cellStyle name="20% - Accent1 2 2 2 7 2" xfId="12950" xr:uid="{AEDE2C4C-C327-4D0E-9942-1C9F59D88561}"/>
    <cellStyle name="20% - Accent1 2 2 2 7 3" xfId="21390" xr:uid="{B230AE91-6438-4E00-9F58-3C09D8A94E4E}"/>
    <cellStyle name="20% - Accent1 2 2 2 8" xfId="8732" xr:uid="{BD278509-28CD-4478-AEF0-6C3CF82D507C}"/>
    <cellStyle name="20% - Accent1 2 2 2 9" xfId="17173" xr:uid="{7A94797B-3AA6-4DD0-905A-6E0473B76A12}"/>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15508" xr:uid="{A9AD537D-0BC2-468B-85BD-2BC78E47BEE5}"/>
    <cellStyle name="20% - Accent1 2 2 3 2 2 3" xfId="23948" xr:uid="{E6FFCE6F-31AE-4BC0-A78C-E8CEFFA1E781}"/>
    <cellStyle name="20% - Accent1 2 2 3 2 3" xfId="11290" xr:uid="{211F3280-098E-41EE-91C2-AFC7E421E1D5}"/>
    <cellStyle name="20% - Accent1 2 2 3 2 4" xfId="19731" xr:uid="{B7BBBBCC-F326-408B-AD09-D8AEC12D5FE5}"/>
    <cellStyle name="20% - Accent1 2 2 3 3" xfId="4921" xr:uid="{00000000-0005-0000-0000-00001B000000}"/>
    <cellStyle name="20% - Accent1 2 2 3 3 2" xfId="13363" xr:uid="{6609B72B-D553-4955-852A-47979DDFF5AB}"/>
    <cellStyle name="20% - Accent1 2 2 3 3 3" xfId="21803" xr:uid="{311EAAE9-1A29-46EE-B882-9C3FE9D222EF}"/>
    <cellStyle name="20% - Accent1 2 2 3 4" xfId="9145" xr:uid="{F1F0F6EC-7585-4DEB-BC4D-8F4A5E1B78B9}"/>
    <cellStyle name="20% - Accent1 2 2 3 5" xfId="17586" xr:uid="{9BD4521F-FB39-4084-BBCF-8BCA39132450}"/>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15921" xr:uid="{5D7E4DFF-D424-4E12-817F-C46574430B88}"/>
    <cellStyle name="20% - Accent1 2 2 4 2 2 3" xfId="24361" xr:uid="{BE088EA8-6E8C-42B4-B829-70FB94460FE9}"/>
    <cellStyle name="20% - Accent1 2 2 4 2 3" xfId="11703" xr:uid="{0D7AFB9F-D4FF-4F28-AABD-1875D2C97D60}"/>
    <cellStyle name="20% - Accent1 2 2 4 2 4" xfId="20144" xr:uid="{E14104A6-E928-41AC-8979-7BD5F956921B}"/>
    <cellStyle name="20% - Accent1 2 2 4 3" xfId="5334" xr:uid="{00000000-0005-0000-0000-00001F000000}"/>
    <cellStyle name="20% - Accent1 2 2 4 3 2" xfId="13776" xr:uid="{D83325D7-0DFC-4383-8A4F-C351E095BCA3}"/>
    <cellStyle name="20% - Accent1 2 2 4 3 3" xfId="22216" xr:uid="{7C403859-A51D-438B-9488-1759C2278487}"/>
    <cellStyle name="20% - Accent1 2 2 4 4" xfId="9558" xr:uid="{643EAC52-C2C3-4DC3-9F4A-6F483D569A84}"/>
    <cellStyle name="20% - Accent1 2 2 4 5" xfId="17999" xr:uid="{23B83A48-E2BA-442F-B3AF-F036E5DF7305}"/>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16334" xr:uid="{2B2C9BAB-A663-43C3-A70A-DA5B927BD7B1}"/>
    <cellStyle name="20% - Accent1 2 2 5 2 2 3" xfId="24774" xr:uid="{092C8E65-C2FE-4B53-9CCE-29C13CFF639F}"/>
    <cellStyle name="20% - Accent1 2 2 5 2 3" xfId="12116" xr:uid="{8C5674F2-0A0A-4A78-B655-480319B6F1E3}"/>
    <cellStyle name="20% - Accent1 2 2 5 2 4" xfId="20557" xr:uid="{3E90FADB-DE5A-4DB6-9F61-7D3C48D9B243}"/>
    <cellStyle name="20% - Accent1 2 2 5 3" xfId="5747" xr:uid="{00000000-0005-0000-0000-000023000000}"/>
    <cellStyle name="20% - Accent1 2 2 5 3 2" xfId="14189" xr:uid="{C71B8D29-230E-4354-AFD0-100A63B5D04A}"/>
    <cellStyle name="20% - Accent1 2 2 5 3 3" xfId="22629" xr:uid="{D7DBF171-B1DD-4DF1-9479-42927F93C04D}"/>
    <cellStyle name="20% - Accent1 2 2 5 4" xfId="9971" xr:uid="{EE508932-28F1-4BDA-B343-12DD05F974DC}"/>
    <cellStyle name="20% - Accent1 2 2 5 5" xfId="18412" xr:uid="{279861CB-65FD-41F7-BDBC-6A631812E8F2}"/>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16747" xr:uid="{AA416052-C3AD-4A4A-AF55-83F7A3C6DB9E}"/>
    <cellStyle name="20% - Accent1 2 2 6 2 2 3" xfId="25187" xr:uid="{E5BCA89D-CC24-4C7A-8F19-28289110806F}"/>
    <cellStyle name="20% - Accent1 2 2 6 2 3" xfId="12529" xr:uid="{B37CC890-B5B4-4DE5-9414-6B9C95A55D37}"/>
    <cellStyle name="20% - Accent1 2 2 6 2 4" xfId="20970" xr:uid="{1AC5C552-E5CA-49CC-AF58-3F35F31022D8}"/>
    <cellStyle name="20% - Accent1 2 2 6 3" xfId="6160" xr:uid="{00000000-0005-0000-0000-000027000000}"/>
    <cellStyle name="20% - Accent1 2 2 6 3 2" xfId="14602" xr:uid="{53119C84-AE47-4682-9A5D-D171F9F2351E}"/>
    <cellStyle name="20% - Accent1 2 2 6 3 3" xfId="23042" xr:uid="{9C8EE2B4-FAF9-4594-962A-BDBC61A1FFFC}"/>
    <cellStyle name="20% - Accent1 2 2 6 4" xfId="10384" xr:uid="{7DC43A48-DD53-4BA3-ABC9-A37529D0897F}"/>
    <cellStyle name="20% - Accent1 2 2 6 5" xfId="18825" xr:uid="{B9D86397-ED6A-4D56-8BED-438A04ED4428}"/>
    <cellStyle name="20% - Accent1 2 2 7" xfId="2266" xr:uid="{00000000-0005-0000-0000-000028000000}"/>
    <cellStyle name="20% - Accent1 2 2 7 2" xfId="6573" xr:uid="{00000000-0005-0000-0000-000029000000}"/>
    <cellStyle name="20% - Accent1 2 2 7 2 2" xfId="15015" xr:uid="{4AC77BD1-729B-4341-9B79-19A6E5EB0765}"/>
    <cellStyle name="20% - Accent1 2 2 7 2 3" xfId="23455" xr:uid="{CA8A5BCC-49F2-4D83-BA17-51466FD7E0B0}"/>
    <cellStyle name="20% - Accent1 2 2 7 3" xfId="10797" xr:uid="{01E2C735-1B46-456F-9836-1A598A5E39F9}"/>
    <cellStyle name="20% - Accent1 2 2 7 4" xfId="19238" xr:uid="{0831B349-1EC9-4BBA-BCD9-ED9712E935C7}"/>
    <cellStyle name="20% - Accent1 2 2 8" xfId="4507" xr:uid="{00000000-0005-0000-0000-00002A000000}"/>
    <cellStyle name="20% - Accent1 2 2 8 2" xfId="12949" xr:uid="{2BAB975B-C35E-451D-BB58-1223F1DC24C1}"/>
    <cellStyle name="20% - Accent1 2 2 8 3" xfId="21389" xr:uid="{E7C344BD-5157-43EC-A147-16E0F679AFF2}"/>
    <cellStyle name="20% - Accent1 2 2 9" xfId="8731" xr:uid="{827034A9-F119-43E2-92E1-70D8192A1F48}"/>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15510" xr:uid="{56B4CF77-3468-40B4-A472-A14647AF0FFB}"/>
    <cellStyle name="20% - Accent1 2 3 2 2 2 3" xfId="23950" xr:uid="{40652D10-5535-4AC4-B387-96BEE0A2A12E}"/>
    <cellStyle name="20% - Accent1 2 3 2 2 3" xfId="11292" xr:uid="{1DEC9632-E16F-4EE2-9149-A313C341B14D}"/>
    <cellStyle name="20% - Accent1 2 3 2 2 4" xfId="19733" xr:uid="{41830A96-6C84-4D81-9EA1-1018166E6A08}"/>
    <cellStyle name="20% - Accent1 2 3 2 3" xfId="4923" xr:uid="{00000000-0005-0000-0000-00002F000000}"/>
    <cellStyle name="20% - Accent1 2 3 2 3 2" xfId="13365" xr:uid="{A0D6E724-64A6-4A16-A40B-712D78D1BB68}"/>
    <cellStyle name="20% - Accent1 2 3 2 3 3" xfId="21805" xr:uid="{30FCEA6F-8C28-4E44-A35B-D22B1A72DBF3}"/>
    <cellStyle name="20% - Accent1 2 3 2 4" xfId="9147" xr:uid="{63DF4E91-ECA9-4C5F-8E63-5ACCFFEAD61D}"/>
    <cellStyle name="20% - Accent1 2 3 2 5" xfId="17588" xr:uid="{C5E9CE83-6386-44F8-9727-F9CB73A14F63}"/>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15923" xr:uid="{1A085FA4-434C-4A11-8C57-1F88BAEAB5AD}"/>
    <cellStyle name="20% - Accent1 2 3 3 2 2 3" xfId="24363" xr:uid="{F5BD7C3C-DF7B-46F3-959A-422CC90DCBEF}"/>
    <cellStyle name="20% - Accent1 2 3 3 2 3" xfId="11705" xr:uid="{78E80D98-2C9A-4201-9C60-866462A2EED1}"/>
    <cellStyle name="20% - Accent1 2 3 3 2 4" xfId="20146" xr:uid="{BB07F08C-D322-4FC1-AC7A-B993A32DBC4B}"/>
    <cellStyle name="20% - Accent1 2 3 3 3" xfId="5336" xr:uid="{00000000-0005-0000-0000-000033000000}"/>
    <cellStyle name="20% - Accent1 2 3 3 3 2" xfId="13778" xr:uid="{342B4483-0E49-4A7D-892E-656F221D9031}"/>
    <cellStyle name="20% - Accent1 2 3 3 3 3" xfId="22218" xr:uid="{70948BF9-8629-461E-B690-BF08555ACBA0}"/>
    <cellStyle name="20% - Accent1 2 3 3 4" xfId="9560" xr:uid="{4B939134-57AA-4CCC-9D0E-D7A1E07EBC15}"/>
    <cellStyle name="20% - Accent1 2 3 3 5" xfId="18001" xr:uid="{7238F903-A643-4DE9-813A-606CFA58A902}"/>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16336" xr:uid="{B94437C3-E582-441B-BB0F-CC15F81C1ABE}"/>
    <cellStyle name="20% - Accent1 2 3 4 2 2 3" xfId="24776" xr:uid="{6F6E80BE-85D3-478B-B2C5-32AF11133D3D}"/>
    <cellStyle name="20% - Accent1 2 3 4 2 3" xfId="12118" xr:uid="{5F330B30-60E0-40CA-A135-1377F8CC0C59}"/>
    <cellStyle name="20% - Accent1 2 3 4 2 4" xfId="20559" xr:uid="{E9621E35-205A-48C3-B1D8-6361C2A4006E}"/>
    <cellStyle name="20% - Accent1 2 3 4 3" xfId="5749" xr:uid="{00000000-0005-0000-0000-000037000000}"/>
    <cellStyle name="20% - Accent1 2 3 4 3 2" xfId="14191" xr:uid="{3667BC56-056E-46BE-A4F2-C5D090699897}"/>
    <cellStyle name="20% - Accent1 2 3 4 3 3" xfId="22631" xr:uid="{D35CC884-8624-454E-9927-EBCE19C2533E}"/>
    <cellStyle name="20% - Accent1 2 3 4 4" xfId="9973" xr:uid="{99CEE18E-43FA-4036-9F4E-557DD59E6911}"/>
    <cellStyle name="20% - Accent1 2 3 4 5" xfId="18414" xr:uid="{C09C9A2B-EB57-4AFC-8CBF-F41D7041332E}"/>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16749" xr:uid="{23AEABE9-36C5-4428-A2CD-056246DB754C}"/>
    <cellStyle name="20% - Accent1 2 3 5 2 2 3" xfId="25189" xr:uid="{81D107FF-3F24-45D8-B5A3-58490D5073CE}"/>
    <cellStyle name="20% - Accent1 2 3 5 2 3" xfId="12531" xr:uid="{07BC70A4-5550-4494-BA42-5648E017F2B1}"/>
    <cellStyle name="20% - Accent1 2 3 5 2 4" xfId="20972" xr:uid="{71205D72-F3C2-4614-BA72-7EF307ECF1D2}"/>
    <cellStyle name="20% - Accent1 2 3 5 3" xfId="6162" xr:uid="{00000000-0005-0000-0000-00003B000000}"/>
    <cellStyle name="20% - Accent1 2 3 5 3 2" xfId="14604" xr:uid="{35558BFA-FA9C-46BE-A3F4-487C422D5342}"/>
    <cellStyle name="20% - Accent1 2 3 5 3 3" xfId="23044" xr:uid="{86E62CE1-FEB5-41C3-B4AB-6723DA200FFF}"/>
    <cellStyle name="20% - Accent1 2 3 5 4" xfId="10386" xr:uid="{64727B30-23B6-41FF-A7F2-0C80E176B107}"/>
    <cellStyle name="20% - Accent1 2 3 5 5" xfId="18827" xr:uid="{AED47B0B-B8AB-4964-9217-B92A5D1C01AB}"/>
    <cellStyle name="20% - Accent1 2 3 6" xfId="2268" xr:uid="{00000000-0005-0000-0000-00003C000000}"/>
    <cellStyle name="20% - Accent1 2 3 6 2" xfId="6575" xr:uid="{00000000-0005-0000-0000-00003D000000}"/>
    <cellStyle name="20% - Accent1 2 3 6 2 2" xfId="15017" xr:uid="{EA1FE3F9-98D3-4404-87DF-B39A0415DA79}"/>
    <cellStyle name="20% - Accent1 2 3 6 2 3" xfId="23457" xr:uid="{0380FA98-F25C-4E21-8112-AF1BDCB56965}"/>
    <cellStyle name="20% - Accent1 2 3 6 3" xfId="10799" xr:uid="{4F780833-B272-4859-8792-EA5DB11ACB55}"/>
    <cellStyle name="20% - Accent1 2 3 6 4" xfId="19240" xr:uid="{7D165D5A-133D-44C9-8434-2FF448CB5461}"/>
    <cellStyle name="20% - Accent1 2 3 7" xfId="4509" xr:uid="{00000000-0005-0000-0000-00003E000000}"/>
    <cellStyle name="20% - Accent1 2 3 7 2" xfId="12951" xr:uid="{F9E84CB2-50FB-4BFD-B173-F0A231B6931D}"/>
    <cellStyle name="20% - Accent1 2 3 7 3" xfId="21391" xr:uid="{99FBAD65-6606-4E35-A8BB-5616B1FD537D}"/>
    <cellStyle name="20% - Accent1 2 3 8" xfId="8733" xr:uid="{C1811182-D35B-4129-A726-B3D53127D6A9}"/>
    <cellStyle name="20% - Accent1 2 3 9" xfId="17174" xr:uid="{DA020639-C28F-4FAF-9F7B-08A9213DDCBC}"/>
    <cellStyle name="20% - Accent1 2 4" xfId="571" xr:uid="{00000000-0005-0000-0000-00003F000000}"/>
    <cellStyle name="20% - Accent1 2 4 2" xfId="2842" xr:uid="{00000000-0005-0000-0000-000040000000}"/>
    <cellStyle name="20% - Accent1 2 4 2 2" xfId="7065" xr:uid="{00000000-0005-0000-0000-000041000000}"/>
    <cellStyle name="20% - Accent1 2 4 2 2 2" xfId="15507" xr:uid="{0F97D531-0D07-4D4E-AFC3-96227F0A6F01}"/>
    <cellStyle name="20% - Accent1 2 4 2 2 3" xfId="23947" xr:uid="{6FED349D-9BAC-400A-BBB6-A6666ADF1E08}"/>
    <cellStyle name="20% - Accent1 2 4 2 3" xfId="11289" xr:uid="{5FD5A6B0-F75A-4685-B0E8-38F63B3B1870}"/>
    <cellStyle name="20% - Accent1 2 4 2 4" xfId="19730" xr:uid="{488BC020-5ACE-492E-8E16-66AE6D16FBD4}"/>
    <cellStyle name="20% - Accent1 2 4 3" xfId="4920" xr:uid="{00000000-0005-0000-0000-000042000000}"/>
    <cellStyle name="20% - Accent1 2 4 3 2" xfId="13362" xr:uid="{ED964794-A1FA-4A03-97FA-971A0FCCD523}"/>
    <cellStyle name="20% - Accent1 2 4 3 3" xfId="21802" xr:uid="{95C15C58-4FA4-4389-9596-A9E8B4BEE400}"/>
    <cellStyle name="20% - Accent1 2 4 4" xfId="9144" xr:uid="{08E3493D-3A4F-475F-9EBA-A20BA02C5D84}"/>
    <cellStyle name="20% - Accent1 2 4 5" xfId="17585" xr:uid="{32691939-5610-4BB4-9657-75E60D5531B4}"/>
    <cellStyle name="20% - Accent1 2 5" xfId="1024" xr:uid="{00000000-0005-0000-0000-000043000000}"/>
    <cellStyle name="20% - Accent1 2 5 2" xfId="3255" xr:uid="{00000000-0005-0000-0000-000044000000}"/>
    <cellStyle name="20% - Accent1 2 5 2 2" xfId="7478" xr:uid="{00000000-0005-0000-0000-000045000000}"/>
    <cellStyle name="20% - Accent1 2 5 2 2 2" xfId="15920" xr:uid="{1A6A0DCF-BEB0-4C7B-91BE-D163F18518F7}"/>
    <cellStyle name="20% - Accent1 2 5 2 2 3" xfId="24360" xr:uid="{ADD00886-D144-49FA-93CC-9BF2E2F28F4F}"/>
    <cellStyle name="20% - Accent1 2 5 2 3" xfId="11702" xr:uid="{F643603B-FA1B-41C9-9351-C62D1BC090AA}"/>
    <cellStyle name="20% - Accent1 2 5 2 4" xfId="20143" xr:uid="{E3C770DE-C82C-4845-A8D9-6A017DCA10D0}"/>
    <cellStyle name="20% - Accent1 2 5 3" xfId="5333" xr:uid="{00000000-0005-0000-0000-000046000000}"/>
    <cellStyle name="20% - Accent1 2 5 3 2" xfId="13775" xr:uid="{E712685E-4A5C-4B02-BD45-04F026D6C33C}"/>
    <cellStyle name="20% - Accent1 2 5 3 3" xfId="22215" xr:uid="{A8516F85-3C0C-4DF0-A1A5-9B343AD1FE64}"/>
    <cellStyle name="20% - Accent1 2 5 4" xfId="9557" xr:uid="{E9C72BCD-35D0-4697-9D89-AA0E961E507A}"/>
    <cellStyle name="20% - Accent1 2 5 5" xfId="17998" xr:uid="{ECA505AC-8CD8-46CE-A408-D4F73D7EE8B9}"/>
    <cellStyle name="20% - Accent1 2 6" xfId="1438" xr:uid="{00000000-0005-0000-0000-000047000000}"/>
    <cellStyle name="20% - Accent1 2 6 2" xfId="3668" xr:uid="{00000000-0005-0000-0000-000048000000}"/>
    <cellStyle name="20% - Accent1 2 6 2 2" xfId="7891" xr:uid="{00000000-0005-0000-0000-000049000000}"/>
    <cellStyle name="20% - Accent1 2 6 2 2 2" xfId="16333" xr:uid="{E58F75F9-B8A7-4CFD-8A76-AAB66B3A82ED}"/>
    <cellStyle name="20% - Accent1 2 6 2 2 3" xfId="24773" xr:uid="{F0E9ED5D-09E6-49AF-AB62-917EF6EAC57A}"/>
    <cellStyle name="20% - Accent1 2 6 2 3" xfId="12115" xr:uid="{C14DC1E2-6009-480F-9854-7FFF7AA321C4}"/>
    <cellStyle name="20% - Accent1 2 6 2 4" xfId="20556" xr:uid="{EE130C00-C378-4BF6-9126-8DD0CE5DA6CE}"/>
    <cellStyle name="20% - Accent1 2 6 3" xfId="5746" xr:uid="{00000000-0005-0000-0000-00004A000000}"/>
    <cellStyle name="20% - Accent1 2 6 3 2" xfId="14188" xr:uid="{544A19FE-C4BB-4543-AE28-FFFDC555DFD0}"/>
    <cellStyle name="20% - Accent1 2 6 3 3" xfId="22628" xr:uid="{7ED18063-4DF8-4A06-AC69-6285F3BAEDD1}"/>
    <cellStyle name="20% - Accent1 2 6 4" xfId="9970" xr:uid="{7C7A80AB-26AE-4310-BF2D-0AB536172432}"/>
    <cellStyle name="20% - Accent1 2 6 5" xfId="18411" xr:uid="{6D5DE3CA-6CB4-40B8-8C3C-91B53B63E74F}"/>
    <cellStyle name="20% - Accent1 2 7" xfId="1852" xr:uid="{00000000-0005-0000-0000-00004B000000}"/>
    <cellStyle name="20% - Accent1 2 7 2" xfId="4081" xr:uid="{00000000-0005-0000-0000-00004C000000}"/>
    <cellStyle name="20% - Accent1 2 7 2 2" xfId="8304" xr:uid="{00000000-0005-0000-0000-00004D000000}"/>
    <cellStyle name="20% - Accent1 2 7 2 2 2" xfId="16746" xr:uid="{CA22A17B-BCC1-4829-94E7-2C29716E4482}"/>
    <cellStyle name="20% - Accent1 2 7 2 2 3" xfId="25186" xr:uid="{91D095BB-F335-4E7B-95BD-38486BB30CB1}"/>
    <cellStyle name="20% - Accent1 2 7 2 3" xfId="12528" xr:uid="{47EB70C5-A7C1-4FDB-8596-F9B402F1A599}"/>
    <cellStyle name="20% - Accent1 2 7 2 4" xfId="20969" xr:uid="{34220C04-7D76-4050-9FAF-5701F35666E5}"/>
    <cellStyle name="20% - Accent1 2 7 3" xfId="6159" xr:uid="{00000000-0005-0000-0000-00004E000000}"/>
    <cellStyle name="20% - Accent1 2 7 3 2" xfId="14601" xr:uid="{9E912808-D3D8-418B-A7D5-E333F03618AA}"/>
    <cellStyle name="20% - Accent1 2 7 3 3" xfId="23041" xr:uid="{4062B9FA-E20B-4E85-9514-92FA85096EF5}"/>
    <cellStyle name="20% - Accent1 2 7 4" xfId="10383" xr:uid="{E8916AC1-7E14-4343-90BE-618E20BAD109}"/>
    <cellStyle name="20% - Accent1 2 7 5" xfId="18824" xr:uid="{1976118C-6AA0-4DAD-806E-1AD95FB7198E}"/>
    <cellStyle name="20% - Accent1 2 8" xfId="2265" xr:uid="{00000000-0005-0000-0000-00004F000000}"/>
    <cellStyle name="20% - Accent1 2 8 2" xfId="6572" xr:uid="{00000000-0005-0000-0000-000050000000}"/>
    <cellStyle name="20% - Accent1 2 8 2 2" xfId="15014" xr:uid="{3FE82445-2A57-4277-AC09-D2C52D3EA49D}"/>
    <cellStyle name="20% - Accent1 2 8 2 3" xfId="23454" xr:uid="{37C09BD9-4A91-439A-9BED-B1B1E7D0FD8B}"/>
    <cellStyle name="20% - Accent1 2 8 3" xfId="10796" xr:uid="{9C666B6D-2D2E-4779-BA63-C8C84BC1B4B2}"/>
    <cellStyle name="20% - Accent1 2 8 4" xfId="19237" xr:uid="{5E7F7471-38E2-4AE7-90A9-52A218861B83}"/>
    <cellStyle name="20% - Accent1 2 9" xfId="4506" xr:uid="{00000000-0005-0000-0000-000051000000}"/>
    <cellStyle name="20% - Accent1 2 9 2" xfId="12948" xr:uid="{6EA1E910-1CB2-4F62-902A-4F4B4FF36B82}"/>
    <cellStyle name="20% - Accent1 2 9 3" xfId="21388" xr:uid="{6A9B3942-294D-49E2-A71E-76B353B995C9}"/>
    <cellStyle name="20% - Accent1 3" xfId="6" xr:uid="{00000000-0005-0000-0000-000052000000}"/>
    <cellStyle name="20% - Accent1 3 10" xfId="17175" xr:uid="{828E7544-DB15-4338-993C-657E27CF0998}"/>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15512" xr:uid="{41848E26-9D62-4B0C-92DC-AC7F36A6CFAC}"/>
    <cellStyle name="20% - Accent1 3 2 2 2 2 3" xfId="23952" xr:uid="{97A1619C-92DE-4047-87D1-DF162F1EED7C}"/>
    <cellStyle name="20% - Accent1 3 2 2 2 3" xfId="11294" xr:uid="{AE2C566E-F990-41C1-A334-0A91669139E3}"/>
    <cellStyle name="20% - Accent1 3 2 2 2 4" xfId="19735" xr:uid="{7E64D7DC-3507-4463-B76E-A23F17FE4641}"/>
    <cellStyle name="20% - Accent1 3 2 2 3" xfId="4925" xr:uid="{00000000-0005-0000-0000-000057000000}"/>
    <cellStyle name="20% - Accent1 3 2 2 3 2" xfId="13367" xr:uid="{B9BE8567-EFCB-4A77-A80A-A5B7681436C9}"/>
    <cellStyle name="20% - Accent1 3 2 2 3 3" xfId="21807" xr:uid="{84B72DC1-3E6D-457A-B6CE-F78BEF020E23}"/>
    <cellStyle name="20% - Accent1 3 2 2 4" xfId="9149" xr:uid="{FE04AA38-F0A2-4F7C-A87C-B93E6022CADC}"/>
    <cellStyle name="20% - Accent1 3 2 2 5" xfId="17590" xr:uid="{E1FEE472-1CD4-43A1-93F4-9AAEF670E73E}"/>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15925" xr:uid="{4EF574AA-6342-49B8-9FD7-9CD50D8EC164}"/>
    <cellStyle name="20% - Accent1 3 2 3 2 2 3" xfId="24365" xr:uid="{318833EE-B76E-4F94-9EA0-E6112D24047E}"/>
    <cellStyle name="20% - Accent1 3 2 3 2 3" xfId="11707" xr:uid="{657C11DD-4AB7-425F-8675-FCC9B72CE754}"/>
    <cellStyle name="20% - Accent1 3 2 3 2 4" xfId="20148" xr:uid="{4B2F254A-8F79-49CD-B89A-228707509D9E}"/>
    <cellStyle name="20% - Accent1 3 2 3 3" xfId="5338" xr:uid="{00000000-0005-0000-0000-00005B000000}"/>
    <cellStyle name="20% - Accent1 3 2 3 3 2" xfId="13780" xr:uid="{29CEF3D0-431A-40A4-A7D9-5217C72AFC47}"/>
    <cellStyle name="20% - Accent1 3 2 3 3 3" xfId="22220" xr:uid="{054B77CB-D851-46C5-8088-F4AB72839905}"/>
    <cellStyle name="20% - Accent1 3 2 3 4" xfId="9562" xr:uid="{59E06F82-6F92-4E1E-B6B9-B04119C48DD7}"/>
    <cellStyle name="20% - Accent1 3 2 3 5" xfId="18003" xr:uid="{F4AADC8E-1636-480B-B2BC-F4C99BC953D8}"/>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16338" xr:uid="{694DFBCD-C6B9-47C2-81DA-2B691812FA4C}"/>
    <cellStyle name="20% - Accent1 3 2 4 2 2 3" xfId="24778" xr:uid="{89A1DAF8-203B-4777-9970-F11DBA877121}"/>
    <cellStyle name="20% - Accent1 3 2 4 2 3" xfId="12120" xr:uid="{A1DE0429-5653-4810-B457-DABDB26FDC2F}"/>
    <cellStyle name="20% - Accent1 3 2 4 2 4" xfId="20561" xr:uid="{AFD7BF19-85CE-4898-8688-73394B1BEB18}"/>
    <cellStyle name="20% - Accent1 3 2 4 3" xfId="5751" xr:uid="{00000000-0005-0000-0000-00005F000000}"/>
    <cellStyle name="20% - Accent1 3 2 4 3 2" xfId="14193" xr:uid="{D30644E9-5490-4C10-9FBC-2A993CC43395}"/>
    <cellStyle name="20% - Accent1 3 2 4 3 3" xfId="22633" xr:uid="{C4D81A99-1DB9-442F-A708-7EAC71ADC9F1}"/>
    <cellStyle name="20% - Accent1 3 2 4 4" xfId="9975" xr:uid="{6F20CE3E-70C8-494C-844E-C46DF199C3B1}"/>
    <cellStyle name="20% - Accent1 3 2 4 5" xfId="18416" xr:uid="{D1941C22-8F1A-4293-B9E6-4482460B699D}"/>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16751" xr:uid="{CB279927-CCD3-4D35-A8B6-BED2AC3E0446}"/>
    <cellStyle name="20% - Accent1 3 2 5 2 2 3" xfId="25191" xr:uid="{DBF159E3-E644-448D-8EFD-1C02A6FEA219}"/>
    <cellStyle name="20% - Accent1 3 2 5 2 3" xfId="12533" xr:uid="{E6EE5DA9-D073-4002-9D17-E05CA4A875D3}"/>
    <cellStyle name="20% - Accent1 3 2 5 2 4" xfId="20974" xr:uid="{D8EF37C5-1FF3-497F-A82C-BC3CFB1965A6}"/>
    <cellStyle name="20% - Accent1 3 2 5 3" xfId="6164" xr:uid="{00000000-0005-0000-0000-000063000000}"/>
    <cellStyle name="20% - Accent1 3 2 5 3 2" xfId="14606" xr:uid="{A373719B-7DCB-48C4-9DC7-22B02B8D3CF6}"/>
    <cellStyle name="20% - Accent1 3 2 5 3 3" xfId="23046" xr:uid="{7D0003C8-F60B-4E41-A34A-25BE3D558E52}"/>
    <cellStyle name="20% - Accent1 3 2 5 4" xfId="10388" xr:uid="{0005AD85-C2B4-45BA-843F-B1662FEF532E}"/>
    <cellStyle name="20% - Accent1 3 2 5 5" xfId="18829" xr:uid="{9CACD887-D9E1-4180-B26B-3EBF176A444E}"/>
    <cellStyle name="20% - Accent1 3 2 6" xfId="2270" xr:uid="{00000000-0005-0000-0000-000064000000}"/>
    <cellStyle name="20% - Accent1 3 2 6 2" xfId="6577" xr:uid="{00000000-0005-0000-0000-000065000000}"/>
    <cellStyle name="20% - Accent1 3 2 6 2 2" xfId="15019" xr:uid="{92A16314-4F83-4696-8C58-122F09B478EE}"/>
    <cellStyle name="20% - Accent1 3 2 6 2 3" xfId="23459" xr:uid="{15889345-CD49-4899-990F-5688FE6F078A}"/>
    <cellStyle name="20% - Accent1 3 2 6 3" xfId="10801" xr:uid="{9D6590CF-FA56-48AD-A3E4-011E22E70823}"/>
    <cellStyle name="20% - Accent1 3 2 6 4" xfId="19242" xr:uid="{FEF27949-4128-454D-8DF7-08695C6FD17E}"/>
    <cellStyle name="20% - Accent1 3 2 7" xfId="4511" xr:uid="{00000000-0005-0000-0000-000066000000}"/>
    <cellStyle name="20% - Accent1 3 2 7 2" xfId="12953" xr:uid="{6100CADF-E358-46C4-8475-A06805BB9570}"/>
    <cellStyle name="20% - Accent1 3 2 7 3" xfId="21393" xr:uid="{2E1B42CB-07A5-4812-81D1-27FCFCD1925F}"/>
    <cellStyle name="20% - Accent1 3 2 8" xfId="8735" xr:uid="{158A3B67-2656-40E4-817B-115D51FE9E3C}"/>
    <cellStyle name="20% - Accent1 3 2 9" xfId="17176" xr:uid="{A7036A07-713F-4679-9AAE-AFF2C2912591}"/>
    <cellStyle name="20% - Accent1 3 3" xfId="575" xr:uid="{00000000-0005-0000-0000-000067000000}"/>
    <cellStyle name="20% - Accent1 3 3 2" xfId="2846" xr:uid="{00000000-0005-0000-0000-000068000000}"/>
    <cellStyle name="20% - Accent1 3 3 2 2" xfId="7069" xr:uid="{00000000-0005-0000-0000-000069000000}"/>
    <cellStyle name="20% - Accent1 3 3 2 2 2" xfId="15511" xr:uid="{FC877657-FA66-40B2-A897-FED28F779DE3}"/>
    <cellStyle name="20% - Accent1 3 3 2 2 3" xfId="23951" xr:uid="{C46CB986-86F1-4828-B33E-BEAEF94716C7}"/>
    <cellStyle name="20% - Accent1 3 3 2 3" xfId="11293" xr:uid="{330DE092-FA9F-4B4A-AC4B-BB3B532C74D5}"/>
    <cellStyle name="20% - Accent1 3 3 2 4" xfId="19734" xr:uid="{0D3619AE-4F32-4DE8-9D35-1765D7CCB94F}"/>
    <cellStyle name="20% - Accent1 3 3 3" xfId="4924" xr:uid="{00000000-0005-0000-0000-00006A000000}"/>
    <cellStyle name="20% - Accent1 3 3 3 2" xfId="13366" xr:uid="{283543A1-36F7-4999-8CF3-F539B7F652DA}"/>
    <cellStyle name="20% - Accent1 3 3 3 3" xfId="21806" xr:uid="{E11AB7CF-0802-4DB2-B2A1-FA19C216894C}"/>
    <cellStyle name="20% - Accent1 3 3 4" xfId="9148" xr:uid="{D056C6A5-2C4E-47CF-B5D6-1EE0CFF242E6}"/>
    <cellStyle name="20% - Accent1 3 3 5" xfId="17589" xr:uid="{D00F1B81-069B-439A-AF10-01222B771E96}"/>
    <cellStyle name="20% - Accent1 3 4" xfId="1028" xr:uid="{00000000-0005-0000-0000-00006B000000}"/>
    <cellStyle name="20% - Accent1 3 4 2" xfId="3259" xr:uid="{00000000-0005-0000-0000-00006C000000}"/>
    <cellStyle name="20% - Accent1 3 4 2 2" xfId="7482" xr:uid="{00000000-0005-0000-0000-00006D000000}"/>
    <cellStyle name="20% - Accent1 3 4 2 2 2" xfId="15924" xr:uid="{4961AA23-148A-4D5A-93F8-1ED4E2AD664C}"/>
    <cellStyle name="20% - Accent1 3 4 2 2 3" xfId="24364" xr:uid="{8CC32838-B690-4FBD-9DD0-1002DFDC3601}"/>
    <cellStyle name="20% - Accent1 3 4 2 3" xfId="11706" xr:uid="{F679A820-1860-49C0-A224-456BB9B0F701}"/>
    <cellStyle name="20% - Accent1 3 4 2 4" xfId="20147" xr:uid="{7F49571E-00B0-43BE-9858-3F3152AA29A9}"/>
    <cellStyle name="20% - Accent1 3 4 3" xfId="5337" xr:uid="{00000000-0005-0000-0000-00006E000000}"/>
    <cellStyle name="20% - Accent1 3 4 3 2" xfId="13779" xr:uid="{F9EA55F7-A8A1-490E-87EF-D0716CF46145}"/>
    <cellStyle name="20% - Accent1 3 4 3 3" xfId="22219" xr:uid="{6AE1284C-BD77-4244-B174-78E7D94EBD45}"/>
    <cellStyle name="20% - Accent1 3 4 4" xfId="9561" xr:uid="{22241B70-77B6-48AA-B90A-85E8BD5CA262}"/>
    <cellStyle name="20% - Accent1 3 4 5" xfId="18002" xr:uid="{68C9B7F5-3C29-4538-BDE5-30CBCC9B02BB}"/>
    <cellStyle name="20% - Accent1 3 5" xfId="1442" xr:uid="{00000000-0005-0000-0000-00006F000000}"/>
    <cellStyle name="20% - Accent1 3 5 2" xfId="3672" xr:uid="{00000000-0005-0000-0000-000070000000}"/>
    <cellStyle name="20% - Accent1 3 5 2 2" xfId="7895" xr:uid="{00000000-0005-0000-0000-000071000000}"/>
    <cellStyle name="20% - Accent1 3 5 2 2 2" xfId="16337" xr:uid="{FCFAAA37-285E-44F4-ABB5-E639995F68D4}"/>
    <cellStyle name="20% - Accent1 3 5 2 2 3" xfId="24777" xr:uid="{9E77BA7E-A840-4819-B45A-F4ED6361C687}"/>
    <cellStyle name="20% - Accent1 3 5 2 3" xfId="12119" xr:uid="{F279E944-64DA-41F5-9C92-89966FFBADC5}"/>
    <cellStyle name="20% - Accent1 3 5 2 4" xfId="20560" xr:uid="{86815C5B-3EEE-41D0-B704-BAF974EBCB05}"/>
    <cellStyle name="20% - Accent1 3 5 3" xfId="5750" xr:uid="{00000000-0005-0000-0000-000072000000}"/>
    <cellStyle name="20% - Accent1 3 5 3 2" xfId="14192" xr:uid="{FD241205-ABA2-4F0D-A463-B62E9238A568}"/>
    <cellStyle name="20% - Accent1 3 5 3 3" xfId="22632" xr:uid="{511EF070-BABC-425D-9AF7-AA5BA3157700}"/>
    <cellStyle name="20% - Accent1 3 5 4" xfId="9974" xr:uid="{F8F29576-FA78-4A6E-A091-53FD95C9D312}"/>
    <cellStyle name="20% - Accent1 3 5 5" xfId="18415" xr:uid="{545DB29D-23A6-45A5-8DAC-538F378D3F63}"/>
    <cellStyle name="20% - Accent1 3 6" xfId="1856" xr:uid="{00000000-0005-0000-0000-000073000000}"/>
    <cellStyle name="20% - Accent1 3 6 2" xfId="4085" xr:uid="{00000000-0005-0000-0000-000074000000}"/>
    <cellStyle name="20% - Accent1 3 6 2 2" xfId="8308" xr:uid="{00000000-0005-0000-0000-000075000000}"/>
    <cellStyle name="20% - Accent1 3 6 2 2 2" xfId="16750" xr:uid="{2FA00DB0-DDCB-40FC-9172-D88F2224C3F9}"/>
    <cellStyle name="20% - Accent1 3 6 2 2 3" xfId="25190" xr:uid="{B648AE29-24CC-4491-BB85-CDD74AAE6FFC}"/>
    <cellStyle name="20% - Accent1 3 6 2 3" xfId="12532" xr:uid="{2125AB70-9716-41E2-9171-B16B0E17068B}"/>
    <cellStyle name="20% - Accent1 3 6 2 4" xfId="20973" xr:uid="{9CCE160A-A709-47B2-BB02-74B2CD51D4B6}"/>
    <cellStyle name="20% - Accent1 3 6 3" xfId="6163" xr:uid="{00000000-0005-0000-0000-000076000000}"/>
    <cellStyle name="20% - Accent1 3 6 3 2" xfId="14605" xr:uid="{4C642A64-2EA0-45CC-BA81-98A50CED7737}"/>
    <cellStyle name="20% - Accent1 3 6 3 3" xfId="23045" xr:uid="{26A56D84-AB48-4BA4-BE19-AFDD55C7C523}"/>
    <cellStyle name="20% - Accent1 3 6 4" xfId="10387" xr:uid="{2B33E057-B6FB-4294-8FAE-B18BC23BDF38}"/>
    <cellStyle name="20% - Accent1 3 6 5" xfId="18828" xr:uid="{E7604564-24E3-4499-8957-E48B984AB7CF}"/>
    <cellStyle name="20% - Accent1 3 7" xfId="2269" xr:uid="{00000000-0005-0000-0000-000077000000}"/>
    <cellStyle name="20% - Accent1 3 7 2" xfId="6576" xr:uid="{00000000-0005-0000-0000-000078000000}"/>
    <cellStyle name="20% - Accent1 3 7 2 2" xfId="15018" xr:uid="{3E24D1E3-857D-4024-A9D2-E9BD8BD03F64}"/>
    <cellStyle name="20% - Accent1 3 7 2 3" xfId="23458" xr:uid="{7372B14C-DBB6-44B7-BC05-EA9AA5238457}"/>
    <cellStyle name="20% - Accent1 3 7 3" xfId="10800" xr:uid="{F3C63D46-9C2A-4FA0-B8D7-4BD68E7C1EFD}"/>
    <cellStyle name="20% - Accent1 3 7 4" xfId="19241" xr:uid="{518403EA-34A7-49AE-BDDB-8294B30DAE7F}"/>
    <cellStyle name="20% - Accent1 3 8" xfId="4510" xr:uid="{00000000-0005-0000-0000-000079000000}"/>
    <cellStyle name="20% - Accent1 3 8 2" xfId="12952" xr:uid="{CB3706C6-814E-4231-AD1D-91E422449B19}"/>
    <cellStyle name="20% - Accent1 3 8 3" xfId="21392" xr:uid="{38713E36-648D-4DBB-B32D-8A273010AC8E}"/>
    <cellStyle name="20% - Accent1 3 9" xfId="8734" xr:uid="{9058983B-F0F5-451E-AAC3-205F0CB7D67A}"/>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2 2 2" xfId="15513" xr:uid="{5B9CFA56-29EE-4087-B44D-FC8D2ED3772F}"/>
    <cellStyle name="20% - Accent1 4 2 2 2 3" xfId="23953" xr:uid="{DC10B6AA-7FA1-4E75-81A0-087CE810E2D2}"/>
    <cellStyle name="20% - Accent1 4 2 2 3" xfId="11295" xr:uid="{EA5AF365-B667-4C0D-8E77-2049CF5E982C}"/>
    <cellStyle name="20% - Accent1 4 2 2 4" xfId="19736" xr:uid="{2799DA5F-D230-42AE-A62C-E7DC33349BA0}"/>
    <cellStyle name="20% - Accent1 4 2 3" xfId="4926" xr:uid="{00000000-0005-0000-0000-00007E000000}"/>
    <cellStyle name="20% - Accent1 4 2 3 2" xfId="13368" xr:uid="{E9991709-D7F1-4904-A666-42DCCE113C5E}"/>
    <cellStyle name="20% - Accent1 4 2 3 3" xfId="21808" xr:uid="{E5365423-17EC-4272-86C9-7D4FCB0F9F4B}"/>
    <cellStyle name="20% - Accent1 4 2 4" xfId="9150" xr:uid="{9C2004F5-6396-47F2-8967-91BE0E2CF20D}"/>
    <cellStyle name="20% - Accent1 4 2 5" xfId="17591" xr:uid="{537149D9-FDE8-4F1A-B366-59EF9C123905}"/>
    <cellStyle name="20% - Accent1 4 3" xfId="1030" xr:uid="{00000000-0005-0000-0000-00007F000000}"/>
    <cellStyle name="20% - Accent1 4 3 2" xfId="3261" xr:uid="{00000000-0005-0000-0000-000080000000}"/>
    <cellStyle name="20% - Accent1 4 3 2 2" xfId="7484" xr:uid="{00000000-0005-0000-0000-000081000000}"/>
    <cellStyle name="20% - Accent1 4 3 2 2 2" xfId="15926" xr:uid="{BAF5D867-1B79-4BC4-8A99-284CD1D60CF9}"/>
    <cellStyle name="20% - Accent1 4 3 2 2 3" xfId="24366" xr:uid="{ACAF190D-ED2C-485E-9BE8-76AEA6B4F5B0}"/>
    <cellStyle name="20% - Accent1 4 3 2 3" xfId="11708" xr:uid="{41D4DE05-0243-459F-8897-43317B87ADDA}"/>
    <cellStyle name="20% - Accent1 4 3 2 4" xfId="20149" xr:uid="{BC028C0F-38DA-444D-90DD-D83094C7B1FB}"/>
    <cellStyle name="20% - Accent1 4 3 3" xfId="5339" xr:uid="{00000000-0005-0000-0000-000082000000}"/>
    <cellStyle name="20% - Accent1 4 3 3 2" xfId="13781" xr:uid="{EFE1E9ED-BE5C-45D3-8B3E-27A3006FA4BE}"/>
    <cellStyle name="20% - Accent1 4 3 3 3" xfId="22221" xr:uid="{B3CCB860-A6E8-45CC-9A19-E05CC48631B3}"/>
    <cellStyle name="20% - Accent1 4 3 4" xfId="9563" xr:uid="{94F3A17D-6229-4290-AAC9-F879DFD03DFA}"/>
    <cellStyle name="20% - Accent1 4 3 5" xfId="18004" xr:uid="{951E84DF-BE9A-482D-A1F8-F998A37ECCD1}"/>
    <cellStyle name="20% - Accent1 4 4" xfId="1444" xr:uid="{00000000-0005-0000-0000-000083000000}"/>
    <cellStyle name="20% - Accent1 4 4 2" xfId="3674" xr:uid="{00000000-0005-0000-0000-000084000000}"/>
    <cellStyle name="20% - Accent1 4 4 2 2" xfId="7897" xr:uid="{00000000-0005-0000-0000-000085000000}"/>
    <cellStyle name="20% - Accent1 4 4 2 2 2" xfId="16339" xr:uid="{AAFE126F-784F-4D3F-B22C-0991EEF09306}"/>
    <cellStyle name="20% - Accent1 4 4 2 2 3" xfId="24779" xr:uid="{8BD78EA1-1178-40D4-AAE0-95A546A1586E}"/>
    <cellStyle name="20% - Accent1 4 4 2 3" xfId="12121" xr:uid="{E85D03DA-40C8-4238-B379-BE394D8E430F}"/>
    <cellStyle name="20% - Accent1 4 4 2 4" xfId="20562" xr:uid="{4A2C84A8-F033-4726-9BBD-D6358B39805D}"/>
    <cellStyle name="20% - Accent1 4 4 3" xfId="5752" xr:uid="{00000000-0005-0000-0000-000086000000}"/>
    <cellStyle name="20% - Accent1 4 4 3 2" xfId="14194" xr:uid="{B9C0A66B-5C71-4626-8F4D-A1BE510A64CE}"/>
    <cellStyle name="20% - Accent1 4 4 3 3" xfId="22634" xr:uid="{A7B7C9B7-5CE4-4652-822C-EC8BF926AB37}"/>
    <cellStyle name="20% - Accent1 4 4 4" xfId="9976" xr:uid="{40C9D010-02D3-4BCC-AC9A-C7D23826CD91}"/>
    <cellStyle name="20% - Accent1 4 4 5" xfId="18417" xr:uid="{D02AA2C7-5FEC-41AF-A056-06CE00A40109}"/>
    <cellStyle name="20% - Accent1 4 5" xfId="1858" xr:uid="{00000000-0005-0000-0000-000087000000}"/>
    <cellStyle name="20% - Accent1 4 5 2" xfId="4087" xr:uid="{00000000-0005-0000-0000-000088000000}"/>
    <cellStyle name="20% - Accent1 4 5 2 2" xfId="8310" xr:uid="{00000000-0005-0000-0000-000089000000}"/>
    <cellStyle name="20% - Accent1 4 5 2 2 2" xfId="16752" xr:uid="{27E86353-DC41-42DD-8465-53EC8A493644}"/>
    <cellStyle name="20% - Accent1 4 5 2 2 3" xfId="25192" xr:uid="{3BF334EB-9C6F-4677-8351-478B245E18A6}"/>
    <cellStyle name="20% - Accent1 4 5 2 3" xfId="12534" xr:uid="{C750E5A1-D694-44AC-A607-D3F4DEC69A5A}"/>
    <cellStyle name="20% - Accent1 4 5 2 4" xfId="20975" xr:uid="{F7CF4140-5B4E-4A2E-A232-FCC9F500B6D8}"/>
    <cellStyle name="20% - Accent1 4 5 3" xfId="6165" xr:uid="{00000000-0005-0000-0000-00008A000000}"/>
    <cellStyle name="20% - Accent1 4 5 3 2" xfId="14607" xr:uid="{83F7E188-7B87-4192-B165-B21E99058D8B}"/>
    <cellStyle name="20% - Accent1 4 5 3 3" xfId="23047" xr:uid="{32ED2194-32CC-4356-BE8F-46AA583E89F7}"/>
    <cellStyle name="20% - Accent1 4 5 4" xfId="10389" xr:uid="{3E673EA0-ADCF-4586-8453-7B644B39F7C8}"/>
    <cellStyle name="20% - Accent1 4 5 5" xfId="18830" xr:uid="{EF915A8F-D362-46A4-B34A-E7F76F792FCF}"/>
    <cellStyle name="20% - Accent1 4 6" xfId="2271" xr:uid="{00000000-0005-0000-0000-00008B000000}"/>
    <cellStyle name="20% - Accent1 4 6 2" xfId="6578" xr:uid="{00000000-0005-0000-0000-00008C000000}"/>
    <cellStyle name="20% - Accent1 4 6 2 2" xfId="15020" xr:uid="{F8B27D6B-A489-4F6E-8815-F02FB68DCC75}"/>
    <cellStyle name="20% - Accent1 4 6 2 3" xfId="23460" xr:uid="{42ED1169-AB7A-4570-9D1D-79952B9DF61B}"/>
    <cellStyle name="20% - Accent1 4 6 3" xfId="10802" xr:uid="{A0D6074D-6C5A-4558-9BAB-D2633AA421E4}"/>
    <cellStyle name="20% - Accent1 4 6 4" xfId="19243" xr:uid="{2793274A-2243-49B5-A8AE-42B6BF271491}"/>
    <cellStyle name="20% - Accent1 4 7" xfId="4512" xr:uid="{00000000-0005-0000-0000-00008D000000}"/>
    <cellStyle name="20% - Accent1 4 7 2" xfId="12954" xr:uid="{DD77AB1C-661A-4C4D-97B0-4C7195AB31F7}"/>
    <cellStyle name="20% - Accent1 4 7 3" xfId="21394" xr:uid="{87860CD6-06D7-4820-A1D0-095A17070559}"/>
    <cellStyle name="20% - Accent1 4 8" xfId="8736" xr:uid="{6BF5A467-0696-4038-A7C3-7E656F559B7B}"/>
    <cellStyle name="20% - Accent1 4 9" xfId="17177" xr:uid="{4B83878A-FD18-4C17-B364-87B66F1ADB58}"/>
    <cellStyle name="20% - Accent1 5" xfId="570" xr:uid="{00000000-0005-0000-0000-00008E000000}"/>
    <cellStyle name="20% - Accent1 5 2" xfId="2841" xr:uid="{00000000-0005-0000-0000-00008F000000}"/>
    <cellStyle name="20% - Accent1 5 2 2" xfId="7064" xr:uid="{00000000-0005-0000-0000-000090000000}"/>
    <cellStyle name="20% - Accent1 5 2 2 2" xfId="15506" xr:uid="{A7CA87BD-7289-44F4-BB35-F22DD5267CF7}"/>
    <cellStyle name="20% - Accent1 5 2 2 3" xfId="23946" xr:uid="{C9D9FDA0-E27B-457F-987C-2AB2BB0EEACC}"/>
    <cellStyle name="20% - Accent1 5 2 3" xfId="11288" xr:uid="{96A194D0-8092-4A2C-8942-067A4E23850D}"/>
    <cellStyle name="20% - Accent1 5 2 4" xfId="19729" xr:uid="{494E2471-FC57-4BB3-A9EE-D869DFC636B9}"/>
    <cellStyle name="20% - Accent1 5 3" xfId="4919" xr:uid="{00000000-0005-0000-0000-000091000000}"/>
    <cellStyle name="20% - Accent1 5 3 2" xfId="13361" xr:uid="{622C231D-0EDB-419E-A855-0A9DA893A2C1}"/>
    <cellStyle name="20% - Accent1 5 3 3" xfId="21801" xr:uid="{42F8C234-9408-4248-83BA-58E28BF32362}"/>
    <cellStyle name="20% - Accent1 5 4" xfId="9143" xr:uid="{C65B8992-F326-418C-A1D6-D8CDF0BAD627}"/>
    <cellStyle name="20% - Accent1 5 5" xfId="17584" xr:uid="{2914733A-26F7-4860-8A6C-9F09DE031B9D}"/>
    <cellStyle name="20% - Accent1 6" xfId="1023" xr:uid="{00000000-0005-0000-0000-000092000000}"/>
    <cellStyle name="20% - Accent1 6 2" xfId="3254" xr:uid="{00000000-0005-0000-0000-000093000000}"/>
    <cellStyle name="20% - Accent1 6 2 2" xfId="7477" xr:uid="{00000000-0005-0000-0000-000094000000}"/>
    <cellStyle name="20% - Accent1 6 2 2 2" xfId="15919" xr:uid="{B0AEE2AD-FFB4-40CE-AAB3-1917C1983C30}"/>
    <cellStyle name="20% - Accent1 6 2 2 3" xfId="24359" xr:uid="{F1681041-3071-4DCC-843C-A6921EF9BC42}"/>
    <cellStyle name="20% - Accent1 6 2 3" xfId="11701" xr:uid="{42BFC257-46F9-4AAC-A146-727B86E03FFC}"/>
    <cellStyle name="20% - Accent1 6 2 4" xfId="20142" xr:uid="{C6354C40-0CA5-43BC-A453-B4B89A92228E}"/>
    <cellStyle name="20% - Accent1 6 3" xfId="5332" xr:uid="{00000000-0005-0000-0000-000095000000}"/>
    <cellStyle name="20% - Accent1 6 3 2" xfId="13774" xr:uid="{785192F2-5BE6-40DA-8FD5-56C1A79847E7}"/>
    <cellStyle name="20% - Accent1 6 3 3" xfId="22214" xr:uid="{D6E4E9D2-03D6-401E-A0F6-D43834F3F578}"/>
    <cellStyle name="20% - Accent1 6 4" xfId="9556" xr:uid="{C760AC4F-0DEC-41CA-BA90-438667F9DE2B}"/>
    <cellStyle name="20% - Accent1 6 5" xfId="17997" xr:uid="{3352FF65-33F9-48C6-A80E-CE78F05AE8E1}"/>
    <cellStyle name="20% - Accent1 7" xfId="1437" xr:uid="{00000000-0005-0000-0000-000096000000}"/>
    <cellStyle name="20% - Accent1 7 2" xfId="3667" xr:uid="{00000000-0005-0000-0000-000097000000}"/>
    <cellStyle name="20% - Accent1 7 2 2" xfId="7890" xr:uid="{00000000-0005-0000-0000-000098000000}"/>
    <cellStyle name="20% - Accent1 7 2 2 2" xfId="16332" xr:uid="{32D07307-29FE-4435-BA3F-0FDA1E49549D}"/>
    <cellStyle name="20% - Accent1 7 2 2 3" xfId="24772" xr:uid="{02D95DE1-4F55-4B57-BAE8-380EF94C7CFC}"/>
    <cellStyle name="20% - Accent1 7 2 3" xfId="12114" xr:uid="{C774D009-C759-4AA8-8701-6255258AE578}"/>
    <cellStyle name="20% - Accent1 7 2 4" xfId="20555" xr:uid="{26F2348A-5153-4689-9470-EA33828E21BA}"/>
    <cellStyle name="20% - Accent1 7 3" xfId="5745" xr:uid="{00000000-0005-0000-0000-000099000000}"/>
    <cellStyle name="20% - Accent1 7 3 2" xfId="14187" xr:uid="{CF6B3C23-413D-4348-8628-71D0128FFD87}"/>
    <cellStyle name="20% - Accent1 7 3 3" xfId="22627" xr:uid="{293CEDD1-4B05-4398-955B-ECE0A7301C82}"/>
    <cellStyle name="20% - Accent1 7 4" xfId="9969" xr:uid="{82C43DB4-10DA-43F2-A545-F56F15557826}"/>
    <cellStyle name="20% - Accent1 7 5" xfId="18410" xr:uid="{4CE41EF6-AE8A-4649-B8C0-90CF43F52A7A}"/>
    <cellStyle name="20% - Accent1 8" xfId="1851" xr:uid="{00000000-0005-0000-0000-00009A000000}"/>
    <cellStyle name="20% - Accent1 8 2" xfId="4080" xr:uid="{00000000-0005-0000-0000-00009B000000}"/>
    <cellStyle name="20% - Accent1 8 2 2" xfId="8303" xr:uid="{00000000-0005-0000-0000-00009C000000}"/>
    <cellStyle name="20% - Accent1 8 2 2 2" xfId="16745" xr:uid="{1D75D290-15EC-4034-B892-08DBCA09573E}"/>
    <cellStyle name="20% - Accent1 8 2 2 3" xfId="25185" xr:uid="{FFA034F8-55AC-490F-BA72-640E89242943}"/>
    <cellStyle name="20% - Accent1 8 2 3" xfId="12527" xr:uid="{2EBDCC89-A72B-482D-BBBC-2A4A3B088060}"/>
    <cellStyle name="20% - Accent1 8 2 4" xfId="20968" xr:uid="{1B4BBC4B-269C-489D-BCA5-50592374C0E9}"/>
    <cellStyle name="20% - Accent1 8 3" xfId="6158" xr:uid="{00000000-0005-0000-0000-00009D000000}"/>
    <cellStyle name="20% - Accent1 8 3 2" xfId="14600" xr:uid="{8AC93774-F1E0-4E2B-A667-8B8AF4D6B160}"/>
    <cellStyle name="20% - Accent1 8 3 3" xfId="23040" xr:uid="{2114F1EE-E96F-4089-A39E-6841784664E1}"/>
    <cellStyle name="20% - Accent1 8 4" xfId="10382" xr:uid="{077BB730-D4B8-4255-963B-5CD213092D2C}"/>
    <cellStyle name="20% - Accent1 8 5" xfId="18823" xr:uid="{E7A70C7C-D81C-4654-884F-5552B21F3F12}"/>
    <cellStyle name="20% - Accent1 9" xfId="2264" xr:uid="{00000000-0005-0000-0000-00009E000000}"/>
    <cellStyle name="20% - Accent1 9 2" xfId="6571" xr:uid="{00000000-0005-0000-0000-00009F000000}"/>
    <cellStyle name="20% - Accent1 9 2 2" xfId="15013" xr:uid="{10F19B8D-7585-43F7-81A8-A2432CE3A33F}"/>
    <cellStyle name="20% - Accent1 9 2 3" xfId="23453" xr:uid="{79B025DB-7C36-42D7-B986-04DF68047A73}"/>
    <cellStyle name="20% - Accent1 9 3" xfId="10795" xr:uid="{D90102E1-C39C-49A0-832E-65DC5E4B9935}"/>
    <cellStyle name="20% - Accent1 9 4" xfId="19236" xr:uid="{C9F47374-0949-4239-98D5-8B3DAAC02986}"/>
    <cellStyle name="20% - Accent2" xfId="9" builtinId="34" customBuiltin="1"/>
    <cellStyle name="20% - Accent2 10" xfId="4513" xr:uid="{00000000-0005-0000-0000-0000A1000000}"/>
    <cellStyle name="20% - Accent2 10 2" xfId="12955" xr:uid="{A866D40F-4E9D-4517-950D-41C6E7ED2DD0}"/>
    <cellStyle name="20% - Accent2 10 3" xfId="21395" xr:uid="{C2739CBC-EA8F-4EEC-A802-D8FB9CFD78DC}"/>
    <cellStyle name="20% - Accent2 11" xfId="8737" xr:uid="{D299C7CA-8FBA-403E-B5B0-02EEF4A08DAE}"/>
    <cellStyle name="20% - Accent2 12" xfId="17178" xr:uid="{EB0695FF-C1C0-4379-B5C2-BAA57ADC9D7C}"/>
    <cellStyle name="20% - Accent2 2" xfId="10" xr:uid="{00000000-0005-0000-0000-0000A2000000}"/>
    <cellStyle name="20% - Accent2 2 10" xfId="8738" xr:uid="{409DD509-178A-488C-9266-A13FF4A79B61}"/>
    <cellStyle name="20% - Accent2 2 11" xfId="17179" xr:uid="{026A4378-402D-4EAA-8D91-6A43DD58E72E}"/>
    <cellStyle name="20% - Accent2 2 2" xfId="11" xr:uid="{00000000-0005-0000-0000-0000A3000000}"/>
    <cellStyle name="20% - Accent2 2 2 10" xfId="17180" xr:uid="{E1D94EAE-4143-45EB-928F-1ED0D84CA82E}"/>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15517" xr:uid="{57BEC40F-3F53-4012-AFCF-20CEC16A6BE2}"/>
    <cellStyle name="20% - Accent2 2 2 2 2 2 2 3" xfId="23957" xr:uid="{B984BDEB-9E92-4D3F-B656-3C4C4E57FFF0}"/>
    <cellStyle name="20% - Accent2 2 2 2 2 2 3" xfId="11299" xr:uid="{FC03AF6C-A5C5-41D5-9889-5715E66EF834}"/>
    <cellStyle name="20% - Accent2 2 2 2 2 2 4" xfId="19740" xr:uid="{7D03D812-B4C7-41A8-A8FE-7605C0BB0F8C}"/>
    <cellStyle name="20% - Accent2 2 2 2 2 3" xfId="4930" xr:uid="{00000000-0005-0000-0000-0000A8000000}"/>
    <cellStyle name="20% - Accent2 2 2 2 2 3 2" xfId="13372" xr:uid="{AD739B4B-17DE-4A5A-88DF-A0ED1C585774}"/>
    <cellStyle name="20% - Accent2 2 2 2 2 3 3" xfId="21812" xr:uid="{C2BF69D7-5968-4221-9A2C-D334092C01EB}"/>
    <cellStyle name="20% - Accent2 2 2 2 2 4" xfId="9154" xr:uid="{E3AE32BF-CCEC-4469-ABB3-B5FD8C5F9A54}"/>
    <cellStyle name="20% - Accent2 2 2 2 2 5" xfId="17595" xr:uid="{739553A9-B5F3-4542-A62C-AE730CB794E1}"/>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15930" xr:uid="{491AC1E8-8883-4CEA-B40A-C3BC4E9D9436}"/>
    <cellStyle name="20% - Accent2 2 2 2 3 2 2 3" xfId="24370" xr:uid="{C1262453-BEE4-48AA-B728-7C4742F612AC}"/>
    <cellStyle name="20% - Accent2 2 2 2 3 2 3" xfId="11712" xr:uid="{9C9C7C18-0263-42AB-AC5A-4D27F389B4AE}"/>
    <cellStyle name="20% - Accent2 2 2 2 3 2 4" xfId="20153" xr:uid="{6534A0E4-185F-48F8-9752-C5A7F3AC432B}"/>
    <cellStyle name="20% - Accent2 2 2 2 3 3" xfId="5343" xr:uid="{00000000-0005-0000-0000-0000AC000000}"/>
    <cellStyle name="20% - Accent2 2 2 2 3 3 2" xfId="13785" xr:uid="{FC822F85-62CA-4CB0-B8A2-62FAA06D6E87}"/>
    <cellStyle name="20% - Accent2 2 2 2 3 3 3" xfId="22225" xr:uid="{34675BFF-DF2F-4A94-B09E-4D0A1188CD2B}"/>
    <cellStyle name="20% - Accent2 2 2 2 3 4" xfId="9567" xr:uid="{DF15C4C2-C56F-4F31-97BD-25B1AF1B303C}"/>
    <cellStyle name="20% - Accent2 2 2 2 3 5" xfId="18008" xr:uid="{1758E5FC-D288-4A79-8A90-A956202F2C7D}"/>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16343" xr:uid="{4995BBEB-1A71-402D-B682-2FE294A07511}"/>
    <cellStyle name="20% - Accent2 2 2 2 4 2 2 3" xfId="24783" xr:uid="{3AE6FDE8-A69C-457A-A78F-B64D578D85E5}"/>
    <cellStyle name="20% - Accent2 2 2 2 4 2 3" xfId="12125" xr:uid="{AC4A035C-99BD-4764-9C9A-2BEAA1A5F60C}"/>
    <cellStyle name="20% - Accent2 2 2 2 4 2 4" xfId="20566" xr:uid="{23272102-38C1-459E-9265-2F8F8A7AC3E0}"/>
    <cellStyle name="20% - Accent2 2 2 2 4 3" xfId="5756" xr:uid="{00000000-0005-0000-0000-0000B0000000}"/>
    <cellStyle name="20% - Accent2 2 2 2 4 3 2" xfId="14198" xr:uid="{FC2A5D20-4A99-42E9-ADEB-8901F4D51E14}"/>
    <cellStyle name="20% - Accent2 2 2 2 4 3 3" xfId="22638" xr:uid="{D4E44177-BB01-4391-A11B-5E80B42CBEE2}"/>
    <cellStyle name="20% - Accent2 2 2 2 4 4" xfId="9980" xr:uid="{4EC0C051-74B0-46D9-80E9-6DE352BF30AE}"/>
    <cellStyle name="20% - Accent2 2 2 2 4 5" xfId="18421" xr:uid="{D083B6AE-BA84-4439-AE76-B130FBFE11F1}"/>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16756" xr:uid="{24B1EFA3-3B87-444A-8BC4-5EB95C92578A}"/>
    <cellStyle name="20% - Accent2 2 2 2 5 2 2 3" xfId="25196" xr:uid="{993B53B5-E4DC-4B31-9E19-B129A0DC4E3E}"/>
    <cellStyle name="20% - Accent2 2 2 2 5 2 3" xfId="12538" xr:uid="{4AB6F471-8035-42EF-AAB4-5186028D279C}"/>
    <cellStyle name="20% - Accent2 2 2 2 5 2 4" xfId="20979" xr:uid="{03D5C792-80F9-4C41-8B4B-132AD4DDD968}"/>
    <cellStyle name="20% - Accent2 2 2 2 5 3" xfId="6169" xr:uid="{00000000-0005-0000-0000-0000B4000000}"/>
    <cellStyle name="20% - Accent2 2 2 2 5 3 2" xfId="14611" xr:uid="{0BDB6B7D-9D99-44C5-AA12-EB1F4D6F3FEF}"/>
    <cellStyle name="20% - Accent2 2 2 2 5 3 3" xfId="23051" xr:uid="{25C91A51-229B-4B24-9B7A-54E051BFEE43}"/>
    <cellStyle name="20% - Accent2 2 2 2 5 4" xfId="10393" xr:uid="{ED61CBC4-8357-4646-99FB-C8B19FB27485}"/>
    <cellStyle name="20% - Accent2 2 2 2 5 5" xfId="18834" xr:uid="{FD03D81F-88B8-47E8-A900-1A39EEAFF52B}"/>
    <cellStyle name="20% - Accent2 2 2 2 6" xfId="2275" xr:uid="{00000000-0005-0000-0000-0000B5000000}"/>
    <cellStyle name="20% - Accent2 2 2 2 6 2" xfId="6582" xr:uid="{00000000-0005-0000-0000-0000B6000000}"/>
    <cellStyle name="20% - Accent2 2 2 2 6 2 2" xfId="15024" xr:uid="{4B50FF83-8E97-4EA5-999D-B818E30CC761}"/>
    <cellStyle name="20% - Accent2 2 2 2 6 2 3" xfId="23464" xr:uid="{650C21FA-96D9-419E-B01A-A942F90A2C0A}"/>
    <cellStyle name="20% - Accent2 2 2 2 6 3" xfId="10806" xr:uid="{82FA6ECC-F3C6-4D6E-8CF5-7764873386E3}"/>
    <cellStyle name="20% - Accent2 2 2 2 6 4" xfId="19247" xr:uid="{8845E4C7-CCA0-40D5-B418-12EDA0A8CC1E}"/>
    <cellStyle name="20% - Accent2 2 2 2 7" xfId="4516" xr:uid="{00000000-0005-0000-0000-0000B7000000}"/>
    <cellStyle name="20% - Accent2 2 2 2 7 2" xfId="12958" xr:uid="{D9C3542C-B19B-4846-B802-22191D874A9A}"/>
    <cellStyle name="20% - Accent2 2 2 2 7 3" xfId="21398" xr:uid="{E4575B76-DF0C-44B1-B1FD-3D79E57E9CED}"/>
    <cellStyle name="20% - Accent2 2 2 2 8" xfId="8740" xr:uid="{6DFCE2B1-D2EB-4C85-B133-F94ECF6CDC3E}"/>
    <cellStyle name="20% - Accent2 2 2 2 9" xfId="17181" xr:uid="{F3EB9B8A-0DAB-40A0-80DC-9E9803DDAB3F}"/>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15516" xr:uid="{374EA8BB-18CD-4FC8-BC24-E47C59527EC0}"/>
    <cellStyle name="20% - Accent2 2 2 3 2 2 3" xfId="23956" xr:uid="{B4C80599-ACF5-47B4-B529-DD57A0C131E8}"/>
    <cellStyle name="20% - Accent2 2 2 3 2 3" xfId="11298" xr:uid="{B8366174-07D4-44C6-A530-FB9230166930}"/>
    <cellStyle name="20% - Accent2 2 2 3 2 4" xfId="19739" xr:uid="{911E3F1D-AD6C-4021-A130-66F800EF37A1}"/>
    <cellStyle name="20% - Accent2 2 2 3 3" xfId="4929" xr:uid="{00000000-0005-0000-0000-0000BB000000}"/>
    <cellStyle name="20% - Accent2 2 2 3 3 2" xfId="13371" xr:uid="{5F5864B5-4875-44B6-885C-D6C44E6A991C}"/>
    <cellStyle name="20% - Accent2 2 2 3 3 3" xfId="21811" xr:uid="{7047FEB9-DE67-4306-A581-8A90CAB95FEC}"/>
    <cellStyle name="20% - Accent2 2 2 3 4" xfId="9153" xr:uid="{EC491E89-AA02-4C3D-A518-B5BA166FCBEF}"/>
    <cellStyle name="20% - Accent2 2 2 3 5" xfId="17594" xr:uid="{8EF2CDFB-81CE-4F9E-A40F-0A8EEEC39DC6}"/>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15929" xr:uid="{6CD76DD2-8063-490A-AB6B-A0ABF2006FBA}"/>
    <cellStyle name="20% - Accent2 2 2 4 2 2 3" xfId="24369" xr:uid="{78178B32-D670-4990-AF0C-349B4CD6771C}"/>
    <cellStyle name="20% - Accent2 2 2 4 2 3" xfId="11711" xr:uid="{32ED49CE-12B8-4806-B701-95BD449626EF}"/>
    <cellStyle name="20% - Accent2 2 2 4 2 4" xfId="20152" xr:uid="{E53CF9D9-67C2-4F24-A1CC-69C12E26D2A3}"/>
    <cellStyle name="20% - Accent2 2 2 4 3" xfId="5342" xr:uid="{00000000-0005-0000-0000-0000BF000000}"/>
    <cellStyle name="20% - Accent2 2 2 4 3 2" xfId="13784" xr:uid="{96DAEA59-AA45-4BC6-A791-959F5F3AE02C}"/>
    <cellStyle name="20% - Accent2 2 2 4 3 3" xfId="22224" xr:uid="{EF834B4E-7E63-4FF5-B60B-19CD311F288E}"/>
    <cellStyle name="20% - Accent2 2 2 4 4" xfId="9566" xr:uid="{CDEE41F6-BFAC-4A86-BE3F-A358FE755AB5}"/>
    <cellStyle name="20% - Accent2 2 2 4 5" xfId="18007" xr:uid="{DF084419-63C6-47D1-9C27-ACDAEC0B7200}"/>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16342" xr:uid="{F19F6C5F-0A58-4EEE-9C0B-2EBD5DF56436}"/>
    <cellStyle name="20% - Accent2 2 2 5 2 2 3" xfId="24782" xr:uid="{2C7267A1-7A37-4D63-B44E-B9BCF1B4E71D}"/>
    <cellStyle name="20% - Accent2 2 2 5 2 3" xfId="12124" xr:uid="{516A501B-C4F2-4A87-99DB-6A06B1355AC9}"/>
    <cellStyle name="20% - Accent2 2 2 5 2 4" xfId="20565" xr:uid="{978A852A-B4ED-4A64-8676-409D23880835}"/>
    <cellStyle name="20% - Accent2 2 2 5 3" xfId="5755" xr:uid="{00000000-0005-0000-0000-0000C3000000}"/>
    <cellStyle name="20% - Accent2 2 2 5 3 2" xfId="14197" xr:uid="{045B2AD3-19F6-412D-9943-E8B63A7FAB0A}"/>
    <cellStyle name="20% - Accent2 2 2 5 3 3" xfId="22637" xr:uid="{D7B0D280-8B4A-4CF3-BE4D-C4D1718B1E5C}"/>
    <cellStyle name="20% - Accent2 2 2 5 4" xfId="9979" xr:uid="{499A79B6-AF6D-4258-812B-1AF692678B56}"/>
    <cellStyle name="20% - Accent2 2 2 5 5" xfId="18420" xr:uid="{FA844959-3216-450D-B94A-F65950348005}"/>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16755" xr:uid="{55E47F7D-121D-4E4C-9317-34D0144B482B}"/>
    <cellStyle name="20% - Accent2 2 2 6 2 2 3" xfId="25195" xr:uid="{6E5B15A4-244B-4F81-8D40-C77258D588CB}"/>
    <cellStyle name="20% - Accent2 2 2 6 2 3" xfId="12537" xr:uid="{4A4A8734-3E7E-4F2C-B22D-84F16A96747F}"/>
    <cellStyle name="20% - Accent2 2 2 6 2 4" xfId="20978" xr:uid="{0A9F87D6-73B6-4E22-87AC-210C0A237F63}"/>
    <cellStyle name="20% - Accent2 2 2 6 3" xfId="6168" xr:uid="{00000000-0005-0000-0000-0000C7000000}"/>
    <cellStyle name="20% - Accent2 2 2 6 3 2" xfId="14610" xr:uid="{878699B6-213E-4EB5-8B7B-CA9077F00649}"/>
    <cellStyle name="20% - Accent2 2 2 6 3 3" xfId="23050" xr:uid="{74B7488B-61A2-45C9-BA14-1991D56ACCF8}"/>
    <cellStyle name="20% - Accent2 2 2 6 4" xfId="10392" xr:uid="{0AC9C44D-5F0E-4A9E-A88B-7699163463F9}"/>
    <cellStyle name="20% - Accent2 2 2 6 5" xfId="18833" xr:uid="{10EE531C-C6B8-4310-80DE-A76AE9945C81}"/>
    <cellStyle name="20% - Accent2 2 2 7" xfId="2274" xr:uid="{00000000-0005-0000-0000-0000C8000000}"/>
    <cellStyle name="20% - Accent2 2 2 7 2" xfId="6581" xr:uid="{00000000-0005-0000-0000-0000C9000000}"/>
    <cellStyle name="20% - Accent2 2 2 7 2 2" xfId="15023" xr:uid="{A41B5118-A19F-43AC-901D-B360D07683F2}"/>
    <cellStyle name="20% - Accent2 2 2 7 2 3" xfId="23463" xr:uid="{35B6689D-B36A-4A8A-AC16-013C6D82C217}"/>
    <cellStyle name="20% - Accent2 2 2 7 3" xfId="10805" xr:uid="{0CC9F1EC-8AF1-45BA-B569-8232F076196D}"/>
    <cellStyle name="20% - Accent2 2 2 7 4" xfId="19246" xr:uid="{8CD25387-D841-4C59-93BC-0A65C648995B}"/>
    <cellStyle name="20% - Accent2 2 2 8" xfId="4515" xr:uid="{00000000-0005-0000-0000-0000CA000000}"/>
    <cellStyle name="20% - Accent2 2 2 8 2" xfId="12957" xr:uid="{FFF6785B-9F57-4652-B55E-370B725AEAB0}"/>
    <cellStyle name="20% - Accent2 2 2 8 3" xfId="21397" xr:uid="{6A46C89C-B36D-488D-A049-8D8924F1A568}"/>
    <cellStyle name="20% - Accent2 2 2 9" xfId="8739" xr:uid="{8BBFF3B5-5291-4DD8-B107-EE7545D6A331}"/>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15518" xr:uid="{17572E36-891D-4A36-898F-603347557C1D}"/>
    <cellStyle name="20% - Accent2 2 3 2 2 2 3" xfId="23958" xr:uid="{79B40E6E-677F-4D29-9D44-1ABE2AD05761}"/>
    <cellStyle name="20% - Accent2 2 3 2 2 3" xfId="11300" xr:uid="{9197010B-F83B-4A1E-9A19-0916D29E20CA}"/>
    <cellStyle name="20% - Accent2 2 3 2 2 4" xfId="19741" xr:uid="{FED09A79-944C-40FE-9DEC-050A5183B3DA}"/>
    <cellStyle name="20% - Accent2 2 3 2 3" xfId="4931" xr:uid="{00000000-0005-0000-0000-0000CF000000}"/>
    <cellStyle name="20% - Accent2 2 3 2 3 2" xfId="13373" xr:uid="{38234860-0629-4AB3-B4B4-C74E5D9308A4}"/>
    <cellStyle name="20% - Accent2 2 3 2 3 3" xfId="21813" xr:uid="{154B210F-572E-434D-B5DC-DE3F41D9759D}"/>
    <cellStyle name="20% - Accent2 2 3 2 4" xfId="9155" xr:uid="{C1E29190-30B3-4158-8C56-B2BE891FABDC}"/>
    <cellStyle name="20% - Accent2 2 3 2 5" xfId="17596" xr:uid="{17716955-995A-428F-AD76-2918CB9A5F3E}"/>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15931" xr:uid="{E5F7FFFF-30DB-4D9C-AAA7-29B9E30FDCDA}"/>
    <cellStyle name="20% - Accent2 2 3 3 2 2 3" xfId="24371" xr:uid="{45C4BB87-05AB-460B-9CB8-DAF28A067624}"/>
    <cellStyle name="20% - Accent2 2 3 3 2 3" xfId="11713" xr:uid="{A9D86D5E-39FB-48CE-A31D-6C0EB0B9C1CF}"/>
    <cellStyle name="20% - Accent2 2 3 3 2 4" xfId="20154" xr:uid="{5D958C6B-6BDC-4034-8530-36EF6B486A1D}"/>
    <cellStyle name="20% - Accent2 2 3 3 3" xfId="5344" xr:uid="{00000000-0005-0000-0000-0000D3000000}"/>
    <cellStyle name="20% - Accent2 2 3 3 3 2" xfId="13786" xr:uid="{3B0B0324-C69F-4B14-B56D-4E21FAC4F918}"/>
    <cellStyle name="20% - Accent2 2 3 3 3 3" xfId="22226" xr:uid="{64033E87-3E7A-4F2F-B311-4AB8B13DABF3}"/>
    <cellStyle name="20% - Accent2 2 3 3 4" xfId="9568" xr:uid="{8E382A77-648F-43AC-8937-A2062F4B584F}"/>
    <cellStyle name="20% - Accent2 2 3 3 5" xfId="18009" xr:uid="{431F24E3-548C-461A-9E53-5E7B5B55A867}"/>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16344" xr:uid="{DF65446A-EEC9-4688-A400-5E6E9429DDDA}"/>
    <cellStyle name="20% - Accent2 2 3 4 2 2 3" xfId="24784" xr:uid="{25D0193F-5B24-4003-8602-D5F7E36471D0}"/>
    <cellStyle name="20% - Accent2 2 3 4 2 3" xfId="12126" xr:uid="{308841BB-B709-49CE-98E1-CDC8BC937EF2}"/>
    <cellStyle name="20% - Accent2 2 3 4 2 4" xfId="20567" xr:uid="{79D31756-6D1B-4771-9226-10B2ADDF034A}"/>
    <cellStyle name="20% - Accent2 2 3 4 3" xfId="5757" xr:uid="{00000000-0005-0000-0000-0000D7000000}"/>
    <cellStyle name="20% - Accent2 2 3 4 3 2" xfId="14199" xr:uid="{CC89A6DC-DCA2-4412-9DD2-2AFC83E81B51}"/>
    <cellStyle name="20% - Accent2 2 3 4 3 3" xfId="22639" xr:uid="{2D051D33-5D12-49F4-A3E0-EF8829A7B958}"/>
    <cellStyle name="20% - Accent2 2 3 4 4" xfId="9981" xr:uid="{FC99A3F9-87F2-4315-9A5F-4B6D26D13085}"/>
    <cellStyle name="20% - Accent2 2 3 4 5" xfId="18422" xr:uid="{30CFDFB1-38ED-4A84-98D8-DBC4AD0704E8}"/>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16757" xr:uid="{CBF95BF4-9050-4C88-8EF8-FCF21BB746B4}"/>
    <cellStyle name="20% - Accent2 2 3 5 2 2 3" xfId="25197" xr:uid="{7C8A5BA3-3EAD-4DBB-9D58-1F99D08D078C}"/>
    <cellStyle name="20% - Accent2 2 3 5 2 3" xfId="12539" xr:uid="{BD997CA4-D1DA-4788-9BCF-B95B47F47088}"/>
    <cellStyle name="20% - Accent2 2 3 5 2 4" xfId="20980" xr:uid="{79E6D8B9-261D-47E4-BBE3-97B42841E31A}"/>
    <cellStyle name="20% - Accent2 2 3 5 3" xfId="6170" xr:uid="{00000000-0005-0000-0000-0000DB000000}"/>
    <cellStyle name="20% - Accent2 2 3 5 3 2" xfId="14612" xr:uid="{ACAA5A16-70B6-4415-9EEF-0DFDC15009A1}"/>
    <cellStyle name="20% - Accent2 2 3 5 3 3" xfId="23052" xr:uid="{C5B86420-CD81-4114-B534-5F4269FCA948}"/>
    <cellStyle name="20% - Accent2 2 3 5 4" xfId="10394" xr:uid="{A5B9E1D1-AB92-4F98-858F-E008F0ABDEE3}"/>
    <cellStyle name="20% - Accent2 2 3 5 5" xfId="18835" xr:uid="{548D5286-74E5-4128-8437-44C147E6E651}"/>
    <cellStyle name="20% - Accent2 2 3 6" xfId="2276" xr:uid="{00000000-0005-0000-0000-0000DC000000}"/>
    <cellStyle name="20% - Accent2 2 3 6 2" xfId="6583" xr:uid="{00000000-0005-0000-0000-0000DD000000}"/>
    <cellStyle name="20% - Accent2 2 3 6 2 2" xfId="15025" xr:uid="{0184889A-74EB-4E9A-8397-A3E4B7951FDE}"/>
    <cellStyle name="20% - Accent2 2 3 6 2 3" xfId="23465" xr:uid="{A8DF12BD-643E-4AF9-8554-28E3575DB744}"/>
    <cellStyle name="20% - Accent2 2 3 6 3" xfId="10807" xr:uid="{CB4C8DD6-D82B-434D-835F-D6833F997419}"/>
    <cellStyle name="20% - Accent2 2 3 6 4" xfId="19248" xr:uid="{87F16A58-CAB1-4CBD-8676-861BEDEDB6B5}"/>
    <cellStyle name="20% - Accent2 2 3 7" xfId="4517" xr:uid="{00000000-0005-0000-0000-0000DE000000}"/>
    <cellStyle name="20% - Accent2 2 3 7 2" xfId="12959" xr:uid="{42B25A66-A201-492D-9730-4740FA1B904A}"/>
    <cellStyle name="20% - Accent2 2 3 7 3" xfId="21399" xr:uid="{AEF9820B-31A9-4B4E-9663-BF4DC08F066E}"/>
    <cellStyle name="20% - Accent2 2 3 8" xfId="8741" xr:uid="{24CE9FB4-D722-4E1E-833A-4D8C6E3F573D}"/>
    <cellStyle name="20% - Accent2 2 3 9" xfId="17182" xr:uid="{309B6B45-6400-4E43-8EA7-34EA5FB0A52B}"/>
    <cellStyle name="20% - Accent2 2 4" xfId="579" xr:uid="{00000000-0005-0000-0000-0000DF000000}"/>
    <cellStyle name="20% - Accent2 2 4 2" xfId="2850" xr:uid="{00000000-0005-0000-0000-0000E0000000}"/>
    <cellStyle name="20% - Accent2 2 4 2 2" xfId="7073" xr:uid="{00000000-0005-0000-0000-0000E1000000}"/>
    <cellStyle name="20% - Accent2 2 4 2 2 2" xfId="15515" xr:uid="{7A1AA0A9-DCDE-4DC8-8083-6E234346BBB9}"/>
    <cellStyle name="20% - Accent2 2 4 2 2 3" xfId="23955" xr:uid="{E71C3C7D-37E7-4030-B91F-3E9CCD207964}"/>
    <cellStyle name="20% - Accent2 2 4 2 3" xfId="11297" xr:uid="{A65BAE6A-7AC7-4333-BC2B-278F416768F9}"/>
    <cellStyle name="20% - Accent2 2 4 2 4" xfId="19738" xr:uid="{D6D00848-88D7-4649-81A5-05E26595ADCC}"/>
    <cellStyle name="20% - Accent2 2 4 3" xfId="4928" xr:uid="{00000000-0005-0000-0000-0000E2000000}"/>
    <cellStyle name="20% - Accent2 2 4 3 2" xfId="13370" xr:uid="{A1418357-2551-40A4-8A73-2E24DF0C6018}"/>
    <cellStyle name="20% - Accent2 2 4 3 3" xfId="21810" xr:uid="{516EFCFF-CBEE-4EC0-98AD-6021ECE43301}"/>
    <cellStyle name="20% - Accent2 2 4 4" xfId="9152" xr:uid="{0937EEE3-3B69-4729-86E0-9D61236294E8}"/>
    <cellStyle name="20% - Accent2 2 4 5" xfId="17593" xr:uid="{FEE057B8-953A-4918-A11E-97A6069418DC}"/>
    <cellStyle name="20% - Accent2 2 5" xfId="1032" xr:uid="{00000000-0005-0000-0000-0000E3000000}"/>
    <cellStyle name="20% - Accent2 2 5 2" xfId="3263" xr:uid="{00000000-0005-0000-0000-0000E4000000}"/>
    <cellStyle name="20% - Accent2 2 5 2 2" xfId="7486" xr:uid="{00000000-0005-0000-0000-0000E5000000}"/>
    <cellStyle name="20% - Accent2 2 5 2 2 2" xfId="15928" xr:uid="{DA0DC186-369D-4273-9EE9-A0938D3EFB95}"/>
    <cellStyle name="20% - Accent2 2 5 2 2 3" xfId="24368" xr:uid="{A3FF4585-A9DA-4DC4-959D-FC2A4D5DDE9B}"/>
    <cellStyle name="20% - Accent2 2 5 2 3" xfId="11710" xr:uid="{6B83B693-A7F5-44BF-BA21-A85A3082B777}"/>
    <cellStyle name="20% - Accent2 2 5 2 4" xfId="20151" xr:uid="{36834CB1-01A0-488D-BC8B-8D81EAD07DA1}"/>
    <cellStyle name="20% - Accent2 2 5 3" xfId="5341" xr:uid="{00000000-0005-0000-0000-0000E6000000}"/>
    <cellStyle name="20% - Accent2 2 5 3 2" xfId="13783" xr:uid="{295C3D16-CDD7-41D0-BD97-7D497E13B7A7}"/>
    <cellStyle name="20% - Accent2 2 5 3 3" xfId="22223" xr:uid="{560FE9C7-3A10-4830-AF47-713C71C14016}"/>
    <cellStyle name="20% - Accent2 2 5 4" xfId="9565" xr:uid="{E99362F0-AB60-4A93-A26B-C9A2324276FA}"/>
    <cellStyle name="20% - Accent2 2 5 5" xfId="18006" xr:uid="{A3BD1D28-07BB-4D80-8D2B-C9617CE5BC56}"/>
    <cellStyle name="20% - Accent2 2 6" xfId="1446" xr:uid="{00000000-0005-0000-0000-0000E7000000}"/>
    <cellStyle name="20% - Accent2 2 6 2" xfId="3676" xr:uid="{00000000-0005-0000-0000-0000E8000000}"/>
    <cellStyle name="20% - Accent2 2 6 2 2" xfId="7899" xr:uid="{00000000-0005-0000-0000-0000E9000000}"/>
    <cellStyle name="20% - Accent2 2 6 2 2 2" xfId="16341" xr:uid="{D4C696F8-B39D-4E72-A301-B81CC735E29F}"/>
    <cellStyle name="20% - Accent2 2 6 2 2 3" xfId="24781" xr:uid="{E3E580B2-281F-46E8-98E3-49B5DF6800FF}"/>
    <cellStyle name="20% - Accent2 2 6 2 3" xfId="12123" xr:uid="{3238727E-39D2-47DC-8585-B0FAA49591F1}"/>
    <cellStyle name="20% - Accent2 2 6 2 4" xfId="20564" xr:uid="{BC729702-59D0-44BA-B342-A850AD9FBA68}"/>
    <cellStyle name="20% - Accent2 2 6 3" xfId="5754" xr:uid="{00000000-0005-0000-0000-0000EA000000}"/>
    <cellStyle name="20% - Accent2 2 6 3 2" xfId="14196" xr:uid="{2E3D02C5-5DA0-4372-A2D9-4581448FAC07}"/>
    <cellStyle name="20% - Accent2 2 6 3 3" xfId="22636" xr:uid="{746BD0F6-6F5B-4915-8AA8-73DCCAFE5829}"/>
    <cellStyle name="20% - Accent2 2 6 4" xfId="9978" xr:uid="{3FA068EF-5041-4682-A9C5-645CB0D70F50}"/>
    <cellStyle name="20% - Accent2 2 6 5" xfId="18419" xr:uid="{180A8E1F-E7BF-46B1-8BE4-4EE7D0F753EC}"/>
    <cellStyle name="20% - Accent2 2 7" xfId="1860" xr:uid="{00000000-0005-0000-0000-0000EB000000}"/>
    <cellStyle name="20% - Accent2 2 7 2" xfId="4089" xr:uid="{00000000-0005-0000-0000-0000EC000000}"/>
    <cellStyle name="20% - Accent2 2 7 2 2" xfId="8312" xr:uid="{00000000-0005-0000-0000-0000ED000000}"/>
    <cellStyle name="20% - Accent2 2 7 2 2 2" xfId="16754" xr:uid="{DF7A9741-DFE8-44E8-9BBD-0063CC78C67A}"/>
    <cellStyle name="20% - Accent2 2 7 2 2 3" xfId="25194" xr:uid="{1AAF9450-7958-4659-8537-07E2D62B9F9D}"/>
    <cellStyle name="20% - Accent2 2 7 2 3" xfId="12536" xr:uid="{03EFFAB6-D7E8-4579-98CA-6FA20B58CB10}"/>
    <cellStyle name="20% - Accent2 2 7 2 4" xfId="20977" xr:uid="{2DD88845-073F-4DF2-9337-8A5C5921EBC6}"/>
    <cellStyle name="20% - Accent2 2 7 3" xfId="6167" xr:uid="{00000000-0005-0000-0000-0000EE000000}"/>
    <cellStyle name="20% - Accent2 2 7 3 2" xfId="14609" xr:uid="{98140F58-2FFB-47F4-BD77-AC93226E04E4}"/>
    <cellStyle name="20% - Accent2 2 7 3 3" xfId="23049" xr:uid="{D06C5EDE-2F39-421B-8BA6-FD9390195607}"/>
    <cellStyle name="20% - Accent2 2 7 4" xfId="10391" xr:uid="{2DEF4C52-8150-45A6-9BD9-DB096DB01E88}"/>
    <cellStyle name="20% - Accent2 2 7 5" xfId="18832" xr:uid="{82BCB84D-5EFA-499E-94DB-AFBEF8D7ECAB}"/>
    <cellStyle name="20% - Accent2 2 8" xfId="2273" xr:uid="{00000000-0005-0000-0000-0000EF000000}"/>
    <cellStyle name="20% - Accent2 2 8 2" xfId="6580" xr:uid="{00000000-0005-0000-0000-0000F0000000}"/>
    <cellStyle name="20% - Accent2 2 8 2 2" xfId="15022" xr:uid="{96E4EE45-CE7E-4AB9-8B7B-3628A0B13E92}"/>
    <cellStyle name="20% - Accent2 2 8 2 3" xfId="23462" xr:uid="{FC9FCC19-2050-4D97-B715-943AA702D348}"/>
    <cellStyle name="20% - Accent2 2 8 3" xfId="10804" xr:uid="{EDB8883C-52E8-4456-90E8-44925D424934}"/>
    <cellStyle name="20% - Accent2 2 8 4" xfId="19245" xr:uid="{D7A4BED2-85AB-4FF9-8747-A14859B559D9}"/>
    <cellStyle name="20% - Accent2 2 9" xfId="4514" xr:uid="{00000000-0005-0000-0000-0000F1000000}"/>
    <cellStyle name="20% - Accent2 2 9 2" xfId="12956" xr:uid="{3CD8E2CC-9B45-45F9-8CE4-7D282FE99D36}"/>
    <cellStyle name="20% - Accent2 2 9 3" xfId="21396" xr:uid="{E3DE3FDA-ED81-4A12-AB88-5BFAE70CD2FF}"/>
    <cellStyle name="20% - Accent2 3" xfId="14" xr:uid="{00000000-0005-0000-0000-0000F2000000}"/>
    <cellStyle name="20% - Accent2 3 10" xfId="17183" xr:uid="{0E902E13-B73F-4C1F-BE3A-4442465200F6}"/>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15520" xr:uid="{F15A4730-E4C0-4686-9BC1-CF79D91D3B2F}"/>
    <cellStyle name="20% - Accent2 3 2 2 2 2 3" xfId="23960" xr:uid="{ADA55EB5-256C-4B2C-9FFD-F4FE5A99AF6C}"/>
    <cellStyle name="20% - Accent2 3 2 2 2 3" xfId="11302" xr:uid="{A22F4C9D-DDE6-40F1-A252-FECF01FAD527}"/>
    <cellStyle name="20% - Accent2 3 2 2 2 4" xfId="19743" xr:uid="{87CDBEBF-588B-485E-ABB0-2DE5972677A6}"/>
    <cellStyle name="20% - Accent2 3 2 2 3" xfId="4933" xr:uid="{00000000-0005-0000-0000-0000F7000000}"/>
    <cellStyle name="20% - Accent2 3 2 2 3 2" xfId="13375" xr:uid="{D431F6FE-B564-40D1-9AFB-1623EA459F7A}"/>
    <cellStyle name="20% - Accent2 3 2 2 3 3" xfId="21815" xr:uid="{C5AC3E8B-DCFD-4772-B331-D841C868BC4B}"/>
    <cellStyle name="20% - Accent2 3 2 2 4" xfId="9157" xr:uid="{5858B45A-AF74-4F19-A391-EF7CC620FA72}"/>
    <cellStyle name="20% - Accent2 3 2 2 5" xfId="17598" xr:uid="{4507ACFE-1520-4AB2-9371-BDA3C1BBEA38}"/>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15933" xr:uid="{859FDF7D-A252-4682-96FB-7A27F2BE1F0C}"/>
    <cellStyle name="20% - Accent2 3 2 3 2 2 3" xfId="24373" xr:uid="{8B3855C1-F3DF-4143-A449-806157754417}"/>
    <cellStyle name="20% - Accent2 3 2 3 2 3" xfId="11715" xr:uid="{C96C6CFA-6456-41EC-867D-F2486B9EE057}"/>
    <cellStyle name="20% - Accent2 3 2 3 2 4" xfId="20156" xr:uid="{9E7E1D6A-7D69-4C8B-B522-908C245933FE}"/>
    <cellStyle name="20% - Accent2 3 2 3 3" xfId="5346" xr:uid="{00000000-0005-0000-0000-0000FB000000}"/>
    <cellStyle name="20% - Accent2 3 2 3 3 2" xfId="13788" xr:uid="{5D6C2172-FA3C-4877-B9D8-6E43158E8997}"/>
    <cellStyle name="20% - Accent2 3 2 3 3 3" xfId="22228" xr:uid="{AE5DC1E2-BDDC-4EF4-8E98-FCAB58742A04}"/>
    <cellStyle name="20% - Accent2 3 2 3 4" xfId="9570" xr:uid="{02FA587B-9683-42AB-82DB-0D9153619DE2}"/>
    <cellStyle name="20% - Accent2 3 2 3 5" xfId="18011" xr:uid="{80A4440D-5227-4DCD-B09F-87DC694DB812}"/>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16346" xr:uid="{E91C35F6-E503-4D76-AFE5-56381F7AABC1}"/>
    <cellStyle name="20% - Accent2 3 2 4 2 2 3" xfId="24786" xr:uid="{A08F90BC-C431-4B57-8DBF-B766ADD6A42B}"/>
    <cellStyle name="20% - Accent2 3 2 4 2 3" xfId="12128" xr:uid="{BE2D4826-394D-4DF9-AA65-3BA43B54872C}"/>
    <cellStyle name="20% - Accent2 3 2 4 2 4" xfId="20569" xr:uid="{D2192720-10B5-451B-9C77-384EB21FB09A}"/>
    <cellStyle name="20% - Accent2 3 2 4 3" xfId="5759" xr:uid="{00000000-0005-0000-0000-0000FF000000}"/>
    <cellStyle name="20% - Accent2 3 2 4 3 2" xfId="14201" xr:uid="{A3EDF678-BA26-41B0-8574-7430013C8945}"/>
    <cellStyle name="20% - Accent2 3 2 4 3 3" xfId="22641" xr:uid="{4288DF4F-22BA-48E9-9DB8-2C98D9818594}"/>
    <cellStyle name="20% - Accent2 3 2 4 4" xfId="9983" xr:uid="{495E1E0E-8C19-4AF1-82AD-776F4477FD81}"/>
    <cellStyle name="20% - Accent2 3 2 4 5" xfId="18424" xr:uid="{17FDD32D-4D57-4332-9DA0-20B2F6A6EABF}"/>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16759" xr:uid="{C72095B2-BFD0-4BD2-9517-7BFC6DEFF60C}"/>
    <cellStyle name="20% - Accent2 3 2 5 2 2 3" xfId="25199" xr:uid="{B821AF2C-7911-451E-9A0D-B62F3A5FF1E4}"/>
    <cellStyle name="20% - Accent2 3 2 5 2 3" xfId="12541" xr:uid="{9B2F65AE-2519-442F-BCCC-315FB1CC4CD1}"/>
    <cellStyle name="20% - Accent2 3 2 5 2 4" xfId="20982" xr:uid="{D73098FF-AC8F-4613-96A9-AD5CA556F71C}"/>
    <cellStyle name="20% - Accent2 3 2 5 3" xfId="6172" xr:uid="{00000000-0005-0000-0000-000003010000}"/>
    <cellStyle name="20% - Accent2 3 2 5 3 2" xfId="14614" xr:uid="{4D1FCE38-CBB8-4ECF-AF00-5264999E4ECA}"/>
    <cellStyle name="20% - Accent2 3 2 5 3 3" xfId="23054" xr:uid="{9B3EDA53-E4A9-4989-9F4E-7EF5963A73EF}"/>
    <cellStyle name="20% - Accent2 3 2 5 4" xfId="10396" xr:uid="{19340ED6-6B88-4DCA-96D0-D8732CA28229}"/>
    <cellStyle name="20% - Accent2 3 2 5 5" xfId="18837" xr:uid="{7E396388-51E8-49AB-AFE5-B501D4ED3F1B}"/>
    <cellStyle name="20% - Accent2 3 2 6" xfId="2278" xr:uid="{00000000-0005-0000-0000-000004010000}"/>
    <cellStyle name="20% - Accent2 3 2 6 2" xfId="6585" xr:uid="{00000000-0005-0000-0000-000005010000}"/>
    <cellStyle name="20% - Accent2 3 2 6 2 2" xfId="15027" xr:uid="{94CAD867-95F3-4940-91EC-424EBA14742D}"/>
    <cellStyle name="20% - Accent2 3 2 6 2 3" xfId="23467" xr:uid="{6F025260-E47C-44F4-AB13-C13B088DDAD5}"/>
    <cellStyle name="20% - Accent2 3 2 6 3" xfId="10809" xr:uid="{93FA22C1-DA16-4312-BF0A-77CD1673FC9A}"/>
    <cellStyle name="20% - Accent2 3 2 6 4" xfId="19250" xr:uid="{41014D06-7EB4-4365-93A2-D26CB1C842B2}"/>
    <cellStyle name="20% - Accent2 3 2 7" xfId="4519" xr:uid="{00000000-0005-0000-0000-000006010000}"/>
    <cellStyle name="20% - Accent2 3 2 7 2" xfId="12961" xr:uid="{E30168FA-2545-4B50-BEC4-E8D7F9A1E85D}"/>
    <cellStyle name="20% - Accent2 3 2 7 3" xfId="21401" xr:uid="{EB6E544E-B462-4D90-9524-97C95008F240}"/>
    <cellStyle name="20% - Accent2 3 2 8" xfId="8743" xr:uid="{4F6C0046-B695-4E60-ACF9-5FB5EE11DC37}"/>
    <cellStyle name="20% - Accent2 3 2 9" xfId="17184" xr:uid="{C1065140-5575-4D73-B6B3-6A9333080C8F}"/>
    <cellStyle name="20% - Accent2 3 3" xfId="583" xr:uid="{00000000-0005-0000-0000-000007010000}"/>
    <cellStyle name="20% - Accent2 3 3 2" xfId="2854" xr:uid="{00000000-0005-0000-0000-000008010000}"/>
    <cellStyle name="20% - Accent2 3 3 2 2" xfId="7077" xr:uid="{00000000-0005-0000-0000-000009010000}"/>
    <cellStyle name="20% - Accent2 3 3 2 2 2" xfId="15519" xr:uid="{11693811-98E7-48D4-BA5A-45D2FDD002AD}"/>
    <cellStyle name="20% - Accent2 3 3 2 2 3" xfId="23959" xr:uid="{8086BD77-CD57-4838-9CFD-E747C72D4D76}"/>
    <cellStyle name="20% - Accent2 3 3 2 3" xfId="11301" xr:uid="{5D91DD5A-6424-49D0-A037-C9B4473C1148}"/>
    <cellStyle name="20% - Accent2 3 3 2 4" xfId="19742" xr:uid="{94161444-A9A9-422F-B40E-0A66A15C8F4B}"/>
    <cellStyle name="20% - Accent2 3 3 3" xfId="4932" xr:uid="{00000000-0005-0000-0000-00000A010000}"/>
    <cellStyle name="20% - Accent2 3 3 3 2" xfId="13374" xr:uid="{4AAC632A-FCBC-4AEC-BD66-A3A1B90741D2}"/>
    <cellStyle name="20% - Accent2 3 3 3 3" xfId="21814" xr:uid="{C1521FE7-3B68-4FB8-95C0-AEF5F3E265F6}"/>
    <cellStyle name="20% - Accent2 3 3 4" xfId="9156" xr:uid="{59FC0F6A-1318-4CDE-AB38-84DCB2A08DBB}"/>
    <cellStyle name="20% - Accent2 3 3 5" xfId="17597" xr:uid="{339A241F-1C8D-4B3E-BD7F-9BD6745EFF35}"/>
    <cellStyle name="20% - Accent2 3 4" xfId="1036" xr:uid="{00000000-0005-0000-0000-00000B010000}"/>
    <cellStyle name="20% - Accent2 3 4 2" xfId="3267" xr:uid="{00000000-0005-0000-0000-00000C010000}"/>
    <cellStyle name="20% - Accent2 3 4 2 2" xfId="7490" xr:uid="{00000000-0005-0000-0000-00000D010000}"/>
    <cellStyle name="20% - Accent2 3 4 2 2 2" xfId="15932" xr:uid="{41B84217-D46A-46F0-9321-9B48DAE17543}"/>
    <cellStyle name="20% - Accent2 3 4 2 2 3" xfId="24372" xr:uid="{48CEBDB7-CE3D-4077-B09C-DA4FB445C786}"/>
    <cellStyle name="20% - Accent2 3 4 2 3" xfId="11714" xr:uid="{712C249A-40A3-4783-BC9A-5AE1C4D72276}"/>
    <cellStyle name="20% - Accent2 3 4 2 4" xfId="20155" xr:uid="{5B0659E9-B6F5-4B65-8917-0E838B1C0DBF}"/>
    <cellStyle name="20% - Accent2 3 4 3" xfId="5345" xr:uid="{00000000-0005-0000-0000-00000E010000}"/>
    <cellStyle name="20% - Accent2 3 4 3 2" xfId="13787" xr:uid="{4ED3234B-4D2E-4787-A646-3C450819328F}"/>
    <cellStyle name="20% - Accent2 3 4 3 3" xfId="22227" xr:uid="{473102F0-E462-4825-81F8-59B116EF92E0}"/>
    <cellStyle name="20% - Accent2 3 4 4" xfId="9569" xr:uid="{1CF49D57-9E2E-4981-B668-1B21EE0BC843}"/>
    <cellStyle name="20% - Accent2 3 4 5" xfId="18010" xr:uid="{6C3439B5-76CD-48F2-9F74-D12190208E24}"/>
    <cellStyle name="20% - Accent2 3 5" xfId="1450" xr:uid="{00000000-0005-0000-0000-00000F010000}"/>
    <cellStyle name="20% - Accent2 3 5 2" xfId="3680" xr:uid="{00000000-0005-0000-0000-000010010000}"/>
    <cellStyle name="20% - Accent2 3 5 2 2" xfId="7903" xr:uid="{00000000-0005-0000-0000-000011010000}"/>
    <cellStyle name="20% - Accent2 3 5 2 2 2" xfId="16345" xr:uid="{012874A4-8655-4A6E-9FA8-07CA673E670A}"/>
    <cellStyle name="20% - Accent2 3 5 2 2 3" xfId="24785" xr:uid="{7FA55D99-8452-4441-887D-4069ACB08A5B}"/>
    <cellStyle name="20% - Accent2 3 5 2 3" xfId="12127" xr:uid="{A7C241A2-3460-4DC9-9A5F-46CB8D729EF7}"/>
    <cellStyle name="20% - Accent2 3 5 2 4" xfId="20568" xr:uid="{6F50E658-C5A4-4DC2-8D1F-7638D4531EA7}"/>
    <cellStyle name="20% - Accent2 3 5 3" xfId="5758" xr:uid="{00000000-0005-0000-0000-000012010000}"/>
    <cellStyle name="20% - Accent2 3 5 3 2" xfId="14200" xr:uid="{08B074C0-CBFE-4422-8DB5-18695BA84519}"/>
    <cellStyle name="20% - Accent2 3 5 3 3" xfId="22640" xr:uid="{FD3EE194-6009-4E41-836E-84E4BA20B860}"/>
    <cellStyle name="20% - Accent2 3 5 4" xfId="9982" xr:uid="{41C465F4-188B-41BF-BB8E-C0ABCB838838}"/>
    <cellStyle name="20% - Accent2 3 5 5" xfId="18423" xr:uid="{CB9C3666-6A0F-404A-9341-26EC323A7012}"/>
    <cellStyle name="20% - Accent2 3 6" xfId="1864" xr:uid="{00000000-0005-0000-0000-000013010000}"/>
    <cellStyle name="20% - Accent2 3 6 2" xfId="4093" xr:uid="{00000000-0005-0000-0000-000014010000}"/>
    <cellStyle name="20% - Accent2 3 6 2 2" xfId="8316" xr:uid="{00000000-0005-0000-0000-000015010000}"/>
    <cellStyle name="20% - Accent2 3 6 2 2 2" xfId="16758" xr:uid="{B5E62801-FDDB-409B-B85C-FE8A29AAE9CD}"/>
    <cellStyle name="20% - Accent2 3 6 2 2 3" xfId="25198" xr:uid="{20087558-AC21-4775-8539-3C0AB8B62E00}"/>
    <cellStyle name="20% - Accent2 3 6 2 3" xfId="12540" xr:uid="{BA3AE798-E885-4647-9A27-02D0A79E3B88}"/>
    <cellStyle name="20% - Accent2 3 6 2 4" xfId="20981" xr:uid="{C326529E-429A-4B7F-B5B8-FF8B29E87579}"/>
    <cellStyle name="20% - Accent2 3 6 3" xfId="6171" xr:uid="{00000000-0005-0000-0000-000016010000}"/>
    <cellStyle name="20% - Accent2 3 6 3 2" xfId="14613" xr:uid="{7BFA72A8-B58B-4CAA-8C21-630A2F25D2BB}"/>
    <cellStyle name="20% - Accent2 3 6 3 3" xfId="23053" xr:uid="{B4BC69C8-80CF-439C-8D20-33CA68F3CCCA}"/>
    <cellStyle name="20% - Accent2 3 6 4" xfId="10395" xr:uid="{66A222B7-83F9-40E6-AE2A-DC9584E6916A}"/>
    <cellStyle name="20% - Accent2 3 6 5" xfId="18836" xr:uid="{A78FE766-CFFE-498B-BDC1-6DC3FF95D972}"/>
    <cellStyle name="20% - Accent2 3 7" xfId="2277" xr:uid="{00000000-0005-0000-0000-000017010000}"/>
    <cellStyle name="20% - Accent2 3 7 2" xfId="6584" xr:uid="{00000000-0005-0000-0000-000018010000}"/>
    <cellStyle name="20% - Accent2 3 7 2 2" xfId="15026" xr:uid="{C17F8F0C-0F05-4C2E-B1FA-175F5F9E9F08}"/>
    <cellStyle name="20% - Accent2 3 7 2 3" xfId="23466" xr:uid="{95FE770D-CC22-462E-A440-A7CA3FC6F843}"/>
    <cellStyle name="20% - Accent2 3 7 3" xfId="10808" xr:uid="{B1F0366B-3085-4D65-B9FE-EE5CE13DA9BE}"/>
    <cellStyle name="20% - Accent2 3 7 4" xfId="19249" xr:uid="{D8EA80B0-AA37-46D1-AE12-B3E24AE29596}"/>
    <cellStyle name="20% - Accent2 3 8" xfId="4518" xr:uid="{00000000-0005-0000-0000-000019010000}"/>
    <cellStyle name="20% - Accent2 3 8 2" xfId="12960" xr:uid="{4E0CBE46-C59C-44D8-AF8B-B4DDC4B35BC6}"/>
    <cellStyle name="20% - Accent2 3 8 3" xfId="21400" xr:uid="{6403EAAF-7954-48B3-9082-2814C2A2B5D0}"/>
    <cellStyle name="20% - Accent2 3 9" xfId="8742" xr:uid="{417170F9-5066-410B-AA82-7BF5B9E6181B}"/>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2 2 2" xfId="15521" xr:uid="{9EBBCEAF-0F55-4AF7-90DA-D1E783690D82}"/>
    <cellStyle name="20% - Accent2 4 2 2 2 3" xfId="23961" xr:uid="{EBFE3918-EF4D-4814-8309-B1A638986584}"/>
    <cellStyle name="20% - Accent2 4 2 2 3" xfId="11303" xr:uid="{5562EC3D-12A2-4AC5-A90B-FB8AE72F2893}"/>
    <cellStyle name="20% - Accent2 4 2 2 4" xfId="19744" xr:uid="{DE91B3B1-DFCE-4F1A-BCCD-152501DFDE9C}"/>
    <cellStyle name="20% - Accent2 4 2 3" xfId="4934" xr:uid="{00000000-0005-0000-0000-00001E010000}"/>
    <cellStyle name="20% - Accent2 4 2 3 2" xfId="13376" xr:uid="{4AA5D4F8-7BDE-4553-9681-9E177951E967}"/>
    <cellStyle name="20% - Accent2 4 2 3 3" xfId="21816" xr:uid="{3E2B04CE-D035-4B07-815A-07AE6D98B128}"/>
    <cellStyle name="20% - Accent2 4 2 4" xfId="9158" xr:uid="{D6A32902-9B57-4DC0-8F4E-3C66C0385350}"/>
    <cellStyle name="20% - Accent2 4 2 5" xfId="17599" xr:uid="{BD267570-67E1-44FD-9C50-23CF5147672B}"/>
    <cellStyle name="20% - Accent2 4 3" xfId="1038" xr:uid="{00000000-0005-0000-0000-00001F010000}"/>
    <cellStyle name="20% - Accent2 4 3 2" xfId="3269" xr:uid="{00000000-0005-0000-0000-000020010000}"/>
    <cellStyle name="20% - Accent2 4 3 2 2" xfId="7492" xr:uid="{00000000-0005-0000-0000-000021010000}"/>
    <cellStyle name="20% - Accent2 4 3 2 2 2" xfId="15934" xr:uid="{E53CDC73-86AF-42DF-A2A2-480EA17ACC41}"/>
    <cellStyle name="20% - Accent2 4 3 2 2 3" xfId="24374" xr:uid="{E7A62779-E983-4720-BEC0-E3641E6AAA4F}"/>
    <cellStyle name="20% - Accent2 4 3 2 3" xfId="11716" xr:uid="{3ED8B835-AA6E-4A5B-AA36-DD74A93B88E8}"/>
    <cellStyle name="20% - Accent2 4 3 2 4" xfId="20157" xr:uid="{244C9B25-21BB-487F-BE31-F69F5365A7F4}"/>
    <cellStyle name="20% - Accent2 4 3 3" xfId="5347" xr:uid="{00000000-0005-0000-0000-000022010000}"/>
    <cellStyle name="20% - Accent2 4 3 3 2" xfId="13789" xr:uid="{BC5D8F4B-043B-4310-9F6C-A1C2E209B5F4}"/>
    <cellStyle name="20% - Accent2 4 3 3 3" xfId="22229" xr:uid="{A6D28A98-99A1-4884-BF43-C34DC0007E7D}"/>
    <cellStyle name="20% - Accent2 4 3 4" xfId="9571" xr:uid="{58AFFD1C-0AC3-4C17-A5A4-7326AF61215A}"/>
    <cellStyle name="20% - Accent2 4 3 5" xfId="18012" xr:uid="{FCEA9180-5B59-4CAF-873A-76F21ED29139}"/>
    <cellStyle name="20% - Accent2 4 4" xfId="1452" xr:uid="{00000000-0005-0000-0000-000023010000}"/>
    <cellStyle name="20% - Accent2 4 4 2" xfId="3682" xr:uid="{00000000-0005-0000-0000-000024010000}"/>
    <cellStyle name="20% - Accent2 4 4 2 2" xfId="7905" xr:uid="{00000000-0005-0000-0000-000025010000}"/>
    <cellStyle name="20% - Accent2 4 4 2 2 2" xfId="16347" xr:uid="{CB987554-876E-4234-B9BB-20E4A9FB9696}"/>
    <cellStyle name="20% - Accent2 4 4 2 2 3" xfId="24787" xr:uid="{1B243952-D0C3-45F7-A176-BE4BF1A70623}"/>
    <cellStyle name="20% - Accent2 4 4 2 3" xfId="12129" xr:uid="{EE71C737-0037-4471-AB67-F76AF2FB62BA}"/>
    <cellStyle name="20% - Accent2 4 4 2 4" xfId="20570" xr:uid="{A72B8435-DEED-4AFF-9E8C-6DF8CC656122}"/>
    <cellStyle name="20% - Accent2 4 4 3" xfId="5760" xr:uid="{00000000-0005-0000-0000-000026010000}"/>
    <cellStyle name="20% - Accent2 4 4 3 2" xfId="14202" xr:uid="{FD46E36A-5944-44DE-98EA-83734F02EDD5}"/>
    <cellStyle name="20% - Accent2 4 4 3 3" xfId="22642" xr:uid="{F1BA5769-B49C-4D68-8967-7337B01A3227}"/>
    <cellStyle name="20% - Accent2 4 4 4" xfId="9984" xr:uid="{10010FC0-70B4-41BB-B2F4-A78A9E0477DE}"/>
    <cellStyle name="20% - Accent2 4 4 5" xfId="18425" xr:uid="{567C095A-4EC4-40F0-A85B-F81DC7723734}"/>
    <cellStyle name="20% - Accent2 4 5" xfId="1866" xr:uid="{00000000-0005-0000-0000-000027010000}"/>
    <cellStyle name="20% - Accent2 4 5 2" xfId="4095" xr:uid="{00000000-0005-0000-0000-000028010000}"/>
    <cellStyle name="20% - Accent2 4 5 2 2" xfId="8318" xr:uid="{00000000-0005-0000-0000-000029010000}"/>
    <cellStyle name="20% - Accent2 4 5 2 2 2" xfId="16760" xr:uid="{4B0AC173-2F1B-48E6-8B27-36B346295DF4}"/>
    <cellStyle name="20% - Accent2 4 5 2 2 3" xfId="25200" xr:uid="{73BC7B05-866F-4C1B-9583-00653EB7948C}"/>
    <cellStyle name="20% - Accent2 4 5 2 3" xfId="12542" xr:uid="{A80AA334-87D9-46FD-B7C4-9F6E28B90478}"/>
    <cellStyle name="20% - Accent2 4 5 2 4" xfId="20983" xr:uid="{A8A7A524-AEE2-4AFD-8E47-98C12034E7E0}"/>
    <cellStyle name="20% - Accent2 4 5 3" xfId="6173" xr:uid="{00000000-0005-0000-0000-00002A010000}"/>
    <cellStyle name="20% - Accent2 4 5 3 2" xfId="14615" xr:uid="{C210236B-B78B-4092-9793-2D592539E9D2}"/>
    <cellStyle name="20% - Accent2 4 5 3 3" xfId="23055" xr:uid="{85D40AA2-B4BC-47BD-A4B0-D042446FD059}"/>
    <cellStyle name="20% - Accent2 4 5 4" xfId="10397" xr:uid="{1DD5A104-26EF-43C6-B82B-7C3CED65D839}"/>
    <cellStyle name="20% - Accent2 4 5 5" xfId="18838" xr:uid="{486B4B68-C16A-411F-BAFD-98783CB5A6F1}"/>
    <cellStyle name="20% - Accent2 4 6" xfId="2279" xr:uid="{00000000-0005-0000-0000-00002B010000}"/>
    <cellStyle name="20% - Accent2 4 6 2" xfId="6586" xr:uid="{00000000-0005-0000-0000-00002C010000}"/>
    <cellStyle name="20% - Accent2 4 6 2 2" xfId="15028" xr:uid="{C46A76E0-7D4C-49A6-B65C-8A7EFC7C56BE}"/>
    <cellStyle name="20% - Accent2 4 6 2 3" xfId="23468" xr:uid="{F0BFC21A-57CF-4E18-8B3D-0996A479FD68}"/>
    <cellStyle name="20% - Accent2 4 6 3" xfId="10810" xr:uid="{720651CF-1FCA-4DF4-BC4F-06182CD0ECB5}"/>
    <cellStyle name="20% - Accent2 4 6 4" xfId="19251" xr:uid="{9027FC9D-BC51-4CBB-BD62-5170B975A8A3}"/>
    <cellStyle name="20% - Accent2 4 7" xfId="4520" xr:uid="{00000000-0005-0000-0000-00002D010000}"/>
    <cellStyle name="20% - Accent2 4 7 2" xfId="12962" xr:uid="{E2768255-6076-44C5-AE9A-5CCC71865F61}"/>
    <cellStyle name="20% - Accent2 4 7 3" xfId="21402" xr:uid="{5B684A9F-F3BB-4793-A021-96ECA97171B5}"/>
    <cellStyle name="20% - Accent2 4 8" xfId="8744" xr:uid="{D037D2AC-E513-4A7C-96D0-F9E5705818A6}"/>
    <cellStyle name="20% - Accent2 4 9" xfId="17185" xr:uid="{490A3948-2559-40EE-9E5A-5B4CBBFECA07}"/>
    <cellStyle name="20% - Accent2 5" xfId="578" xr:uid="{00000000-0005-0000-0000-00002E010000}"/>
    <cellStyle name="20% - Accent2 5 2" xfId="2849" xr:uid="{00000000-0005-0000-0000-00002F010000}"/>
    <cellStyle name="20% - Accent2 5 2 2" xfId="7072" xr:uid="{00000000-0005-0000-0000-000030010000}"/>
    <cellStyle name="20% - Accent2 5 2 2 2" xfId="15514" xr:uid="{C0136CF3-652B-4D2C-A8CC-812CFBB6D8A8}"/>
    <cellStyle name="20% - Accent2 5 2 2 3" xfId="23954" xr:uid="{84E95F28-996E-4A6A-883F-1A751F04BCF8}"/>
    <cellStyle name="20% - Accent2 5 2 3" xfId="11296" xr:uid="{12C94934-4862-4DF4-99A5-D9B66872927C}"/>
    <cellStyle name="20% - Accent2 5 2 4" xfId="19737" xr:uid="{8ED9072C-0D20-4783-8D0B-0124618E22C7}"/>
    <cellStyle name="20% - Accent2 5 3" xfId="4927" xr:uid="{00000000-0005-0000-0000-000031010000}"/>
    <cellStyle name="20% - Accent2 5 3 2" xfId="13369" xr:uid="{F8CE81E4-6033-4709-8213-D49B48532B77}"/>
    <cellStyle name="20% - Accent2 5 3 3" xfId="21809" xr:uid="{6A9EAEDB-0A74-4F71-9F1D-E07DE7AB8A35}"/>
    <cellStyle name="20% - Accent2 5 4" xfId="9151" xr:uid="{53E08361-50DE-4CA8-AB1A-261F3D6EB716}"/>
    <cellStyle name="20% - Accent2 5 5" xfId="17592" xr:uid="{E29EE280-BD22-46C0-8844-40B1CAEEA5B1}"/>
    <cellStyle name="20% - Accent2 6" xfId="1031" xr:uid="{00000000-0005-0000-0000-000032010000}"/>
    <cellStyle name="20% - Accent2 6 2" xfId="3262" xr:uid="{00000000-0005-0000-0000-000033010000}"/>
    <cellStyle name="20% - Accent2 6 2 2" xfId="7485" xr:uid="{00000000-0005-0000-0000-000034010000}"/>
    <cellStyle name="20% - Accent2 6 2 2 2" xfId="15927" xr:uid="{42EEE987-9865-4392-B97B-511C8B77BAFB}"/>
    <cellStyle name="20% - Accent2 6 2 2 3" xfId="24367" xr:uid="{BD119C27-D565-4856-AF6F-1E91C1B7A07B}"/>
    <cellStyle name="20% - Accent2 6 2 3" xfId="11709" xr:uid="{4B234684-C00E-4627-A5B9-ECB8D05BED78}"/>
    <cellStyle name="20% - Accent2 6 2 4" xfId="20150" xr:uid="{AF5D71D3-1633-4FCF-903A-C383ADBE343D}"/>
    <cellStyle name="20% - Accent2 6 3" xfId="5340" xr:uid="{00000000-0005-0000-0000-000035010000}"/>
    <cellStyle name="20% - Accent2 6 3 2" xfId="13782" xr:uid="{64E80141-4F72-45C9-9AD4-E984271CD8C9}"/>
    <cellStyle name="20% - Accent2 6 3 3" xfId="22222" xr:uid="{C60103FC-B466-4834-8840-4F7476E342BE}"/>
    <cellStyle name="20% - Accent2 6 4" xfId="9564" xr:uid="{0877A170-4328-4265-B149-26AE8BF3B5B9}"/>
    <cellStyle name="20% - Accent2 6 5" xfId="18005" xr:uid="{0A956325-AE04-4127-AF77-1B91F164FC60}"/>
    <cellStyle name="20% - Accent2 7" xfId="1445" xr:uid="{00000000-0005-0000-0000-000036010000}"/>
    <cellStyle name="20% - Accent2 7 2" xfId="3675" xr:uid="{00000000-0005-0000-0000-000037010000}"/>
    <cellStyle name="20% - Accent2 7 2 2" xfId="7898" xr:uid="{00000000-0005-0000-0000-000038010000}"/>
    <cellStyle name="20% - Accent2 7 2 2 2" xfId="16340" xr:uid="{084B6356-D93A-4DDB-8C03-2D196F5B73CA}"/>
    <cellStyle name="20% - Accent2 7 2 2 3" xfId="24780" xr:uid="{EAD5AB74-52FE-4346-AB9F-E0042F0E747D}"/>
    <cellStyle name="20% - Accent2 7 2 3" xfId="12122" xr:uid="{04052C30-ABD6-4D7E-8805-70F3E74B3D80}"/>
    <cellStyle name="20% - Accent2 7 2 4" xfId="20563" xr:uid="{A2B21A61-4F40-49FA-B6DE-CB4772CC98E9}"/>
    <cellStyle name="20% - Accent2 7 3" xfId="5753" xr:uid="{00000000-0005-0000-0000-000039010000}"/>
    <cellStyle name="20% - Accent2 7 3 2" xfId="14195" xr:uid="{26D554A4-9904-43E5-866A-E54DF00B0E0D}"/>
    <cellStyle name="20% - Accent2 7 3 3" xfId="22635" xr:uid="{2302359F-DCDA-43B4-B632-EDE059570A50}"/>
    <cellStyle name="20% - Accent2 7 4" xfId="9977" xr:uid="{475922BD-B30C-41C4-A758-D54A0ED2487E}"/>
    <cellStyle name="20% - Accent2 7 5" xfId="18418" xr:uid="{02C56A5E-0997-4D7E-ACBC-2A71C3336B2C}"/>
    <cellStyle name="20% - Accent2 8" xfId="1859" xr:uid="{00000000-0005-0000-0000-00003A010000}"/>
    <cellStyle name="20% - Accent2 8 2" xfId="4088" xr:uid="{00000000-0005-0000-0000-00003B010000}"/>
    <cellStyle name="20% - Accent2 8 2 2" xfId="8311" xr:uid="{00000000-0005-0000-0000-00003C010000}"/>
    <cellStyle name="20% - Accent2 8 2 2 2" xfId="16753" xr:uid="{778A55C4-8EF6-4125-A17B-C131B0EC1C5A}"/>
    <cellStyle name="20% - Accent2 8 2 2 3" xfId="25193" xr:uid="{5E2B88A1-E43D-4331-BB63-A310A5837946}"/>
    <cellStyle name="20% - Accent2 8 2 3" xfId="12535" xr:uid="{E8E2B630-7CEF-4F81-9551-D7207BC75F88}"/>
    <cellStyle name="20% - Accent2 8 2 4" xfId="20976" xr:uid="{5EE6A4F4-475E-4492-9302-4EA76B46A0D0}"/>
    <cellStyle name="20% - Accent2 8 3" xfId="6166" xr:uid="{00000000-0005-0000-0000-00003D010000}"/>
    <cellStyle name="20% - Accent2 8 3 2" xfId="14608" xr:uid="{7910C171-0121-476A-8616-1F8D0DCF9E63}"/>
    <cellStyle name="20% - Accent2 8 3 3" xfId="23048" xr:uid="{D7F14474-4C92-4742-9027-26896614DAFC}"/>
    <cellStyle name="20% - Accent2 8 4" xfId="10390" xr:uid="{B45127DE-7048-4800-A4B7-3708952DC881}"/>
    <cellStyle name="20% - Accent2 8 5" xfId="18831" xr:uid="{64FE1283-F7BA-48BF-90BB-ECD22EAE2945}"/>
    <cellStyle name="20% - Accent2 9" xfId="2272" xr:uid="{00000000-0005-0000-0000-00003E010000}"/>
    <cellStyle name="20% - Accent2 9 2" xfId="6579" xr:uid="{00000000-0005-0000-0000-00003F010000}"/>
    <cellStyle name="20% - Accent2 9 2 2" xfId="15021" xr:uid="{824EC60C-8267-424C-AE40-D8B5D9D361FE}"/>
    <cellStyle name="20% - Accent2 9 2 3" xfId="23461" xr:uid="{5E57001F-6C01-4E55-9D3B-D38525560A20}"/>
    <cellStyle name="20% - Accent2 9 3" xfId="10803" xr:uid="{356A7540-8A31-400F-AFB1-C774509CE632}"/>
    <cellStyle name="20% - Accent2 9 4" xfId="19244" xr:uid="{BDF96B06-66B5-4FFB-BB80-B60F89600F38}"/>
    <cellStyle name="20% - Accent3" xfId="17" builtinId="38" customBuiltin="1"/>
    <cellStyle name="20% - Accent3 10" xfId="4521" xr:uid="{00000000-0005-0000-0000-000041010000}"/>
    <cellStyle name="20% - Accent3 10 2" xfId="12963" xr:uid="{F1D51696-05B3-44F3-A98A-C7A61AB7A3A3}"/>
    <cellStyle name="20% - Accent3 10 3" xfId="21403" xr:uid="{3D33A840-6BCC-4247-BBB0-85623306B003}"/>
    <cellStyle name="20% - Accent3 11" xfId="8745" xr:uid="{FECA7CB8-1509-45A4-BFF8-0C269C622B04}"/>
    <cellStyle name="20% - Accent3 12" xfId="17186" xr:uid="{2172BB11-6470-46F6-A0BA-29E374F282BF}"/>
    <cellStyle name="20% - Accent3 2" xfId="18" xr:uid="{00000000-0005-0000-0000-000042010000}"/>
    <cellStyle name="20% - Accent3 2 10" xfId="8746" xr:uid="{349A3294-8B18-4FF6-86F7-44F7D1A50723}"/>
    <cellStyle name="20% - Accent3 2 11" xfId="17187" xr:uid="{31130995-E080-43C5-9C40-B9711E281A8C}"/>
    <cellStyle name="20% - Accent3 2 2" xfId="19" xr:uid="{00000000-0005-0000-0000-000043010000}"/>
    <cellStyle name="20% - Accent3 2 2 10" xfId="17188" xr:uid="{50593C90-1813-490A-B029-91622CA090A2}"/>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15525" xr:uid="{4C3A7311-622D-4EE8-BD94-EFD0CB5CA3E7}"/>
    <cellStyle name="20% - Accent3 2 2 2 2 2 2 3" xfId="23965" xr:uid="{7F99DB32-E875-449D-A8D2-7C51E9A2BEF7}"/>
    <cellStyle name="20% - Accent3 2 2 2 2 2 3" xfId="11307" xr:uid="{D62F6218-7138-41F0-B09F-8CAE817264C6}"/>
    <cellStyle name="20% - Accent3 2 2 2 2 2 4" xfId="19748" xr:uid="{65B7EA26-8ECF-4C39-AA7B-D5B664AA167A}"/>
    <cellStyle name="20% - Accent3 2 2 2 2 3" xfId="4938" xr:uid="{00000000-0005-0000-0000-000048010000}"/>
    <cellStyle name="20% - Accent3 2 2 2 2 3 2" xfId="13380" xr:uid="{F25C5F21-8BD9-4C82-BF5A-14637A229961}"/>
    <cellStyle name="20% - Accent3 2 2 2 2 3 3" xfId="21820" xr:uid="{D6D2B5B7-C007-4164-8FD7-3CECE0E75278}"/>
    <cellStyle name="20% - Accent3 2 2 2 2 4" xfId="9162" xr:uid="{1762A673-6911-4391-BD2E-086FA39205F0}"/>
    <cellStyle name="20% - Accent3 2 2 2 2 5" xfId="17603" xr:uid="{E217C9F6-6D39-40D4-A571-80EE7BF962C6}"/>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15938" xr:uid="{E4B15FAA-E498-4BD1-AB03-60F979D89141}"/>
    <cellStyle name="20% - Accent3 2 2 2 3 2 2 3" xfId="24378" xr:uid="{3333EC2C-AC2C-4A6D-AFE5-A970BFA06312}"/>
    <cellStyle name="20% - Accent3 2 2 2 3 2 3" xfId="11720" xr:uid="{C446AFAB-412B-4662-8B94-0EAB1D195F95}"/>
    <cellStyle name="20% - Accent3 2 2 2 3 2 4" xfId="20161" xr:uid="{C7107E2D-6164-4F81-AFA5-69C378436A0D}"/>
    <cellStyle name="20% - Accent3 2 2 2 3 3" xfId="5351" xr:uid="{00000000-0005-0000-0000-00004C010000}"/>
    <cellStyle name="20% - Accent3 2 2 2 3 3 2" xfId="13793" xr:uid="{501142E8-B123-4833-9EAE-4469CCCE1F03}"/>
    <cellStyle name="20% - Accent3 2 2 2 3 3 3" xfId="22233" xr:uid="{9831C516-3F53-45BD-96A2-139A663A6514}"/>
    <cellStyle name="20% - Accent3 2 2 2 3 4" xfId="9575" xr:uid="{ED4E4412-3A6F-48FC-850C-E2D9EBAEB7F1}"/>
    <cellStyle name="20% - Accent3 2 2 2 3 5" xfId="18016" xr:uid="{158DA0E8-B097-4634-A667-4F4A681A284C}"/>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16351" xr:uid="{9A36E79D-BEA3-48F0-8FBE-E51B2FBE11D7}"/>
    <cellStyle name="20% - Accent3 2 2 2 4 2 2 3" xfId="24791" xr:uid="{AEC35703-1015-4704-9DA8-734FD5387CD3}"/>
    <cellStyle name="20% - Accent3 2 2 2 4 2 3" xfId="12133" xr:uid="{BF95CDA9-F248-4855-9C34-1FA02C43DD77}"/>
    <cellStyle name="20% - Accent3 2 2 2 4 2 4" xfId="20574" xr:uid="{B856CDCF-4CE0-48C1-8EFB-0C9290A29533}"/>
    <cellStyle name="20% - Accent3 2 2 2 4 3" xfId="5764" xr:uid="{00000000-0005-0000-0000-000050010000}"/>
    <cellStyle name="20% - Accent3 2 2 2 4 3 2" xfId="14206" xr:uid="{DEB7B377-77A7-4880-A3A2-1F41A97C413B}"/>
    <cellStyle name="20% - Accent3 2 2 2 4 3 3" xfId="22646" xr:uid="{032E7580-539B-4F14-9B69-629F7E48B9B1}"/>
    <cellStyle name="20% - Accent3 2 2 2 4 4" xfId="9988" xr:uid="{7C8744F1-E002-410D-8E5A-DC877C6CC330}"/>
    <cellStyle name="20% - Accent3 2 2 2 4 5" xfId="18429" xr:uid="{68FFD1FC-8345-4156-A86F-F3EA22354701}"/>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16764" xr:uid="{C01ADDAC-7E86-4D8C-9C90-0A8E19B1C401}"/>
    <cellStyle name="20% - Accent3 2 2 2 5 2 2 3" xfId="25204" xr:uid="{2FEAF422-136F-4D8F-A9A3-3FD57D68315C}"/>
    <cellStyle name="20% - Accent3 2 2 2 5 2 3" xfId="12546" xr:uid="{98AE1781-1E18-448C-9C5D-BEEF5458E442}"/>
    <cellStyle name="20% - Accent3 2 2 2 5 2 4" xfId="20987" xr:uid="{92EEB4C2-21AA-42D5-8333-F18E0926CD29}"/>
    <cellStyle name="20% - Accent3 2 2 2 5 3" xfId="6177" xr:uid="{00000000-0005-0000-0000-000054010000}"/>
    <cellStyle name="20% - Accent3 2 2 2 5 3 2" xfId="14619" xr:uid="{9359E018-E1B4-413A-9A97-9454D2828256}"/>
    <cellStyle name="20% - Accent3 2 2 2 5 3 3" xfId="23059" xr:uid="{0DDACF4D-65FA-4439-B905-3AE846A5345A}"/>
    <cellStyle name="20% - Accent3 2 2 2 5 4" xfId="10401" xr:uid="{39FBE7E6-307F-4085-81D4-6EDA528F501B}"/>
    <cellStyle name="20% - Accent3 2 2 2 5 5" xfId="18842" xr:uid="{4ADC9393-BC4D-440F-A89D-FCA4EA14B7E7}"/>
    <cellStyle name="20% - Accent3 2 2 2 6" xfId="2283" xr:uid="{00000000-0005-0000-0000-000055010000}"/>
    <cellStyle name="20% - Accent3 2 2 2 6 2" xfId="6590" xr:uid="{00000000-0005-0000-0000-000056010000}"/>
    <cellStyle name="20% - Accent3 2 2 2 6 2 2" xfId="15032" xr:uid="{9F054A07-972A-4084-A35F-1EE059FB0437}"/>
    <cellStyle name="20% - Accent3 2 2 2 6 2 3" xfId="23472" xr:uid="{8F526217-CE54-4195-BE9E-C1D688D5B7A0}"/>
    <cellStyle name="20% - Accent3 2 2 2 6 3" xfId="10814" xr:uid="{9F79B3BF-16D5-48B2-B89A-14C32D81506C}"/>
    <cellStyle name="20% - Accent3 2 2 2 6 4" xfId="19255" xr:uid="{3B27D9CC-DD46-42BE-8ACB-8ACF4C25B31E}"/>
    <cellStyle name="20% - Accent3 2 2 2 7" xfId="4524" xr:uid="{00000000-0005-0000-0000-000057010000}"/>
    <cellStyle name="20% - Accent3 2 2 2 7 2" xfId="12966" xr:uid="{DEAE27E6-30D2-4619-898D-8C8FB46FAA9F}"/>
    <cellStyle name="20% - Accent3 2 2 2 7 3" xfId="21406" xr:uid="{365C6599-7C97-443D-8AF1-27328F88B602}"/>
    <cellStyle name="20% - Accent3 2 2 2 8" xfId="8748" xr:uid="{A2073CFD-4275-487D-BB4D-8F96815DC191}"/>
    <cellStyle name="20% - Accent3 2 2 2 9" xfId="17189" xr:uid="{520BE730-0B9F-4DE6-B6E2-03532070B466}"/>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15524" xr:uid="{C97400C7-C4FE-434A-8DDD-FB00030D6C33}"/>
    <cellStyle name="20% - Accent3 2 2 3 2 2 3" xfId="23964" xr:uid="{445616D7-EF65-444A-8FB3-1BE63AF466EA}"/>
    <cellStyle name="20% - Accent3 2 2 3 2 3" xfId="11306" xr:uid="{EE1C7F06-B54F-46C0-8015-261BC5638490}"/>
    <cellStyle name="20% - Accent3 2 2 3 2 4" xfId="19747" xr:uid="{337B5503-0079-49F7-B53D-F8E835BB438B}"/>
    <cellStyle name="20% - Accent3 2 2 3 3" xfId="4937" xr:uid="{00000000-0005-0000-0000-00005B010000}"/>
    <cellStyle name="20% - Accent3 2 2 3 3 2" xfId="13379" xr:uid="{0870A3A0-3B33-44B8-A8A4-980573F9F31B}"/>
    <cellStyle name="20% - Accent3 2 2 3 3 3" xfId="21819" xr:uid="{F670CF78-CE28-4311-8DBA-B2FF2E5682FC}"/>
    <cellStyle name="20% - Accent3 2 2 3 4" xfId="9161" xr:uid="{54414E32-0CCC-4B02-8C50-3F2D40AD6E93}"/>
    <cellStyle name="20% - Accent3 2 2 3 5" xfId="17602" xr:uid="{900F8434-C7CD-49C1-8F31-DB9628A332ED}"/>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15937" xr:uid="{5DDAFE4C-A57F-43E6-874A-D6AAD36D54D4}"/>
    <cellStyle name="20% - Accent3 2 2 4 2 2 3" xfId="24377" xr:uid="{D1B5F096-3EA4-42EA-A58A-551714CC3303}"/>
    <cellStyle name="20% - Accent3 2 2 4 2 3" xfId="11719" xr:uid="{5BAF4E16-978A-4F9F-8F3F-8DE895F6D439}"/>
    <cellStyle name="20% - Accent3 2 2 4 2 4" xfId="20160" xr:uid="{02D9EBDA-818F-48EA-A2BE-AEAD8C531169}"/>
    <cellStyle name="20% - Accent3 2 2 4 3" xfId="5350" xr:uid="{00000000-0005-0000-0000-00005F010000}"/>
    <cellStyle name="20% - Accent3 2 2 4 3 2" xfId="13792" xr:uid="{9BE9CF2E-5CDA-4747-9F93-AC416E543436}"/>
    <cellStyle name="20% - Accent3 2 2 4 3 3" xfId="22232" xr:uid="{E65D526D-F26B-4D9A-B797-25445A4EF463}"/>
    <cellStyle name="20% - Accent3 2 2 4 4" xfId="9574" xr:uid="{6B4AB888-B9F1-4FB1-9645-E2369C28E4FD}"/>
    <cellStyle name="20% - Accent3 2 2 4 5" xfId="18015" xr:uid="{97254C3F-98F9-4E19-A598-9C1048D11347}"/>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16350" xr:uid="{A41635F4-8C88-4A9F-89CA-3B014DD6CC6F}"/>
    <cellStyle name="20% - Accent3 2 2 5 2 2 3" xfId="24790" xr:uid="{72161B17-33C6-44DE-9F1A-E6B767D74B0C}"/>
    <cellStyle name="20% - Accent3 2 2 5 2 3" xfId="12132" xr:uid="{42A2E1BB-CED7-4FC3-9EE2-32F1C9F16244}"/>
    <cellStyle name="20% - Accent3 2 2 5 2 4" xfId="20573" xr:uid="{801C5437-B87B-4483-9A76-9CF2262353A0}"/>
    <cellStyle name="20% - Accent3 2 2 5 3" xfId="5763" xr:uid="{00000000-0005-0000-0000-000063010000}"/>
    <cellStyle name="20% - Accent3 2 2 5 3 2" xfId="14205" xr:uid="{223F0379-9069-49D8-A3F7-CF698E0B81DD}"/>
    <cellStyle name="20% - Accent3 2 2 5 3 3" xfId="22645" xr:uid="{55ECABDE-1B1E-4F2E-B3EE-0AB4BD91C18E}"/>
    <cellStyle name="20% - Accent3 2 2 5 4" xfId="9987" xr:uid="{0BFFDF1D-5238-453D-BBD1-9E015EC0E544}"/>
    <cellStyle name="20% - Accent3 2 2 5 5" xfId="18428" xr:uid="{8FE481B9-A430-42EE-94C0-245DDE90E592}"/>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16763" xr:uid="{FD958C3F-9253-46CD-8242-DFEDD9C2CFF1}"/>
    <cellStyle name="20% - Accent3 2 2 6 2 2 3" xfId="25203" xr:uid="{6FDDC1A5-9D8C-4293-8AF9-1B86CBA87A84}"/>
    <cellStyle name="20% - Accent3 2 2 6 2 3" xfId="12545" xr:uid="{952C3B95-EA72-49B8-948B-2A528C55FEC7}"/>
    <cellStyle name="20% - Accent3 2 2 6 2 4" xfId="20986" xr:uid="{2D28A8F9-36F7-4032-A33F-2E80075E9026}"/>
    <cellStyle name="20% - Accent3 2 2 6 3" xfId="6176" xr:uid="{00000000-0005-0000-0000-000067010000}"/>
    <cellStyle name="20% - Accent3 2 2 6 3 2" xfId="14618" xr:uid="{9AADE577-66B7-4DE7-A4BA-917A4A32BE92}"/>
    <cellStyle name="20% - Accent3 2 2 6 3 3" xfId="23058" xr:uid="{9CBFD916-DCBE-4DD9-9493-9DA8C320186B}"/>
    <cellStyle name="20% - Accent3 2 2 6 4" xfId="10400" xr:uid="{8CD6CDDD-928A-4472-B4DB-826730942FB5}"/>
    <cellStyle name="20% - Accent3 2 2 6 5" xfId="18841" xr:uid="{B907024B-F86F-4FBA-90E4-4552731970FB}"/>
    <cellStyle name="20% - Accent3 2 2 7" xfId="2282" xr:uid="{00000000-0005-0000-0000-000068010000}"/>
    <cellStyle name="20% - Accent3 2 2 7 2" xfId="6589" xr:uid="{00000000-0005-0000-0000-000069010000}"/>
    <cellStyle name="20% - Accent3 2 2 7 2 2" xfId="15031" xr:uid="{00035863-ED74-43F6-BB22-F2C02AFAA637}"/>
    <cellStyle name="20% - Accent3 2 2 7 2 3" xfId="23471" xr:uid="{AD08A935-EA9D-4E25-AE7A-CF5BEAD590EA}"/>
    <cellStyle name="20% - Accent3 2 2 7 3" xfId="10813" xr:uid="{058A9E43-EF46-47D5-8EA4-16B0CBFBDCE2}"/>
    <cellStyle name="20% - Accent3 2 2 7 4" xfId="19254" xr:uid="{15C11CFC-7652-41CB-B2B6-2AE44A1CD1AD}"/>
    <cellStyle name="20% - Accent3 2 2 8" xfId="4523" xr:uid="{00000000-0005-0000-0000-00006A010000}"/>
    <cellStyle name="20% - Accent3 2 2 8 2" xfId="12965" xr:uid="{B8FBC5D8-EF5E-434B-85F7-7A1637F6A7A6}"/>
    <cellStyle name="20% - Accent3 2 2 8 3" xfId="21405" xr:uid="{00C15F04-505B-457A-9EA6-B4031694105C}"/>
    <cellStyle name="20% - Accent3 2 2 9" xfId="8747" xr:uid="{195F77AE-E295-4F33-A0C6-2E882CDE1137}"/>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15526" xr:uid="{E58AD8A4-EE94-44B4-BB1A-62CEFF234D56}"/>
    <cellStyle name="20% - Accent3 2 3 2 2 2 3" xfId="23966" xr:uid="{D270636C-417D-433B-AC0D-1F08486DD0D8}"/>
    <cellStyle name="20% - Accent3 2 3 2 2 3" xfId="11308" xr:uid="{40EFEA00-F3EF-4798-BC89-8DEFB756BA50}"/>
    <cellStyle name="20% - Accent3 2 3 2 2 4" xfId="19749" xr:uid="{4B0F4DAF-94AC-4294-938C-F47F86D9AB47}"/>
    <cellStyle name="20% - Accent3 2 3 2 3" xfId="4939" xr:uid="{00000000-0005-0000-0000-00006F010000}"/>
    <cellStyle name="20% - Accent3 2 3 2 3 2" xfId="13381" xr:uid="{425F0DDF-DA76-4B2C-8510-47ED06E93267}"/>
    <cellStyle name="20% - Accent3 2 3 2 3 3" xfId="21821" xr:uid="{CBFDEA32-AF97-4D9E-9B4E-B746E91856D9}"/>
    <cellStyle name="20% - Accent3 2 3 2 4" xfId="9163" xr:uid="{7E14598E-BA98-44CC-BBF0-747C488A2A9C}"/>
    <cellStyle name="20% - Accent3 2 3 2 5" xfId="17604" xr:uid="{6B041105-00E8-47A5-9D57-960EA1C95F09}"/>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15939" xr:uid="{0400E593-51CF-4D0F-BE41-8BACAD73CAB3}"/>
    <cellStyle name="20% - Accent3 2 3 3 2 2 3" xfId="24379" xr:uid="{086862B8-41C8-44C8-A35A-A57D608EC36B}"/>
    <cellStyle name="20% - Accent3 2 3 3 2 3" xfId="11721" xr:uid="{49BE8292-AC31-4B86-88B7-DEF1F1601DDC}"/>
    <cellStyle name="20% - Accent3 2 3 3 2 4" xfId="20162" xr:uid="{97405D89-EC8F-491A-9F87-F6F9658FD362}"/>
    <cellStyle name="20% - Accent3 2 3 3 3" xfId="5352" xr:uid="{00000000-0005-0000-0000-000073010000}"/>
    <cellStyle name="20% - Accent3 2 3 3 3 2" xfId="13794" xr:uid="{9F56B260-1044-408D-AC7D-DC2B3F923175}"/>
    <cellStyle name="20% - Accent3 2 3 3 3 3" xfId="22234" xr:uid="{77166A95-B211-4C0F-93C6-1F6CE0A9D069}"/>
    <cellStyle name="20% - Accent3 2 3 3 4" xfId="9576" xr:uid="{1295E6CB-5F38-4731-BE3F-97541A362DAA}"/>
    <cellStyle name="20% - Accent3 2 3 3 5" xfId="18017" xr:uid="{1493D5B6-25B7-4F02-A173-C43E13349394}"/>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16352" xr:uid="{9079885A-B1A4-45DF-B0CF-03FE61FB9F1E}"/>
    <cellStyle name="20% - Accent3 2 3 4 2 2 3" xfId="24792" xr:uid="{0EBB19AD-3B2A-4FE1-99A3-5CC5366D0C68}"/>
    <cellStyle name="20% - Accent3 2 3 4 2 3" xfId="12134" xr:uid="{6567F47B-90BC-48D9-923E-F422CDD17907}"/>
    <cellStyle name="20% - Accent3 2 3 4 2 4" xfId="20575" xr:uid="{D01D3D15-F0B7-41D6-BEA9-2542534B3E04}"/>
    <cellStyle name="20% - Accent3 2 3 4 3" xfId="5765" xr:uid="{00000000-0005-0000-0000-000077010000}"/>
    <cellStyle name="20% - Accent3 2 3 4 3 2" xfId="14207" xr:uid="{7DBB9F60-2613-4038-AA51-49A9B06D01EE}"/>
    <cellStyle name="20% - Accent3 2 3 4 3 3" xfId="22647" xr:uid="{A48F2C6C-0EBB-496C-8CF6-6FE5BC9096AE}"/>
    <cellStyle name="20% - Accent3 2 3 4 4" xfId="9989" xr:uid="{6BD0EC25-1F5E-40C4-8461-018B4AB4145F}"/>
    <cellStyle name="20% - Accent3 2 3 4 5" xfId="18430" xr:uid="{B5EBA9AB-DAFC-4E46-B33A-7FD9956D220E}"/>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16765" xr:uid="{10A597C1-17CF-42CA-8EB5-2FAF814E180A}"/>
    <cellStyle name="20% - Accent3 2 3 5 2 2 3" xfId="25205" xr:uid="{725AE8DE-11B7-4DD7-B0B3-1186BDCC6132}"/>
    <cellStyle name="20% - Accent3 2 3 5 2 3" xfId="12547" xr:uid="{F12E9B46-61AA-4E31-B755-59D193FB986E}"/>
    <cellStyle name="20% - Accent3 2 3 5 2 4" xfId="20988" xr:uid="{A07A2368-ABE3-4906-9945-A981CDF9474C}"/>
    <cellStyle name="20% - Accent3 2 3 5 3" xfId="6178" xr:uid="{00000000-0005-0000-0000-00007B010000}"/>
    <cellStyle name="20% - Accent3 2 3 5 3 2" xfId="14620" xr:uid="{12F68A08-345D-4AA4-8C3D-02C2DBFE6DD9}"/>
    <cellStyle name="20% - Accent3 2 3 5 3 3" xfId="23060" xr:uid="{7BAFE09F-2BD9-469B-8D32-0460D63D1517}"/>
    <cellStyle name="20% - Accent3 2 3 5 4" xfId="10402" xr:uid="{271473F2-1978-42BC-BF64-C7D9B5EDF47C}"/>
    <cellStyle name="20% - Accent3 2 3 5 5" xfId="18843" xr:uid="{00291B77-A9A9-4D17-B7AB-FBB939895D9F}"/>
    <cellStyle name="20% - Accent3 2 3 6" xfId="2284" xr:uid="{00000000-0005-0000-0000-00007C010000}"/>
    <cellStyle name="20% - Accent3 2 3 6 2" xfId="6591" xr:uid="{00000000-0005-0000-0000-00007D010000}"/>
    <cellStyle name="20% - Accent3 2 3 6 2 2" xfId="15033" xr:uid="{7673E650-D56D-4E4D-9600-C5E1391D98C9}"/>
    <cellStyle name="20% - Accent3 2 3 6 2 3" xfId="23473" xr:uid="{A29C78A0-B88A-4298-B0B1-142D262E1954}"/>
    <cellStyle name="20% - Accent3 2 3 6 3" xfId="10815" xr:uid="{841DAC0E-F7E6-47AA-8A5D-2EC8A5ED84DD}"/>
    <cellStyle name="20% - Accent3 2 3 6 4" xfId="19256" xr:uid="{D54D4DA9-32F2-4CE0-9FBA-53AFA3F23824}"/>
    <cellStyle name="20% - Accent3 2 3 7" xfId="4525" xr:uid="{00000000-0005-0000-0000-00007E010000}"/>
    <cellStyle name="20% - Accent3 2 3 7 2" xfId="12967" xr:uid="{8FCB2E74-BAB4-4133-A0DA-B94E48A86EF5}"/>
    <cellStyle name="20% - Accent3 2 3 7 3" xfId="21407" xr:uid="{B8C12255-1F6E-490B-B425-3FCCC5616342}"/>
    <cellStyle name="20% - Accent3 2 3 8" xfId="8749" xr:uid="{909B2DCD-AE01-4510-8E13-E1DEF892FD63}"/>
    <cellStyle name="20% - Accent3 2 3 9" xfId="17190" xr:uid="{D0C0AB96-EB31-4671-B51A-E789B7AB149B}"/>
    <cellStyle name="20% - Accent3 2 4" xfId="587" xr:uid="{00000000-0005-0000-0000-00007F010000}"/>
    <cellStyle name="20% - Accent3 2 4 2" xfId="2858" xr:uid="{00000000-0005-0000-0000-000080010000}"/>
    <cellStyle name="20% - Accent3 2 4 2 2" xfId="7081" xr:uid="{00000000-0005-0000-0000-000081010000}"/>
    <cellStyle name="20% - Accent3 2 4 2 2 2" xfId="15523" xr:uid="{823DBD79-1940-4A0F-9E21-C86C58A83719}"/>
    <cellStyle name="20% - Accent3 2 4 2 2 3" xfId="23963" xr:uid="{9AEF4697-A507-42A4-8833-57EEAB2C9585}"/>
    <cellStyle name="20% - Accent3 2 4 2 3" xfId="11305" xr:uid="{E4DFC3E0-CFE6-4286-A73A-3EFED7CC566C}"/>
    <cellStyle name="20% - Accent3 2 4 2 4" xfId="19746" xr:uid="{E1C787AB-C3F0-40AF-ACF8-58DD13B363D5}"/>
    <cellStyle name="20% - Accent3 2 4 3" xfId="4936" xr:uid="{00000000-0005-0000-0000-000082010000}"/>
    <cellStyle name="20% - Accent3 2 4 3 2" xfId="13378" xr:uid="{15F50A37-BA32-488E-993E-AFEBFDB0FF4F}"/>
    <cellStyle name="20% - Accent3 2 4 3 3" xfId="21818" xr:uid="{E432790D-F047-424B-BCB1-0B85B8648DC4}"/>
    <cellStyle name="20% - Accent3 2 4 4" xfId="9160" xr:uid="{2DFF0697-E0F5-4103-B1E5-16B233F010B3}"/>
    <cellStyle name="20% - Accent3 2 4 5" xfId="17601" xr:uid="{566D234A-68B6-4BD5-91F2-828B3C96F051}"/>
    <cellStyle name="20% - Accent3 2 5" xfId="1040" xr:uid="{00000000-0005-0000-0000-000083010000}"/>
    <cellStyle name="20% - Accent3 2 5 2" xfId="3271" xr:uid="{00000000-0005-0000-0000-000084010000}"/>
    <cellStyle name="20% - Accent3 2 5 2 2" xfId="7494" xr:uid="{00000000-0005-0000-0000-000085010000}"/>
    <cellStyle name="20% - Accent3 2 5 2 2 2" xfId="15936" xr:uid="{FC574433-1972-484F-9FAE-19E840C3A3E7}"/>
    <cellStyle name="20% - Accent3 2 5 2 2 3" xfId="24376" xr:uid="{2A3590E3-E2B9-45E7-903A-6CF9B209846A}"/>
    <cellStyle name="20% - Accent3 2 5 2 3" xfId="11718" xr:uid="{210FEDC3-CBF7-4483-83D4-8FE2EE9BBF37}"/>
    <cellStyle name="20% - Accent3 2 5 2 4" xfId="20159" xr:uid="{050B1428-DC1C-4459-91C8-3523FF7293ED}"/>
    <cellStyle name="20% - Accent3 2 5 3" xfId="5349" xr:uid="{00000000-0005-0000-0000-000086010000}"/>
    <cellStyle name="20% - Accent3 2 5 3 2" xfId="13791" xr:uid="{FAABBEFD-83E1-45D5-94E0-B1E24863C07D}"/>
    <cellStyle name="20% - Accent3 2 5 3 3" xfId="22231" xr:uid="{C8E089CD-9104-426C-B0F8-A119DD1B923A}"/>
    <cellStyle name="20% - Accent3 2 5 4" xfId="9573" xr:uid="{350E4A66-22FF-412D-8A7F-7292C7999B51}"/>
    <cellStyle name="20% - Accent3 2 5 5" xfId="18014" xr:uid="{8ACCF1F7-B925-41F0-BADC-6257B14CC5F8}"/>
    <cellStyle name="20% - Accent3 2 6" xfId="1454" xr:uid="{00000000-0005-0000-0000-000087010000}"/>
    <cellStyle name="20% - Accent3 2 6 2" xfId="3684" xr:uid="{00000000-0005-0000-0000-000088010000}"/>
    <cellStyle name="20% - Accent3 2 6 2 2" xfId="7907" xr:uid="{00000000-0005-0000-0000-000089010000}"/>
    <cellStyle name="20% - Accent3 2 6 2 2 2" xfId="16349" xr:uid="{3CE1668E-49BD-48A1-8EFC-74AC8F208EAD}"/>
    <cellStyle name="20% - Accent3 2 6 2 2 3" xfId="24789" xr:uid="{B3BE9215-65E1-4397-94B6-19B71E2244AD}"/>
    <cellStyle name="20% - Accent3 2 6 2 3" xfId="12131" xr:uid="{10911823-5F7E-4D27-AFD7-3E4D05036ADB}"/>
    <cellStyle name="20% - Accent3 2 6 2 4" xfId="20572" xr:uid="{2578DB41-0184-45D6-BB27-60B283B77F9B}"/>
    <cellStyle name="20% - Accent3 2 6 3" xfId="5762" xr:uid="{00000000-0005-0000-0000-00008A010000}"/>
    <cellStyle name="20% - Accent3 2 6 3 2" xfId="14204" xr:uid="{D10A2BA7-6970-4585-A81F-E5F37FC8A934}"/>
    <cellStyle name="20% - Accent3 2 6 3 3" xfId="22644" xr:uid="{3FA6DEDC-DA70-4E03-B4A0-4FCE00A53C55}"/>
    <cellStyle name="20% - Accent3 2 6 4" xfId="9986" xr:uid="{50F9AB23-585D-4B56-AA29-02D05966A63D}"/>
    <cellStyle name="20% - Accent3 2 6 5" xfId="18427" xr:uid="{324FF897-4841-419F-B063-87F63C9D3C7A}"/>
    <cellStyle name="20% - Accent3 2 7" xfId="1868" xr:uid="{00000000-0005-0000-0000-00008B010000}"/>
    <cellStyle name="20% - Accent3 2 7 2" xfId="4097" xr:uid="{00000000-0005-0000-0000-00008C010000}"/>
    <cellStyle name="20% - Accent3 2 7 2 2" xfId="8320" xr:uid="{00000000-0005-0000-0000-00008D010000}"/>
    <cellStyle name="20% - Accent3 2 7 2 2 2" xfId="16762" xr:uid="{7D98697A-00B7-4415-B887-F1B3EEA5C6C7}"/>
    <cellStyle name="20% - Accent3 2 7 2 2 3" xfId="25202" xr:uid="{59D58D22-1548-4516-84C3-3A6CF4FBB9B6}"/>
    <cellStyle name="20% - Accent3 2 7 2 3" xfId="12544" xr:uid="{4626F3CA-0D89-4DA2-A925-EEF6192B7024}"/>
    <cellStyle name="20% - Accent3 2 7 2 4" xfId="20985" xr:uid="{505ED9A7-4D00-49BE-A7E7-C3E9EB67C9D8}"/>
    <cellStyle name="20% - Accent3 2 7 3" xfId="6175" xr:uid="{00000000-0005-0000-0000-00008E010000}"/>
    <cellStyle name="20% - Accent3 2 7 3 2" xfId="14617" xr:uid="{579A1ECD-AE43-48AC-AFAE-86E3427D2F19}"/>
    <cellStyle name="20% - Accent3 2 7 3 3" xfId="23057" xr:uid="{3C83F2E0-86FD-47FA-89EA-00D70F5412DD}"/>
    <cellStyle name="20% - Accent3 2 7 4" xfId="10399" xr:uid="{DEB25BC5-2FC9-4B7D-8FBD-D837D1111A47}"/>
    <cellStyle name="20% - Accent3 2 7 5" xfId="18840" xr:uid="{F2F6DF89-CFBE-4BF8-8B82-3C8CFDD69A25}"/>
    <cellStyle name="20% - Accent3 2 8" xfId="2281" xr:uid="{00000000-0005-0000-0000-00008F010000}"/>
    <cellStyle name="20% - Accent3 2 8 2" xfId="6588" xr:uid="{00000000-0005-0000-0000-000090010000}"/>
    <cellStyle name="20% - Accent3 2 8 2 2" xfId="15030" xr:uid="{5B962566-7DEB-4335-AF35-9EFF326B9B9A}"/>
    <cellStyle name="20% - Accent3 2 8 2 3" xfId="23470" xr:uid="{605C3284-4A08-4A44-AD0F-7FA164379E12}"/>
    <cellStyle name="20% - Accent3 2 8 3" xfId="10812" xr:uid="{5DCC6414-5318-4F91-991A-4B6037C74628}"/>
    <cellStyle name="20% - Accent3 2 8 4" xfId="19253" xr:uid="{3656FFDB-CD57-4EBC-ABB6-05AEEFD6F3C3}"/>
    <cellStyle name="20% - Accent3 2 9" xfId="4522" xr:uid="{00000000-0005-0000-0000-000091010000}"/>
    <cellStyle name="20% - Accent3 2 9 2" xfId="12964" xr:uid="{12429545-DCC6-498F-B1C0-C2D44B5A21FE}"/>
    <cellStyle name="20% - Accent3 2 9 3" xfId="21404" xr:uid="{44BE5C65-6CB7-435B-A4B5-E3285BAB8A50}"/>
    <cellStyle name="20% - Accent3 3" xfId="22" xr:uid="{00000000-0005-0000-0000-000092010000}"/>
    <cellStyle name="20% - Accent3 3 10" xfId="17191" xr:uid="{2BB39E87-E9EE-49A1-8DE4-A651113866A5}"/>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15528" xr:uid="{FD94B727-C152-4AF5-830A-5A2E71F00956}"/>
    <cellStyle name="20% - Accent3 3 2 2 2 2 3" xfId="23968" xr:uid="{9C58CF9A-41BE-4126-9924-140F5C91B3F6}"/>
    <cellStyle name="20% - Accent3 3 2 2 2 3" xfId="11310" xr:uid="{7E99D625-0F8A-4E5B-B3C5-C7B746CB2705}"/>
    <cellStyle name="20% - Accent3 3 2 2 2 4" xfId="19751" xr:uid="{DEFC6756-F23B-4B9D-BA28-6E9743BA5032}"/>
    <cellStyle name="20% - Accent3 3 2 2 3" xfId="4941" xr:uid="{00000000-0005-0000-0000-000097010000}"/>
    <cellStyle name="20% - Accent3 3 2 2 3 2" xfId="13383" xr:uid="{8E890A3A-BA69-452B-B3E3-12264C8A83DF}"/>
    <cellStyle name="20% - Accent3 3 2 2 3 3" xfId="21823" xr:uid="{A260B293-D687-47FB-9E5E-6C7B1A1E2EE5}"/>
    <cellStyle name="20% - Accent3 3 2 2 4" xfId="9165" xr:uid="{E101F28A-E3E4-412A-8845-458ABFA859E4}"/>
    <cellStyle name="20% - Accent3 3 2 2 5" xfId="17606" xr:uid="{86B41E77-505F-430C-BD6A-19F5D5DE899B}"/>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15941" xr:uid="{76A46F76-99D4-408A-B8C3-4F40C7BB1937}"/>
    <cellStyle name="20% - Accent3 3 2 3 2 2 3" xfId="24381" xr:uid="{075662AF-317F-4ED6-9A31-FF704498415E}"/>
    <cellStyle name="20% - Accent3 3 2 3 2 3" xfId="11723" xr:uid="{3E2E7FE8-AD3C-43CA-A0F1-D4E9B1460864}"/>
    <cellStyle name="20% - Accent3 3 2 3 2 4" xfId="20164" xr:uid="{195E8350-AEBF-472C-8C79-EF63F9B5F1C1}"/>
    <cellStyle name="20% - Accent3 3 2 3 3" xfId="5354" xr:uid="{00000000-0005-0000-0000-00009B010000}"/>
    <cellStyle name="20% - Accent3 3 2 3 3 2" xfId="13796" xr:uid="{90B45F89-EE3E-4E05-9023-34B0E3864F9E}"/>
    <cellStyle name="20% - Accent3 3 2 3 3 3" xfId="22236" xr:uid="{8E129D5D-CB70-480C-BF24-B69005DCF486}"/>
    <cellStyle name="20% - Accent3 3 2 3 4" xfId="9578" xr:uid="{B664B7E1-2FF5-47A8-96BE-84A7CCD790C7}"/>
    <cellStyle name="20% - Accent3 3 2 3 5" xfId="18019" xr:uid="{EBECF726-1EE8-445E-947F-CBEF0E7EA97F}"/>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16354" xr:uid="{DB08AC56-B52C-437B-9E0D-985E65B60DD0}"/>
    <cellStyle name="20% - Accent3 3 2 4 2 2 3" xfId="24794" xr:uid="{0132D6B7-841F-4BE2-9692-2BCD2A20CE18}"/>
    <cellStyle name="20% - Accent3 3 2 4 2 3" xfId="12136" xr:uid="{06A2CCFA-F70A-40A7-AE0E-0AF20AA85870}"/>
    <cellStyle name="20% - Accent3 3 2 4 2 4" xfId="20577" xr:uid="{A3D4026E-1B9E-4399-921D-BF8512759138}"/>
    <cellStyle name="20% - Accent3 3 2 4 3" xfId="5767" xr:uid="{00000000-0005-0000-0000-00009F010000}"/>
    <cellStyle name="20% - Accent3 3 2 4 3 2" xfId="14209" xr:uid="{F7D14412-3976-4C1B-BAFE-E76CDBD4D62B}"/>
    <cellStyle name="20% - Accent3 3 2 4 3 3" xfId="22649" xr:uid="{960B66CE-A228-4992-8481-DB6082A0271E}"/>
    <cellStyle name="20% - Accent3 3 2 4 4" xfId="9991" xr:uid="{13F02B8C-5F91-4ACE-8F7B-BC2BE797EB64}"/>
    <cellStyle name="20% - Accent3 3 2 4 5" xfId="18432" xr:uid="{E4B0201F-9D2C-4121-B6DE-BB4059D14837}"/>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16767" xr:uid="{76BA4BEE-4B19-4CE6-B86D-F0A942F0BE64}"/>
    <cellStyle name="20% - Accent3 3 2 5 2 2 3" xfId="25207" xr:uid="{76E52971-8832-4368-A337-EEE1415A036A}"/>
    <cellStyle name="20% - Accent3 3 2 5 2 3" xfId="12549" xr:uid="{2ED81F5D-A51C-4654-9475-F80B334AE041}"/>
    <cellStyle name="20% - Accent3 3 2 5 2 4" xfId="20990" xr:uid="{DF8B2D26-E914-4380-B887-14C52CA31B5E}"/>
    <cellStyle name="20% - Accent3 3 2 5 3" xfId="6180" xr:uid="{00000000-0005-0000-0000-0000A3010000}"/>
    <cellStyle name="20% - Accent3 3 2 5 3 2" xfId="14622" xr:uid="{DCE2936A-F72F-450E-B2CA-F82FEB9BA314}"/>
    <cellStyle name="20% - Accent3 3 2 5 3 3" xfId="23062" xr:uid="{719CDB24-83D1-4ACC-A14E-3692056E8D43}"/>
    <cellStyle name="20% - Accent3 3 2 5 4" xfId="10404" xr:uid="{A4C3D3C8-4377-4E58-B1C6-99031E253841}"/>
    <cellStyle name="20% - Accent3 3 2 5 5" xfId="18845" xr:uid="{5A6BCA5D-CDD8-46F4-9682-069AB632751C}"/>
    <cellStyle name="20% - Accent3 3 2 6" xfId="2286" xr:uid="{00000000-0005-0000-0000-0000A4010000}"/>
    <cellStyle name="20% - Accent3 3 2 6 2" xfId="6593" xr:uid="{00000000-0005-0000-0000-0000A5010000}"/>
    <cellStyle name="20% - Accent3 3 2 6 2 2" xfId="15035" xr:uid="{ACE2DD47-40B0-4713-AECC-8B981AB4A745}"/>
    <cellStyle name="20% - Accent3 3 2 6 2 3" xfId="23475" xr:uid="{2B489E95-796D-4F96-9BB1-8CA44D84C181}"/>
    <cellStyle name="20% - Accent3 3 2 6 3" xfId="10817" xr:uid="{0734E3C9-165A-42B4-9212-1D760B8A05DE}"/>
    <cellStyle name="20% - Accent3 3 2 6 4" xfId="19258" xr:uid="{9EFA2C82-43DD-40B9-9AA8-F6D6BE9A0058}"/>
    <cellStyle name="20% - Accent3 3 2 7" xfId="4527" xr:uid="{00000000-0005-0000-0000-0000A6010000}"/>
    <cellStyle name="20% - Accent3 3 2 7 2" xfId="12969" xr:uid="{9D28E2EE-4150-46FF-A91B-7560D4FB4806}"/>
    <cellStyle name="20% - Accent3 3 2 7 3" xfId="21409" xr:uid="{3F0E5774-378F-4240-A2A0-94AC9049E560}"/>
    <cellStyle name="20% - Accent3 3 2 8" xfId="8751" xr:uid="{E0C60327-2485-49DA-B1C6-EBBD526E5BA7}"/>
    <cellStyle name="20% - Accent3 3 2 9" xfId="17192" xr:uid="{FD648F1A-7A39-4085-9D94-E96179942214}"/>
    <cellStyle name="20% - Accent3 3 3" xfId="591" xr:uid="{00000000-0005-0000-0000-0000A7010000}"/>
    <cellStyle name="20% - Accent3 3 3 2" xfId="2862" xr:uid="{00000000-0005-0000-0000-0000A8010000}"/>
    <cellStyle name="20% - Accent3 3 3 2 2" xfId="7085" xr:uid="{00000000-0005-0000-0000-0000A9010000}"/>
    <cellStyle name="20% - Accent3 3 3 2 2 2" xfId="15527" xr:uid="{8A836287-680A-4AF5-80C3-0977673B63A4}"/>
    <cellStyle name="20% - Accent3 3 3 2 2 3" xfId="23967" xr:uid="{B02CB415-0463-4A4F-9C41-9E34783DBD3B}"/>
    <cellStyle name="20% - Accent3 3 3 2 3" xfId="11309" xr:uid="{C860B442-874B-476F-BD58-506091877D8E}"/>
    <cellStyle name="20% - Accent3 3 3 2 4" xfId="19750" xr:uid="{FCD8A91B-55BE-4BA7-B821-C0B753928ACC}"/>
    <cellStyle name="20% - Accent3 3 3 3" xfId="4940" xr:uid="{00000000-0005-0000-0000-0000AA010000}"/>
    <cellStyle name="20% - Accent3 3 3 3 2" xfId="13382" xr:uid="{EF8D5939-4D93-4AED-BA68-1D23F2B3BF01}"/>
    <cellStyle name="20% - Accent3 3 3 3 3" xfId="21822" xr:uid="{5B6F6F7F-5148-4F53-B5FE-09BB78D61549}"/>
    <cellStyle name="20% - Accent3 3 3 4" xfId="9164" xr:uid="{EC62A0E1-8A4A-4F50-B33B-BAA361EC807A}"/>
    <cellStyle name="20% - Accent3 3 3 5" xfId="17605" xr:uid="{77B26506-8B3F-4F99-AA22-CD9EC9D6590F}"/>
    <cellStyle name="20% - Accent3 3 4" xfId="1044" xr:uid="{00000000-0005-0000-0000-0000AB010000}"/>
    <cellStyle name="20% - Accent3 3 4 2" xfId="3275" xr:uid="{00000000-0005-0000-0000-0000AC010000}"/>
    <cellStyle name="20% - Accent3 3 4 2 2" xfId="7498" xr:uid="{00000000-0005-0000-0000-0000AD010000}"/>
    <cellStyle name="20% - Accent3 3 4 2 2 2" xfId="15940" xr:uid="{543030E9-B1B9-4489-8593-E9144F5057C6}"/>
    <cellStyle name="20% - Accent3 3 4 2 2 3" xfId="24380" xr:uid="{CE3A1C80-912F-404C-A7C0-0463C45AA293}"/>
    <cellStyle name="20% - Accent3 3 4 2 3" xfId="11722" xr:uid="{F81335FC-8C86-4017-B20F-8E876F998A1C}"/>
    <cellStyle name="20% - Accent3 3 4 2 4" xfId="20163" xr:uid="{2A286976-6B73-4FA9-9719-1B6C202651FC}"/>
    <cellStyle name="20% - Accent3 3 4 3" xfId="5353" xr:uid="{00000000-0005-0000-0000-0000AE010000}"/>
    <cellStyle name="20% - Accent3 3 4 3 2" xfId="13795" xr:uid="{3D99AC49-666A-4E75-90FC-2E31590180C4}"/>
    <cellStyle name="20% - Accent3 3 4 3 3" xfId="22235" xr:uid="{CDCA21A7-267B-42B6-96A3-1A662ED483C8}"/>
    <cellStyle name="20% - Accent3 3 4 4" xfId="9577" xr:uid="{8F8271BE-B3C4-41C5-AD1F-F8E47E1E5B2E}"/>
    <cellStyle name="20% - Accent3 3 4 5" xfId="18018" xr:uid="{02C05754-01CB-4CD0-9FA9-751E0B8407B7}"/>
    <cellStyle name="20% - Accent3 3 5" xfId="1458" xr:uid="{00000000-0005-0000-0000-0000AF010000}"/>
    <cellStyle name="20% - Accent3 3 5 2" xfId="3688" xr:uid="{00000000-0005-0000-0000-0000B0010000}"/>
    <cellStyle name="20% - Accent3 3 5 2 2" xfId="7911" xr:uid="{00000000-0005-0000-0000-0000B1010000}"/>
    <cellStyle name="20% - Accent3 3 5 2 2 2" xfId="16353" xr:uid="{B33ECF95-8478-47E8-9429-8D1F72322865}"/>
    <cellStyle name="20% - Accent3 3 5 2 2 3" xfId="24793" xr:uid="{EEE24A84-355C-4189-B65C-2E7E44581015}"/>
    <cellStyle name="20% - Accent3 3 5 2 3" xfId="12135" xr:uid="{7665AC2B-9A69-437E-89B9-2E15BC0AAFC0}"/>
    <cellStyle name="20% - Accent3 3 5 2 4" xfId="20576" xr:uid="{9408792F-7512-4A12-8F23-528AC63EFE9B}"/>
    <cellStyle name="20% - Accent3 3 5 3" xfId="5766" xr:uid="{00000000-0005-0000-0000-0000B2010000}"/>
    <cellStyle name="20% - Accent3 3 5 3 2" xfId="14208" xr:uid="{9B91BB43-8DBC-4A12-819D-66AEB8D2AD57}"/>
    <cellStyle name="20% - Accent3 3 5 3 3" xfId="22648" xr:uid="{3131AEBD-E876-4902-BE0A-6E9FB6F89CB3}"/>
    <cellStyle name="20% - Accent3 3 5 4" xfId="9990" xr:uid="{A06E8BB2-61CE-48FA-A0B7-B103ECD7ADFD}"/>
    <cellStyle name="20% - Accent3 3 5 5" xfId="18431" xr:uid="{4239BE2C-09EC-4209-B949-9FE13FE1F1DB}"/>
    <cellStyle name="20% - Accent3 3 6" xfId="1872" xr:uid="{00000000-0005-0000-0000-0000B3010000}"/>
    <cellStyle name="20% - Accent3 3 6 2" xfId="4101" xr:uid="{00000000-0005-0000-0000-0000B4010000}"/>
    <cellStyle name="20% - Accent3 3 6 2 2" xfId="8324" xr:uid="{00000000-0005-0000-0000-0000B5010000}"/>
    <cellStyle name="20% - Accent3 3 6 2 2 2" xfId="16766" xr:uid="{63DD0DE0-BF81-480C-B15A-B20B1C3699B1}"/>
    <cellStyle name="20% - Accent3 3 6 2 2 3" xfId="25206" xr:uid="{CAB94F01-647D-475D-9231-BB1171EEA0E1}"/>
    <cellStyle name="20% - Accent3 3 6 2 3" xfId="12548" xr:uid="{1C8D7A03-457F-4E80-AFB5-C71E955A6B60}"/>
    <cellStyle name="20% - Accent3 3 6 2 4" xfId="20989" xr:uid="{42457BE3-DC78-4416-A372-53EC1E0D1B03}"/>
    <cellStyle name="20% - Accent3 3 6 3" xfId="6179" xr:uid="{00000000-0005-0000-0000-0000B6010000}"/>
    <cellStyle name="20% - Accent3 3 6 3 2" xfId="14621" xr:uid="{FD3FDC0E-AD9D-47FC-9FA0-066CC6A601CD}"/>
    <cellStyle name="20% - Accent3 3 6 3 3" xfId="23061" xr:uid="{9E4A0381-FD81-4982-A195-57E12465032A}"/>
    <cellStyle name="20% - Accent3 3 6 4" xfId="10403" xr:uid="{E927668D-80A3-4724-AD17-286E37CBB3B6}"/>
    <cellStyle name="20% - Accent3 3 6 5" xfId="18844" xr:uid="{CF471556-E356-4AD2-972A-106715776981}"/>
    <cellStyle name="20% - Accent3 3 7" xfId="2285" xr:uid="{00000000-0005-0000-0000-0000B7010000}"/>
    <cellStyle name="20% - Accent3 3 7 2" xfId="6592" xr:uid="{00000000-0005-0000-0000-0000B8010000}"/>
    <cellStyle name="20% - Accent3 3 7 2 2" xfId="15034" xr:uid="{BDBEBD44-6BC1-4ABC-9EBC-F9A6C9AF87CC}"/>
    <cellStyle name="20% - Accent3 3 7 2 3" xfId="23474" xr:uid="{59D82CE2-59C7-41B9-B3E3-A76EB90C4CF6}"/>
    <cellStyle name="20% - Accent3 3 7 3" xfId="10816" xr:uid="{C1E85F17-D894-4554-8D01-DE941A62E177}"/>
    <cellStyle name="20% - Accent3 3 7 4" xfId="19257" xr:uid="{8EAC28B7-A4B5-42DF-8FB1-8851C74C800B}"/>
    <cellStyle name="20% - Accent3 3 8" xfId="4526" xr:uid="{00000000-0005-0000-0000-0000B9010000}"/>
    <cellStyle name="20% - Accent3 3 8 2" xfId="12968" xr:uid="{4809B588-860F-4E87-A8EA-D33449B93804}"/>
    <cellStyle name="20% - Accent3 3 8 3" xfId="21408" xr:uid="{94B45F65-B063-461E-868F-ECB578941C19}"/>
    <cellStyle name="20% - Accent3 3 9" xfId="8750" xr:uid="{AE2ED0BD-3429-491F-9C44-A0F561F40FB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2 2 2" xfId="15529" xr:uid="{11AE545D-1581-4763-9E4F-D727A4612330}"/>
    <cellStyle name="20% - Accent3 4 2 2 2 3" xfId="23969" xr:uid="{EADD8991-FD29-4E90-A719-82DDFE071173}"/>
    <cellStyle name="20% - Accent3 4 2 2 3" xfId="11311" xr:uid="{416793DD-42BB-4560-8394-F29A7E377EBE}"/>
    <cellStyle name="20% - Accent3 4 2 2 4" xfId="19752" xr:uid="{B565FEDE-7F75-442A-83F9-AFA35F7AC9FA}"/>
    <cellStyle name="20% - Accent3 4 2 3" xfId="4942" xr:uid="{00000000-0005-0000-0000-0000BE010000}"/>
    <cellStyle name="20% - Accent3 4 2 3 2" xfId="13384" xr:uid="{F85F5CB6-5C18-4FAC-9C49-6CDD5CC56F15}"/>
    <cellStyle name="20% - Accent3 4 2 3 3" xfId="21824" xr:uid="{B12219FC-EC38-4634-8EEA-2BA635172C9C}"/>
    <cellStyle name="20% - Accent3 4 2 4" xfId="9166" xr:uid="{DD8BFD1B-BBEE-46A9-97C3-1766FC54AAA5}"/>
    <cellStyle name="20% - Accent3 4 2 5" xfId="17607" xr:uid="{4ED76A59-EA59-480B-9620-28327389F88E}"/>
    <cellStyle name="20% - Accent3 4 3" xfId="1046" xr:uid="{00000000-0005-0000-0000-0000BF010000}"/>
    <cellStyle name="20% - Accent3 4 3 2" xfId="3277" xr:uid="{00000000-0005-0000-0000-0000C0010000}"/>
    <cellStyle name="20% - Accent3 4 3 2 2" xfId="7500" xr:uid="{00000000-0005-0000-0000-0000C1010000}"/>
    <cellStyle name="20% - Accent3 4 3 2 2 2" xfId="15942" xr:uid="{A87F6568-A6BF-422B-ACA4-177D47BCABB8}"/>
    <cellStyle name="20% - Accent3 4 3 2 2 3" xfId="24382" xr:uid="{030D87E8-B48A-4224-ABCC-09E4BABDE20F}"/>
    <cellStyle name="20% - Accent3 4 3 2 3" xfId="11724" xr:uid="{58108CA7-C71C-4D3C-B73E-D3CA9A469A0D}"/>
    <cellStyle name="20% - Accent3 4 3 2 4" xfId="20165" xr:uid="{7AC0DD32-680B-4E34-B5FD-1FD823CBD52F}"/>
    <cellStyle name="20% - Accent3 4 3 3" xfId="5355" xr:uid="{00000000-0005-0000-0000-0000C2010000}"/>
    <cellStyle name="20% - Accent3 4 3 3 2" xfId="13797" xr:uid="{BCDD94C4-F836-4D1B-985D-3D58E5C9EDD5}"/>
    <cellStyle name="20% - Accent3 4 3 3 3" xfId="22237" xr:uid="{129FC808-60DB-4F52-A306-652A1EDA920D}"/>
    <cellStyle name="20% - Accent3 4 3 4" xfId="9579" xr:uid="{4ACF68EB-FD48-4969-9140-346F6165252E}"/>
    <cellStyle name="20% - Accent3 4 3 5" xfId="18020" xr:uid="{75FA9C19-7829-477B-A03A-161194DDE08B}"/>
    <cellStyle name="20% - Accent3 4 4" xfId="1460" xr:uid="{00000000-0005-0000-0000-0000C3010000}"/>
    <cellStyle name="20% - Accent3 4 4 2" xfId="3690" xr:uid="{00000000-0005-0000-0000-0000C4010000}"/>
    <cellStyle name="20% - Accent3 4 4 2 2" xfId="7913" xr:uid="{00000000-0005-0000-0000-0000C5010000}"/>
    <cellStyle name="20% - Accent3 4 4 2 2 2" xfId="16355" xr:uid="{07D37E01-CE19-4C6D-B6D1-3A11DDDF46C8}"/>
    <cellStyle name="20% - Accent3 4 4 2 2 3" xfId="24795" xr:uid="{A46F8B66-D5D5-4283-8809-89C7B7327592}"/>
    <cellStyle name="20% - Accent3 4 4 2 3" xfId="12137" xr:uid="{751F4E6B-B4D9-4D1A-9767-53D99EA09A31}"/>
    <cellStyle name="20% - Accent3 4 4 2 4" xfId="20578" xr:uid="{5FE13171-7337-41EF-9C93-C873ECA1DA6F}"/>
    <cellStyle name="20% - Accent3 4 4 3" xfId="5768" xr:uid="{00000000-0005-0000-0000-0000C6010000}"/>
    <cellStyle name="20% - Accent3 4 4 3 2" xfId="14210" xr:uid="{B774C394-5295-40E1-82BB-68A53706C65D}"/>
    <cellStyle name="20% - Accent3 4 4 3 3" xfId="22650" xr:uid="{B4C99F02-0F57-4C83-AC94-620CF91DD6FE}"/>
    <cellStyle name="20% - Accent3 4 4 4" xfId="9992" xr:uid="{460CCE51-F5F8-4FC4-8E57-6205E2C9A055}"/>
    <cellStyle name="20% - Accent3 4 4 5" xfId="18433" xr:uid="{A3D8B6AC-869E-4136-B4E8-9CC1D3B17348}"/>
    <cellStyle name="20% - Accent3 4 5" xfId="1874" xr:uid="{00000000-0005-0000-0000-0000C7010000}"/>
    <cellStyle name="20% - Accent3 4 5 2" xfId="4103" xr:uid="{00000000-0005-0000-0000-0000C8010000}"/>
    <cellStyle name="20% - Accent3 4 5 2 2" xfId="8326" xr:uid="{00000000-0005-0000-0000-0000C9010000}"/>
    <cellStyle name="20% - Accent3 4 5 2 2 2" xfId="16768" xr:uid="{E12BE6F0-88EC-492C-862D-1F5B6584735E}"/>
    <cellStyle name="20% - Accent3 4 5 2 2 3" xfId="25208" xr:uid="{7167863C-74C2-40B7-92C8-8984A4192DA3}"/>
    <cellStyle name="20% - Accent3 4 5 2 3" xfId="12550" xr:uid="{58CA239F-392E-44C0-8A72-0A6065A5984B}"/>
    <cellStyle name="20% - Accent3 4 5 2 4" xfId="20991" xr:uid="{F66289B5-D298-4E21-B1BE-05A40EFE4351}"/>
    <cellStyle name="20% - Accent3 4 5 3" xfId="6181" xr:uid="{00000000-0005-0000-0000-0000CA010000}"/>
    <cellStyle name="20% - Accent3 4 5 3 2" xfId="14623" xr:uid="{6C649854-CA8B-4B36-9DBA-BD863B81ABEB}"/>
    <cellStyle name="20% - Accent3 4 5 3 3" xfId="23063" xr:uid="{A28705E7-0C1F-433D-A0D0-FA73AF65BE78}"/>
    <cellStyle name="20% - Accent3 4 5 4" xfId="10405" xr:uid="{7708B3EB-FC46-4F74-8C7F-4ED54CEA2776}"/>
    <cellStyle name="20% - Accent3 4 5 5" xfId="18846" xr:uid="{C7889C05-1ECB-4D6E-8BFC-4813AACCD03C}"/>
    <cellStyle name="20% - Accent3 4 6" xfId="2287" xr:uid="{00000000-0005-0000-0000-0000CB010000}"/>
    <cellStyle name="20% - Accent3 4 6 2" xfId="6594" xr:uid="{00000000-0005-0000-0000-0000CC010000}"/>
    <cellStyle name="20% - Accent3 4 6 2 2" xfId="15036" xr:uid="{1D0B5498-6F1A-4166-8549-7D0C9DAC3B7D}"/>
    <cellStyle name="20% - Accent3 4 6 2 3" xfId="23476" xr:uid="{9B72C715-619E-4842-8D2B-6DB0A2B62661}"/>
    <cellStyle name="20% - Accent3 4 6 3" xfId="10818" xr:uid="{756C2611-E8ED-47E9-B8AD-492111D6E21C}"/>
    <cellStyle name="20% - Accent3 4 6 4" xfId="19259" xr:uid="{01F5DC46-1949-4E6B-BC5D-DBB3CE553BD9}"/>
    <cellStyle name="20% - Accent3 4 7" xfId="4528" xr:uid="{00000000-0005-0000-0000-0000CD010000}"/>
    <cellStyle name="20% - Accent3 4 7 2" xfId="12970" xr:uid="{5F7DF599-A229-442A-BF85-A4D8B547F9F7}"/>
    <cellStyle name="20% - Accent3 4 7 3" xfId="21410" xr:uid="{B6D197ED-D415-41A4-9EBF-A2CC2D18A83C}"/>
    <cellStyle name="20% - Accent3 4 8" xfId="8752" xr:uid="{E0080B0F-DA9C-415E-AF33-E6B73B2E09E1}"/>
    <cellStyle name="20% - Accent3 4 9" xfId="17193" xr:uid="{8615C287-CA27-4DCC-B3E9-D1A6708EC827}"/>
    <cellStyle name="20% - Accent3 5" xfId="586" xr:uid="{00000000-0005-0000-0000-0000CE010000}"/>
    <cellStyle name="20% - Accent3 5 2" xfId="2857" xr:uid="{00000000-0005-0000-0000-0000CF010000}"/>
    <cellStyle name="20% - Accent3 5 2 2" xfId="7080" xr:uid="{00000000-0005-0000-0000-0000D0010000}"/>
    <cellStyle name="20% - Accent3 5 2 2 2" xfId="15522" xr:uid="{624D8243-8955-4866-B38C-D20DBB3D4535}"/>
    <cellStyle name="20% - Accent3 5 2 2 3" xfId="23962" xr:uid="{1900457D-579D-4ADF-9215-ABBD635108D9}"/>
    <cellStyle name="20% - Accent3 5 2 3" xfId="11304" xr:uid="{ED030A64-D8BB-4DB8-8FA0-91FC186101D0}"/>
    <cellStyle name="20% - Accent3 5 2 4" xfId="19745" xr:uid="{16372EF5-7DEF-4AF7-BDD4-91C0164C5519}"/>
    <cellStyle name="20% - Accent3 5 3" xfId="4935" xr:uid="{00000000-0005-0000-0000-0000D1010000}"/>
    <cellStyle name="20% - Accent3 5 3 2" xfId="13377" xr:uid="{0BA47891-EF9C-4586-89E3-5BDA3C241512}"/>
    <cellStyle name="20% - Accent3 5 3 3" xfId="21817" xr:uid="{7127A91F-3F8B-4EEC-985D-16CFBD4B5859}"/>
    <cellStyle name="20% - Accent3 5 4" xfId="9159" xr:uid="{95773F7E-B092-40BE-8266-98D4EF13EC5B}"/>
    <cellStyle name="20% - Accent3 5 5" xfId="17600" xr:uid="{27599EEE-3736-45C9-8B3A-2F6C7B2007D6}"/>
    <cellStyle name="20% - Accent3 6" xfId="1039" xr:uid="{00000000-0005-0000-0000-0000D2010000}"/>
    <cellStyle name="20% - Accent3 6 2" xfId="3270" xr:uid="{00000000-0005-0000-0000-0000D3010000}"/>
    <cellStyle name="20% - Accent3 6 2 2" xfId="7493" xr:uid="{00000000-0005-0000-0000-0000D4010000}"/>
    <cellStyle name="20% - Accent3 6 2 2 2" xfId="15935" xr:uid="{21047F14-6A49-4BF6-BAEE-F424537002EE}"/>
    <cellStyle name="20% - Accent3 6 2 2 3" xfId="24375" xr:uid="{CB27E8F1-D277-4718-AD15-0D69A15CEDA5}"/>
    <cellStyle name="20% - Accent3 6 2 3" xfId="11717" xr:uid="{AB648BEE-C658-43CD-9112-32A7576B2BB1}"/>
    <cellStyle name="20% - Accent3 6 2 4" xfId="20158" xr:uid="{E6A9AE23-62C7-439F-BDD4-E1AB9386632B}"/>
    <cellStyle name="20% - Accent3 6 3" xfId="5348" xr:uid="{00000000-0005-0000-0000-0000D5010000}"/>
    <cellStyle name="20% - Accent3 6 3 2" xfId="13790" xr:uid="{E9E6C235-3FCB-4900-9316-12B2C75BEC01}"/>
    <cellStyle name="20% - Accent3 6 3 3" xfId="22230" xr:uid="{1269F22A-1C3B-49E9-88E9-0086B0A5C6B0}"/>
    <cellStyle name="20% - Accent3 6 4" xfId="9572" xr:uid="{FC0FBD21-7085-4CC1-970F-F018D2110864}"/>
    <cellStyle name="20% - Accent3 6 5" xfId="18013" xr:uid="{B37EAB69-1200-48D0-98A8-D81EB6D4D678}"/>
    <cellStyle name="20% - Accent3 7" xfId="1453" xr:uid="{00000000-0005-0000-0000-0000D6010000}"/>
    <cellStyle name="20% - Accent3 7 2" xfId="3683" xr:uid="{00000000-0005-0000-0000-0000D7010000}"/>
    <cellStyle name="20% - Accent3 7 2 2" xfId="7906" xr:uid="{00000000-0005-0000-0000-0000D8010000}"/>
    <cellStyle name="20% - Accent3 7 2 2 2" xfId="16348" xr:uid="{C5C31CFD-2E29-4C44-A2C8-4A73057B7537}"/>
    <cellStyle name="20% - Accent3 7 2 2 3" xfId="24788" xr:uid="{E5539C2E-0356-4AA0-886F-2E3075FD9263}"/>
    <cellStyle name="20% - Accent3 7 2 3" xfId="12130" xr:uid="{5E6737B7-34DD-42BA-A371-81A2C82FBE0C}"/>
    <cellStyle name="20% - Accent3 7 2 4" xfId="20571" xr:uid="{50861E56-B119-4274-B95D-4DB4F0B29E3F}"/>
    <cellStyle name="20% - Accent3 7 3" xfId="5761" xr:uid="{00000000-0005-0000-0000-0000D9010000}"/>
    <cellStyle name="20% - Accent3 7 3 2" xfId="14203" xr:uid="{F3CE1727-7903-4C67-B2C6-6AC83BC59087}"/>
    <cellStyle name="20% - Accent3 7 3 3" xfId="22643" xr:uid="{743F128B-5F2C-41CF-9148-66C22041CAC4}"/>
    <cellStyle name="20% - Accent3 7 4" xfId="9985" xr:uid="{6F20D2AD-A30D-4562-8CEB-40913A0C5982}"/>
    <cellStyle name="20% - Accent3 7 5" xfId="18426" xr:uid="{B83592F3-BC0A-4139-8D5D-A3098EAACE38}"/>
    <cellStyle name="20% - Accent3 8" xfId="1867" xr:uid="{00000000-0005-0000-0000-0000DA010000}"/>
    <cellStyle name="20% - Accent3 8 2" xfId="4096" xr:uid="{00000000-0005-0000-0000-0000DB010000}"/>
    <cellStyle name="20% - Accent3 8 2 2" xfId="8319" xr:uid="{00000000-0005-0000-0000-0000DC010000}"/>
    <cellStyle name="20% - Accent3 8 2 2 2" xfId="16761" xr:uid="{6F39A013-CE36-4B51-A3C9-AFDF2A5F8DEE}"/>
    <cellStyle name="20% - Accent3 8 2 2 3" xfId="25201" xr:uid="{595B146D-B707-440A-AEBF-0BD0E75D3938}"/>
    <cellStyle name="20% - Accent3 8 2 3" xfId="12543" xr:uid="{83CD6434-31E2-439A-B0AB-E44E84723023}"/>
    <cellStyle name="20% - Accent3 8 2 4" xfId="20984" xr:uid="{81CDAC12-2EF5-4F97-AC27-DF1CC0273C52}"/>
    <cellStyle name="20% - Accent3 8 3" xfId="6174" xr:uid="{00000000-0005-0000-0000-0000DD010000}"/>
    <cellStyle name="20% - Accent3 8 3 2" xfId="14616" xr:uid="{2F5D3300-B28F-4348-84B6-02ADEC4DB28E}"/>
    <cellStyle name="20% - Accent3 8 3 3" xfId="23056" xr:uid="{45BA853A-8D9E-4943-86E5-FB33AB2A2701}"/>
    <cellStyle name="20% - Accent3 8 4" xfId="10398" xr:uid="{14A2C29E-F26E-47A6-93E5-DBB093739220}"/>
    <cellStyle name="20% - Accent3 8 5" xfId="18839" xr:uid="{441EDC41-D802-411A-9D34-0B72DFE409B7}"/>
    <cellStyle name="20% - Accent3 9" xfId="2280" xr:uid="{00000000-0005-0000-0000-0000DE010000}"/>
    <cellStyle name="20% - Accent3 9 2" xfId="6587" xr:uid="{00000000-0005-0000-0000-0000DF010000}"/>
    <cellStyle name="20% - Accent3 9 2 2" xfId="15029" xr:uid="{F0382932-FCD5-43AD-BCDD-54E287C3034B}"/>
    <cellStyle name="20% - Accent3 9 2 3" xfId="23469" xr:uid="{D05972C3-B30E-4E97-84A2-89B5AB5D4501}"/>
    <cellStyle name="20% - Accent3 9 3" xfId="10811" xr:uid="{2CA70C5E-067C-45FC-9FCD-D675AEAF7EFA}"/>
    <cellStyle name="20% - Accent3 9 4" xfId="19252" xr:uid="{3BE13D86-4EDC-4A46-9D38-47F16FC6C6A3}"/>
    <cellStyle name="20% - Accent4" xfId="25" builtinId="42" customBuiltin="1"/>
    <cellStyle name="20% - Accent4 10" xfId="4529" xr:uid="{00000000-0005-0000-0000-0000E1010000}"/>
    <cellStyle name="20% - Accent4 10 2" xfId="12971" xr:uid="{A33AE2B5-596B-4465-AE1F-0A1573681878}"/>
    <cellStyle name="20% - Accent4 10 3" xfId="21411" xr:uid="{84D6D3C2-D25D-43DE-A615-5D60A8C7CCBD}"/>
    <cellStyle name="20% - Accent4 11" xfId="8753" xr:uid="{AD21E06A-5ADB-4642-B886-E8B02BB4B980}"/>
    <cellStyle name="20% - Accent4 12" xfId="17194" xr:uid="{F9E4B6C7-83FB-45D3-8611-87C4208E0F04}"/>
    <cellStyle name="20% - Accent4 2" xfId="26" xr:uid="{00000000-0005-0000-0000-0000E2010000}"/>
    <cellStyle name="20% - Accent4 2 10" xfId="8754" xr:uid="{CF930258-FA74-4862-9CFD-188A56E3776C}"/>
    <cellStyle name="20% - Accent4 2 11" xfId="17195" xr:uid="{716FB78A-F2BA-4A64-92C6-867B84069B7E}"/>
    <cellStyle name="20% - Accent4 2 2" xfId="27" xr:uid="{00000000-0005-0000-0000-0000E3010000}"/>
    <cellStyle name="20% - Accent4 2 2 10" xfId="17196" xr:uid="{810EA348-5EB4-4966-88B5-C732CB32166C}"/>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15533" xr:uid="{06ECBC32-79D2-4065-905A-B8494A0A56F2}"/>
    <cellStyle name="20% - Accent4 2 2 2 2 2 2 3" xfId="23973" xr:uid="{233BACEE-A5DC-45FA-A9BF-8512DD8456E5}"/>
    <cellStyle name="20% - Accent4 2 2 2 2 2 3" xfId="11315" xr:uid="{B9BDBB37-1BAB-4C11-BE1C-9DE4AE79382B}"/>
    <cellStyle name="20% - Accent4 2 2 2 2 2 4" xfId="19756" xr:uid="{65D9E39B-77E0-4644-871D-320EDD4F39A5}"/>
    <cellStyle name="20% - Accent4 2 2 2 2 3" xfId="4946" xr:uid="{00000000-0005-0000-0000-0000E8010000}"/>
    <cellStyle name="20% - Accent4 2 2 2 2 3 2" xfId="13388" xr:uid="{60055EF6-D391-484B-89C7-712ED9EF7E51}"/>
    <cellStyle name="20% - Accent4 2 2 2 2 3 3" xfId="21828" xr:uid="{A6061853-89A1-4781-B4A4-DF0EBA1DA41C}"/>
    <cellStyle name="20% - Accent4 2 2 2 2 4" xfId="9170" xr:uid="{73B653FD-0A83-4AAB-B974-0F52BB63E131}"/>
    <cellStyle name="20% - Accent4 2 2 2 2 5" xfId="17611" xr:uid="{79C8B047-1260-4596-BED7-97B96B29C37D}"/>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15946" xr:uid="{C055D329-9945-445B-A207-21340A5F1723}"/>
    <cellStyle name="20% - Accent4 2 2 2 3 2 2 3" xfId="24386" xr:uid="{BA43A12C-F951-4E99-9F74-875AD383F375}"/>
    <cellStyle name="20% - Accent4 2 2 2 3 2 3" xfId="11728" xr:uid="{CE34EBFE-59B6-4F41-A64F-817F7F4EF804}"/>
    <cellStyle name="20% - Accent4 2 2 2 3 2 4" xfId="20169" xr:uid="{BCBAFE0B-A786-40B6-8B6A-0C14F405E016}"/>
    <cellStyle name="20% - Accent4 2 2 2 3 3" xfId="5359" xr:uid="{00000000-0005-0000-0000-0000EC010000}"/>
    <cellStyle name="20% - Accent4 2 2 2 3 3 2" xfId="13801" xr:uid="{B6716EF1-ADD0-4AD5-A83A-B693FD24195C}"/>
    <cellStyle name="20% - Accent4 2 2 2 3 3 3" xfId="22241" xr:uid="{47EB2F82-2042-4CBC-8C11-95EAC5418BDE}"/>
    <cellStyle name="20% - Accent4 2 2 2 3 4" xfId="9583" xr:uid="{64E2A59B-B486-4A05-B197-4764880C5F86}"/>
    <cellStyle name="20% - Accent4 2 2 2 3 5" xfId="18024" xr:uid="{892F6FA1-6D83-4CBD-9FAD-0FEE62E10308}"/>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16359" xr:uid="{5C2AB3C4-1259-4555-B3D0-7522F47B5B66}"/>
    <cellStyle name="20% - Accent4 2 2 2 4 2 2 3" xfId="24799" xr:uid="{0DD602DB-2683-443D-A624-5424AF930452}"/>
    <cellStyle name="20% - Accent4 2 2 2 4 2 3" xfId="12141" xr:uid="{EFA8CD14-2E3D-4CE3-9B0A-8BEB0D543FFA}"/>
    <cellStyle name="20% - Accent4 2 2 2 4 2 4" xfId="20582" xr:uid="{22893F9A-F593-43FF-8E89-2BE27CEBEA03}"/>
    <cellStyle name="20% - Accent4 2 2 2 4 3" xfId="5772" xr:uid="{00000000-0005-0000-0000-0000F0010000}"/>
    <cellStyle name="20% - Accent4 2 2 2 4 3 2" xfId="14214" xr:uid="{6C31C3A7-A574-4FEB-BE07-6B5E3BF102ED}"/>
    <cellStyle name="20% - Accent4 2 2 2 4 3 3" xfId="22654" xr:uid="{05BBC44F-873A-48E6-A955-E86A34171045}"/>
    <cellStyle name="20% - Accent4 2 2 2 4 4" xfId="9996" xr:uid="{897A764D-130A-4055-A948-0D97B2717B1B}"/>
    <cellStyle name="20% - Accent4 2 2 2 4 5" xfId="18437" xr:uid="{B0472F98-4A7F-4A2F-B1B1-A1099B3956D9}"/>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16772" xr:uid="{88A8B4BE-A228-40C7-BC53-36A3EF49EBC3}"/>
    <cellStyle name="20% - Accent4 2 2 2 5 2 2 3" xfId="25212" xr:uid="{53F4874D-1BA4-4E31-A9E9-CDE2EE7336A0}"/>
    <cellStyle name="20% - Accent4 2 2 2 5 2 3" xfId="12554" xr:uid="{580E2D20-C362-44FA-B2D9-88582112F44C}"/>
    <cellStyle name="20% - Accent4 2 2 2 5 2 4" xfId="20995" xr:uid="{36F88ECE-0B31-4955-8DB0-551FF0BA056B}"/>
    <cellStyle name="20% - Accent4 2 2 2 5 3" xfId="6185" xr:uid="{00000000-0005-0000-0000-0000F4010000}"/>
    <cellStyle name="20% - Accent4 2 2 2 5 3 2" xfId="14627" xr:uid="{D3E29A27-A9CC-4C13-80D1-69C5D3E4949B}"/>
    <cellStyle name="20% - Accent4 2 2 2 5 3 3" xfId="23067" xr:uid="{DEC6E48E-E987-4213-85E1-C47166F11D1D}"/>
    <cellStyle name="20% - Accent4 2 2 2 5 4" xfId="10409" xr:uid="{62295D78-E532-41C8-B2F0-5C5FE5DF12B0}"/>
    <cellStyle name="20% - Accent4 2 2 2 5 5" xfId="18850" xr:uid="{D44E1EBB-289E-4A3D-A2CB-48EB9AADB0D7}"/>
    <cellStyle name="20% - Accent4 2 2 2 6" xfId="2291" xr:uid="{00000000-0005-0000-0000-0000F5010000}"/>
    <cellStyle name="20% - Accent4 2 2 2 6 2" xfId="6598" xr:uid="{00000000-0005-0000-0000-0000F6010000}"/>
    <cellStyle name="20% - Accent4 2 2 2 6 2 2" xfId="15040" xr:uid="{B73A9B48-14B4-46D5-A0CE-AD0CF7E43DA2}"/>
    <cellStyle name="20% - Accent4 2 2 2 6 2 3" xfId="23480" xr:uid="{21DD338C-F29E-4A7E-B28B-CA34381586B5}"/>
    <cellStyle name="20% - Accent4 2 2 2 6 3" xfId="10822" xr:uid="{462EA8AF-6C66-4BAE-85C7-CF7D6819EC60}"/>
    <cellStyle name="20% - Accent4 2 2 2 6 4" xfId="19263" xr:uid="{862811D0-3B14-4997-AC63-7C726E85B281}"/>
    <cellStyle name="20% - Accent4 2 2 2 7" xfId="4532" xr:uid="{00000000-0005-0000-0000-0000F7010000}"/>
    <cellStyle name="20% - Accent4 2 2 2 7 2" xfId="12974" xr:uid="{51CAE05B-AC5D-4B2C-8DC4-1AC56651C555}"/>
    <cellStyle name="20% - Accent4 2 2 2 7 3" xfId="21414" xr:uid="{B9A4F0F4-7953-4F71-85C8-92AC0295B3C5}"/>
    <cellStyle name="20% - Accent4 2 2 2 8" xfId="8756" xr:uid="{343085DC-3D16-4999-B6D3-8734F6312292}"/>
    <cellStyle name="20% - Accent4 2 2 2 9" xfId="17197" xr:uid="{70CDC627-A82B-485D-AB01-2BFF05E34471}"/>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15532" xr:uid="{4122A2E5-A5C9-49A7-85E4-BCA04D5347F0}"/>
    <cellStyle name="20% - Accent4 2 2 3 2 2 3" xfId="23972" xr:uid="{AE40CA52-4C8E-4332-BFC8-23BF2C369FBE}"/>
    <cellStyle name="20% - Accent4 2 2 3 2 3" xfId="11314" xr:uid="{452F523E-FE86-4879-BA19-69F893043718}"/>
    <cellStyle name="20% - Accent4 2 2 3 2 4" xfId="19755" xr:uid="{CA66ED05-74D0-4618-9BE0-79CBEF402EFB}"/>
    <cellStyle name="20% - Accent4 2 2 3 3" xfId="4945" xr:uid="{00000000-0005-0000-0000-0000FB010000}"/>
    <cellStyle name="20% - Accent4 2 2 3 3 2" xfId="13387" xr:uid="{6011B4A1-4FEA-49B0-A217-02D2529FB4FE}"/>
    <cellStyle name="20% - Accent4 2 2 3 3 3" xfId="21827" xr:uid="{9DFE5E31-A34D-4935-9998-148B0B3E4E4C}"/>
    <cellStyle name="20% - Accent4 2 2 3 4" xfId="9169" xr:uid="{D4684EF1-BFB3-41A2-9688-7BDCB4DF0D4F}"/>
    <cellStyle name="20% - Accent4 2 2 3 5" xfId="17610" xr:uid="{566CFA11-BF5B-4B3E-B303-85B4ACE50486}"/>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15945" xr:uid="{FEA6F2F2-5B91-4198-9230-73ABA1D11709}"/>
    <cellStyle name="20% - Accent4 2 2 4 2 2 3" xfId="24385" xr:uid="{84E8FC64-C18A-4CB3-A727-87A68BC433C4}"/>
    <cellStyle name="20% - Accent4 2 2 4 2 3" xfId="11727" xr:uid="{0C7141F3-EDD3-4A70-AA0F-3873A55F12B4}"/>
    <cellStyle name="20% - Accent4 2 2 4 2 4" xfId="20168" xr:uid="{0133B3E9-CF27-4D1D-9968-26A756CA79FD}"/>
    <cellStyle name="20% - Accent4 2 2 4 3" xfId="5358" xr:uid="{00000000-0005-0000-0000-0000FF010000}"/>
    <cellStyle name="20% - Accent4 2 2 4 3 2" xfId="13800" xr:uid="{11059A16-A7AD-4F33-ABE4-8510523A84F7}"/>
    <cellStyle name="20% - Accent4 2 2 4 3 3" xfId="22240" xr:uid="{DAE2E050-7039-4709-BD40-5C2891656D75}"/>
    <cellStyle name="20% - Accent4 2 2 4 4" xfId="9582" xr:uid="{58701CF5-C077-4424-825D-1936BA3DBE64}"/>
    <cellStyle name="20% - Accent4 2 2 4 5" xfId="18023" xr:uid="{E16B4304-279D-47C2-AA49-46F199787336}"/>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16358" xr:uid="{E2B43097-6330-46BB-9F72-36C2B70EA983}"/>
    <cellStyle name="20% - Accent4 2 2 5 2 2 3" xfId="24798" xr:uid="{135FBB78-4786-41EB-9C1A-DFB1054F938F}"/>
    <cellStyle name="20% - Accent4 2 2 5 2 3" xfId="12140" xr:uid="{BBEDF592-2905-4D0E-9ADA-41CD23A40DCB}"/>
    <cellStyle name="20% - Accent4 2 2 5 2 4" xfId="20581" xr:uid="{435C6A9D-F049-431E-9D53-497A3371C104}"/>
    <cellStyle name="20% - Accent4 2 2 5 3" xfId="5771" xr:uid="{00000000-0005-0000-0000-000003020000}"/>
    <cellStyle name="20% - Accent4 2 2 5 3 2" xfId="14213" xr:uid="{C8D852D9-5916-41F9-A986-B9E4D47FCCF6}"/>
    <cellStyle name="20% - Accent4 2 2 5 3 3" xfId="22653" xr:uid="{5CE3F1F6-84FF-4AD9-9CBC-48F4A9BE453D}"/>
    <cellStyle name="20% - Accent4 2 2 5 4" xfId="9995" xr:uid="{13E68EB3-D12F-40BE-A2FA-05EE8D4E844A}"/>
    <cellStyle name="20% - Accent4 2 2 5 5" xfId="18436" xr:uid="{22AD74B2-58D4-4D5E-BA6D-CB8232020787}"/>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16771" xr:uid="{080BC7E1-409C-4D07-9847-10DE79FC86ED}"/>
    <cellStyle name="20% - Accent4 2 2 6 2 2 3" xfId="25211" xr:uid="{BE5A84D5-BB4C-402E-B226-6BC27B8B3262}"/>
    <cellStyle name="20% - Accent4 2 2 6 2 3" xfId="12553" xr:uid="{5C4795E0-D6C4-4990-941E-3BF756121957}"/>
    <cellStyle name="20% - Accent4 2 2 6 2 4" xfId="20994" xr:uid="{62535460-5089-4578-A585-20CA83AA3904}"/>
    <cellStyle name="20% - Accent4 2 2 6 3" xfId="6184" xr:uid="{00000000-0005-0000-0000-000007020000}"/>
    <cellStyle name="20% - Accent4 2 2 6 3 2" xfId="14626" xr:uid="{0291723C-D42D-4412-9648-7833EEE9CFD5}"/>
    <cellStyle name="20% - Accent4 2 2 6 3 3" xfId="23066" xr:uid="{03E3BDCD-27DF-4A27-AAA2-584427AB5D1D}"/>
    <cellStyle name="20% - Accent4 2 2 6 4" xfId="10408" xr:uid="{EA61F782-A9A6-48B5-A1CF-AAE0186067B1}"/>
    <cellStyle name="20% - Accent4 2 2 6 5" xfId="18849" xr:uid="{44079985-8F23-4B0A-BD76-EE120FD9D5E3}"/>
    <cellStyle name="20% - Accent4 2 2 7" xfId="2290" xr:uid="{00000000-0005-0000-0000-000008020000}"/>
    <cellStyle name="20% - Accent4 2 2 7 2" xfId="6597" xr:uid="{00000000-0005-0000-0000-000009020000}"/>
    <cellStyle name="20% - Accent4 2 2 7 2 2" xfId="15039" xr:uid="{B5ADED44-BAD0-4CEA-AFEE-6099DF1BED54}"/>
    <cellStyle name="20% - Accent4 2 2 7 2 3" xfId="23479" xr:uid="{3E75BF24-0045-4F44-9DEB-BD1F90AA8993}"/>
    <cellStyle name="20% - Accent4 2 2 7 3" xfId="10821" xr:uid="{65F737F0-25D9-4CC8-A91D-1D86CADB6C05}"/>
    <cellStyle name="20% - Accent4 2 2 7 4" xfId="19262" xr:uid="{0D49813B-2860-4F6D-AD42-D629AFE4F2A2}"/>
    <cellStyle name="20% - Accent4 2 2 8" xfId="4531" xr:uid="{00000000-0005-0000-0000-00000A020000}"/>
    <cellStyle name="20% - Accent4 2 2 8 2" xfId="12973" xr:uid="{F2C2F005-0E61-4EA8-A0BA-1C10E2D475C9}"/>
    <cellStyle name="20% - Accent4 2 2 8 3" xfId="21413" xr:uid="{FC6F2997-4565-4553-AF83-53675FC44163}"/>
    <cellStyle name="20% - Accent4 2 2 9" xfId="8755" xr:uid="{0CE978BB-C5E9-45CB-8824-003722C67FFC}"/>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15534" xr:uid="{FE41B2C0-DF69-46D2-888B-D6649C78D21F}"/>
    <cellStyle name="20% - Accent4 2 3 2 2 2 3" xfId="23974" xr:uid="{139CF020-C1F6-4287-A47D-53E03332AF26}"/>
    <cellStyle name="20% - Accent4 2 3 2 2 3" xfId="11316" xr:uid="{FDAF9638-6D75-4A0C-95F4-FCD104F2700E}"/>
    <cellStyle name="20% - Accent4 2 3 2 2 4" xfId="19757" xr:uid="{1CC82F94-1555-47BC-AEA1-C14BB33AFD9A}"/>
    <cellStyle name="20% - Accent4 2 3 2 3" xfId="4947" xr:uid="{00000000-0005-0000-0000-00000F020000}"/>
    <cellStyle name="20% - Accent4 2 3 2 3 2" xfId="13389" xr:uid="{B5894439-E710-458B-A90A-F1EF58AF5698}"/>
    <cellStyle name="20% - Accent4 2 3 2 3 3" xfId="21829" xr:uid="{F876643F-30C7-4555-A61C-A1C3ED400C38}"/>
    <cellStyle name="20% - Accent4 2 3 2 4" xfId="9171" xr:uid="{FEFD8590-C7DC-4B36-BBCD-277577A36E3A}"/>
    <cellStyle name="20% - Accent4 2 3 2 5" xfId="17612" xr:uid="{61F50E7E-52F1-448A-A552-2959F47F5920}"/>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15947" xr:uid="{1FBF64DB-B485-4C02-BCA1-4E9AD5270C66}"/>
    <cellStyle name="20% - Accent4 2 3 3 2 2 3" xfId="24387" xr:uid="{46EAE826-1DCA-40F3-829A-E0B13725D27D}"/>
    <cellStyle name="20% - Accent4 2 3 3 2 3" xfId="11729" xr:uid="{A9C4803A-280C-4B25-AEF9-BDF1553F10FB}"/>
    <cellStyle name="20% - Accent4 2 3 3 2 4" xfId="20170" xr:uid="{5080A12C-1E9A-4EEF-8C3F-8AA2F2F95DDB}"/>
    <cellStyle name="20% - Accent4 2 3 3 3" xfId="5360" xr:uid="{00000000-0005-0000-0000-000013020000}"/>
    <cellStyle name="20% - Accent4 2 3 3 3 2" xfId="13802" xr:uid="{BC418AAE-69B8-440B-B7A8-30C3BEFDBC5B}"/>
    <cellStyle name="20% - Accent4 2 3 3 3 3" xfId="22242" xr:uid="{1C20E40E-D329-4024-B793-D9322F3456AF}"/>
    <cellStyle name="20% - Accent4 2 3 3 4" xfId="9584" xr:uid="{57F4D0B5-1B20-4329-BED9-094822E4C2C8}"/>
    <cellStyle name="20% - Accent4 2 3 3 5" xfId="18025" xr:uid="{8B71F03A-1DE2-4667-BB1C-D599976F532E}"/>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16360" xr:uid="{A9AE5DF3-80B2-42AF-A59C-F585E1055F5E}"/>
    <cellStyle name="20% - Accent4 2 3 4 2 2 3" xfId="24800" xr:uid="{71AC54B6-AEFE-42EB-A861-A52A50EAE4C5}"/>
    <cellStyle name="20% - Accent4 2 3 4 2 3" xfId="12142" xr:uid="{9DBAC918-5342-47A9-8135-430006750C25}"/>
    <cellStyle name="20% - Accent4 2 3 4 2 4" xfId="20583" xr:uid="{D3AF00CF-0826-418A-8F29-1F6EBF8C80A3}"/>
    <cellStyle name="20% - Accent4 2 3 4 3" xfId="5773" xr:uid="{00000000-0005-0000-0000-000017020000}"/>
    <cellStyle name="20% - Accent4 2 3 4 3 2" xfId="14215" xr:uid="{F7BACE45-988D-4C17-A4CA-F2F9074EA967}"/>
    <cellStyle name="20% - Accent4 2 3 4 3 3" xfId="22655" xr:uid="{DE460E29-B82D-41FC-A785-FEC5C2AC09D6}"/>
    <cellStyle name="20% - Accent4 2 3 4 4" xfId="9997" xr:uid="{5DDB59D4-833E-43A2-9BB8-51F3E685C03F}"/>
    <cellStyle name="20% - Accent4 2 3 4 5" xfId="18438" xr:uid="{BBDE08B6-C51B-4772-B038-053E95189909}"/>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16773" xr:uid="{4686DD39-2CA0-449F-9347-53BE85226075}"/>
    <cellStyle name="20% - Accent4 2 3 5 2 2 3" xfId="25213" xr:uid="{84D2DD26-EED9-4D3D-88C2-339F4578D793}"/>
    <cellStyle name="20% - Accent4 2 3 5 2 3" xfId="12555" xr:uid="{A262EA62-E151-4E07-9406-1D96E93F2E27}"/>
    <cellStyle name="20% - Accent4 2 3 5 2 4" xfId="20996" xr:uid="{56AAC633-2B55-4DA9-A432-F57D274B1986}"/>
    <cellStyle name="20% - Accent4 2 3 5 3" xfId="6186" xr:uid="{00000000-0005-0000-0000-00001B020000}"/>
    <cellStyle name="20% - Accent4 2 3 5 3 2" xfId="14628" xr:uid="{CCA28C23-0542-4A03-89BC-16877C09FC47}"/>
    <cellStyle name="20% - Accent4 2 3 5 3 3" xfId="23068" xr:uid="{06F5739D-03A1-42F6-AF0B-F8C3B5B8FA4E}"/>
    <cellStyle name="20% - Accent4 2 3 5 4" xfId="10410" xr:uid="{803AF570-170A-42F2-8700-D282A8714579}"/>
    <cellStyle name="20% - Accent4 2 3 5 5" xfId="18851" xr:uid="{1542C4D2-AEE7-4214-B903-DED3E247C38C}"/>
    <cellStyle name="20% - Accent4 2 3 6" xfId="2292" xr:uid="{00000000-0005-0000-0000-00001C020000}"/>
    <cellStyle name="20% - Accent4 2 3 6 2" xfId="6599" xr:uid="{00000000-0005-0000-0000-00001D020000}"/>
    <cellStyle name="20% - Accent4 2 3 6 2 2" xfId="15041" xr:uid="{B3B8F610-0C3A-417E-9DEF-A553370CA43C}"/>
    <cellStyle name="20% - Accent4 2 3 6 2 3" xfId="23481" xr:uid="{DEAB54C4-722B-4610-A80B-430F15F0E3E0}"/>
    <cellStyle name="20% - Accent4 2 3 6 3" xfId="10823" xr:uid="{0029F198-1E16-413A-A4DD-8CD0FED17C91}"/>
    <cellStyle name="20% - Accent4 2 3 6 4" xfId="19264" xr:uid="{3F8B0A77-51CC-45D7-BC90-EAD645207D8B}"/>
    <cellStyle name="20% - Accent4 2 3 7" xfId="4533" xr:uid="{00000000-0005-0000-0000-00001E020000}"/>
    <cellStyle name="20% - Accent4 2 3 7 2" xfId="12975" xr:uid="{EE24E6A6-33B2-48FC-8D08-AA3F462B887A}"/>
    <cellStyle name="20% - Accent4 2 3 7 3" xfId="21415" xr:uid="{C58D58D4-010C-4695-A8EA-C5CC8DF2DB70}"/>
    <cellStyle name="20% - Accent4 2 3 8" xfId="8757" xr:uid="{90BBAA48-9B4A-47AD-91AC-046C4E27BA01}"/>
    <cellStyle name="20% - Accent4 2 3 9" xfId="17198" xr:uid="{347613C7-D606-42BF-A527-3DB1D4D56EE8}"/>
    <cellStyle name="20% - Accent4 2 4" xfId="595" xr:uid="{00000000-0005-0000-0000-00001F020000}"/>
    <cellStyle name="20% - Accent4 2 4 2" xfId="2866" xr:uid="{00000000-0005-0000-0000-000020020000}"/>
    <cellStyle name="20% - Accent4 2 4 2 2" xfId="7089" xr:uid="{00000000-0005-0000-0000-000021020000}"/>
    <cellStyle name="20% - Accent4 2 4 2 2 2" xfId="15531" xr:uid="{9B1E5CAF-38C7-4561-A16A-5BD6BA896AA4}"/>
    <cellStyle name="20% - Accent4 2 4 2 2 3" xfId="23971" xr:uid="{F58D9C60-5231-4FFC-95F0-C556B64BB2C4}"/>
    <cellStyle name="20% - Accent4 2 4 2 3" xfId="11313" xr:uid="{D3CDC335-20B8-4AF9-A947-D15F383D4F88}"/>
    <cellStyle name="20% - Accent4 2 4 2 4" xfId="19754" xr:uid="{A2EB42A9-0AA6-49E0-ACBD-6EFCD15B202C}"/>
    <cellStyle name="20% - Accent4 2 4 3" xfId="4944" xr:uid="{00000000-0005-0000-0000-000022020000}"/>
    <cellStyle name="20% - Accent4 2 4 3 2" xfId="13386" xr:uid="{472F3202-37F5-43C2-B0E9-FEDC58DDCF57}"/>
    <cellStyle name="20% - Accent4 2 4 3 3" xfId="21826" xr:uid="{BD13CB31-4625-4DC2-BC19-9032F34E780A}"/>
    <cellStyle name="20% - Accent4 2 4 4" xfId="9168" xr:uid="{5EDA9583-2D8C-4502-A6F0-70D9371D617E}"/>
    <cellStyle name="20% - Accent4 2 4 5" xfId="17609" xr:uid="{F8BCB348-2F15-4504-A69A-FD2863F582DB}"/>
    <cellStyle name="20% - Accent4 2 5" xfId="1048" xr:uid="{00000000-0005-0000-0000-000023020000}"/>
    <cellStyle name="20% - Accent4 2 5 2" xfId="3279" xr:uid="{00000000-0005-0000-0000-000024020000}"/>
    <cellStyle name="20% - Accent4 2 5 2 2" xfId="7502" xr:uid="{00000000-0005-0000-0000-000025020000}"/>
    <cellStyle name="20% - Accent4 2 5 2 2 2" xfId="15944" xr:uid="{9FBE9FB2-CE84-4A0F-97E5-7A7B525C01E5}"/>
    <cellStyle name="20% - Accent4 2 5 2 2 3" xfId="24384" xr:uid="{C0D7491C-2A87-4B95-99B3-3468CAB03CEF}"/>
    <cellStyle name="20% - Accent4 2 5 2 3" xfId="11726" xr:uid="{36890829-2296-42E3-9C16-BA556EF561FF}"/>
    <cellStyle name="20% - Accent4 2 5 2 4" xfId="20167" xr:uid="{CB08FC6D-1A3A-4C6A-9241-B982B034E39F}"/>
    <cellStyle name="20% - Accent4 2 5 3" xfId="5357" xr:uid="{00000000-0005-0000-0000-000026020000}"/>
    <cellStyle name="20% - Accent4 2 5 3 2" xfId="13799" xr:uid="{E4758836-0F11-406C-9907-2CD273E190E7}"/>
    <cellStyle name="20% - Accent4 2 5 3 3" xfId="22239" xr:uid="{68C33C58-6A47-4143-A12F-6AEB4101E3A7}"/>
    <cellStyle name="20% - Accent4 2 5 4" xfId="9581" xr:uid="{1512FFED-D922-4E37-89BB-B6B3BFE4C10E}"/>
    <cellStyle name="20% - Accent4 2 5 5" xfId="18022" xr:uid="{22C5B63A-70A5-40B9-8F3F-5C973AF7CE2C}"/>
    <cellStyle name="20% - Accent4 2 6" xfId="1462" xr:uid="{00000000-0005-0000-0000-000027020000}"/>
    <cellStyle name="20% - Accent4 2 6 2" xfId="3692" xr:uid="{00000000-0005-0000-0000-000028020000}"/>
    <cellStyle name="20% - Accent4 2 6 2 2" xfId="7915" xr:uid="{00000000-0005-0000-0000-000029020000}"/>
    <cellStyle name="20% - Accent4 2 6 2 2 2" xfId="16357" xr:uid="{84A84042-9778-45E1-B2D9-9D267A9E7B9B}"/>
    <cellStyle name="20% - Accent4 2 6 2 2 3" xfId="24797" xr:uid="{E8C9DC46-6F72-40BB-B6D2-91ADF8711A79}"/>
    <cellStyle name="20% - Accent4 2 6 2 3" xfId="12139" xr:uid="{A925685F-C3A7-45EB-84C6-7032D5A426DF}"/>
    <cellStyle name="20% - Accent4 2 6 2 4" xfId="20580" xr:uid="{7A268849-FBAF-4B57-A932-A2702509B158}"/>
    <cellStyle name="20% - Accent4 2 6 3" xfId="5770" xr:uid="{00000000-0005-0000-0000-00002A020000}"/>
    <cellStyle name="20% - Accent4 2 6 3 2" xfId="14212" xr:uid="{6149234D-CBFA-4428-A008-43B278CCB57F}"/>
    <cellStyle name="20% - Accent4 2 6 3 3" xfId="22652" xr:uid="{340FCEBF-0A83-4692-A9E4-D5B99641D7DE}"/>
    <cellStyle name="20% - Accent4 2 6 4" xfId="9994" xr:uid="{6E1507DA-A0FE-4A20-9041-844B003DF92D}"/>
    <cellStyle name="20% - Accent4 2 6 5" xfId="18435" xr:uid="{97841A38-C68B-4DE2-A5B8-8114F8A53040}"/>
    <cellStyle name="20% - Accent4 2 7" xfId="1876" xr:uid="{00000000-0005-0000-0000-00002B020000}"/>
    <cellStyle name="20% - Accent4 2 7 2" xfId="4105" xr:uid="{00000000-0005-0000-0000-00002C020000}"/>
    <cellStyle name="20% - Accent4 2 7 2 2" xfId="8328" xr:uid="{00000000-0005-0000-0000-00002D020000}"/>
    <cellStyle name="20% - Accent4 2 7 2 2 2" xfId="16770" xr:uid="{ADE413B5-05F1-46A0-BD19-588BAB40A909}"/>
    <cellStyle name="20% - Accent4 2 7 2 2 3" xfId="25210" xr:uid="{9EB64548-76B6-4499-9989-5785ED5EA07B}"/>
    <cellStyle name="20% - Accent4 2 7 2 3" xfId="12552" xr:uid="{C5562FDF-C23B-48D4-A750-507CF069A227}"/>
    <cellStyle name="20% - Accent4 2 7 2 4" xfId="20993" xr:uid="{B21273ED-1BC3-43B6-8612-5B56EC1D5A5F}"/>
    <cellStyle name="20% - Accent4 2 7 3" xfId="6183" xr:uid="{00000000-0005-0000-0000-00002E020000}"/>
    <cellStyle name="20% - Accent4 2 7 3 2" xfId="14625" xr:uid="{54E8F065-B2AB-4619-950F-83D8854E593B}"/>
    <cellStyle name="20% - Accent4 2 7 3 3" xfId="23065" xr:uid="{9414DFFB-2048-4D19-B8EA-B06366A4DC18}"/>
    <cellStyle name="20% - Accent4 2 7 4" xfId="10407" xr:uid="{3CF18011-65D6-45CB-91AA-708497496E3A}"/>
    <cellStyle name="20% - Accent4 2 7 5" xfId="18848" xr:uid="{9A974674-B4C9-4158-AE9B-B12242D34FC0}"/>
    <cellStyle name="20% - Accent4 2 8" xfId="2289" xr:uid="{00000000-0005-0000-0000-00002F020000}"/>
    <cellStyle name="20% - Accent4 2 8 2" xfId="6596" xr:uid="{00000000-0005-0000-0000-000030020000}"/>
    <cellStyle name="20% - Accent4 2 8 2 2" xfId="15038" xr:uid="{9C434C21-70D1-4615-9F2E-A948E8BA6E47}"/>
    <cellStyle name="20% - Accent4 2 8 2 3" xfId="23478" xr:uid="{BB2C7B6C-50BD-480D-8356-0B608CA9ACD8}"/>
    <cellStyle name="20% - Accent4 2 8 3" xfId="10820" xr:uid="{1FF753ED-1781-4458-9728-B7D2D058B69E}"/>
    <cellStyle name="20% - Accent4 2 8 4" xfId="19261" xr:uid="{D3602951-5983-4EAC-8BD0-358CB0FDDFFB}"/>
    <cellStyle name="20% - Accent4 2 9" xfId="4530" xr:uid="{00000000-0005-0000-0000-000031020000}"/>
    <cellStyle name="20% - Accent4 2 9 2" xfId="12972" xr:uid="{F5723113-254D-4461-AB02-571B5D833414}"/>
    <cellStyle name="20% - Accent4 2 9 3" xfId="21412" xr:uid="{10C3445D-E699-414A-B918-9B198E2FE57C}"/>
    <cellStyle name="20% - Accent4 3" xfId="30" xr:uid="{00000000-0005-0000-0000-000032020000}"/>
    <cellStyle name="20% - Accent4 3 10" xfId="17199" xr:uid="{8C9D840A-839F-44FC-AF54-99A655EA03E7}"/>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15536" xr:uid="{B91477AC-6201-4CD7-95AB-128063A5AF14}"/>
    <cellStyle name="20% - Accent4 3 2 2 2 2 3" xfId="23976" xr:uid="{8D9A6655-F3BA-4994-AB68-ECB0B1B2894F}"/>
    <cellStyle name="20% - Accent4 3 2 2 2 3" xfId="11318" xr:uid="{AF54614C-EE7F-455A-8BA4-29F00EB467A1}"/>
    <cellStyle name="20% - Accent4 3 2 2 2 4" xfId="19759" xr:uid="{9A33271C-1611-4C84-BB57-4CAAC007CDC9}"/>
    <cellStyle name="20% - Accent4 3 2 2 3" xfId="4949" xr:uid="{00000000-0005-0000-0000-000037020000}"/>
    <cellStyle name="20% - Accent4 3 2 2 3 2" xfId="13391" xr:uid="{1507C394-7550-4892-9DC2-02B0E3C6A49A}"/>
    <cellStyle name="20% - Accent4 3 2 2 3 3" xfId="21831" xr:uid="{809E719F-0FD8-4CA8-8027-07D20003548E}"/>
    <cellStyle name="20% - Accent4 3 2 2 4" xfId="9173" xr:uid="{637B07A8-C219-4DC7-8F5D-56CCBAD959B9}"/>
    <cellStyle name="20% - Accent4 3 2 2 5" xfId="17614" xr:uid="{19D0724A-7556-41ED-86DF-38501893DCCC}"/>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15949" xr:uid="{BDF90002-2BDD-4100-AB67-8C40204800F1}"/>
    <cellStyle name="20% - Accent4 3 2 3 2 2 3" xfId="24389" xr:uid="{C0748D84-2668-452A-822D-EA616065DE26}"/>
    <cellStyle name="20% - Accent4 3 2 3 2 3" xfId="11731" xr:uid="{367323D0-935E-4912-8A63-BB08CA058FD7}"/>
    <cellStyle name="20% - Accent4 3 2 3 2 4" xfId="20172" xr:uid="{784C6412-BB11-4691-9309-73A99A76419C}"/>
    <cellStyle name="20% - Accent4 3 2 3 3" xfId="5362" xr:uid="{00000000-0005-0000-0000-00003B020000}"/>
    <cellStyle name="20% - Accent4 3 2 3 3 2" xfId="13804" xr:uid="{EB951FA4-D528-4BC4-A71C-4579FDBD6E4C}"/>
    <cellStyle name="20% - Accent4 3 2 3 3 3" xfId="22244" xr:uid="{DD9213ED-78EE-4AF4-91B7-ED31273FBE49}"/>
    <cellStyle name="20% - Accent4 3 2 3 4" xfId="9586" xr:uid="{C1C10269-DBFC-4221-9A76-8305FE978DAB}"/>
    <cellStyle name="20% - Accent4 3 2 3 5" xfId="18027" xr:uid="{79E827BB-C241-4AEA-9E99-D221B1135D41}"/>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16362" xr:uid="{59B64D73-5E1A-4B6A-909C-BD8EF0423A7E}"/>
    <cellStyle name="20% - Accent4 3 2 4 2 2 3" xfId="24802" xr:uid="{E4221262-A08C-41FF-BAD5-F6767C9B7C39}"/>
    <cellStyle name="20% - Accent4 3 2 4 2 3" xfId="12144" xr:uid="{34200BC2-147D-4E00-B01D-22865475732A}"/>
    <cellStyle name="20% - Accent4 3 2 4 2 4" xfId="20585" xr:uid="{AB246120-90CA-4F42-BF22-AEC8CCAF1385}"/>
    <cellStyle name="20% - Accent4 3 2 4 3" xfId="5775" xr:uid="{00000000-0005-0000-0000-00003F020000}"/>
    <cellStyle name="20% - Accent4 3 2 4 3 2" xfId="14217" xr:uid="{C827DA16-CEA4-4803-AC74-9822AC4A358F}"/>
    <cellStyle name="20% - Accent4 3 2 4 3 3" xfId="22657" xr:uid="{8071B245-04C2-417B-885A-C17D23471AAA}"/>
    <cellStyle name="20% - Accent4 3 2 4 4" xfId="9999" xr:uid="{D9354944-C34B-45E6-81F1-43F50E06C431}"/>
    <cellStyle name="20% - Accent4 3 2 4 5" xfId="18440" xr:uid="{717A4C37-5B91-40D2-AA04-051E20F057D3}"/>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16775" xr:uid="{68D3781F-B06E-4CB0-93C8-6F77EA65AB5A}"/>
    <cellStyle name="20% - Accent4 3 2 5 2 2 3" xfId="25215" xr:uid="{F17F9AF7-6931-46A2-8830-99F1E83EF851}"/>
    <cellStyle name="20% - Accent4 3 2 5 2 3" xfId="12557" xr:uid="{93504E82-50DA-4B19-8D37-B1912EA23ECD}"/>
    <cellStyle name="20% - Accent4 3 2 5 2 4" xfId="20998" xr:uid="{A00F27DE-8475-4826-880B-25C25D517F08}"/>
    <cellStyle name="20% - Accent4 3 2 5 3" xfId="6188" xr:uid="{00000000-0005-0000-0000-000043020000}"/>
    <cellStyle name="20% - Accent4 3 2 5 3 2" xfId="14630" xr:uid="{9361FC62-56CB-4D2D-BB44-65BDE999D42E}"/>
    <cellStyle name="20% - Accent4 3 2 5 3 3" xfId="23070" xr:uid="{11848D01-646C-4962-8049-9183C557BFF4}"/>
    <cellStyle name="20% - Accent4 3 2 5 4" xfId="10412" xr:uid="{CA0B35D9-BC96-4CA3-A787-8E59DC0F1EE7}"/>
    <cellStyle name="20% - Accent4 3 2 5 5" xfId="18853" xr:uid="{CFA852A2-0ABC-4742-8E13-DBA2351FBB5D}"/>
    <cellStyle name="20% - Accent4 3 2 6" xfId="2294" xr:uid="{00000000-0005-0000-0000-000044020000}"/>
    <cellStyle name="20% - Accent4 3 2 6 2" xfId="6601" xr:uid="{00000000-0005-0000-0000-000045020000}"/>
    <cellStyle name="20% - Accent4 3 2 6 2 2" xfId="15043" xr:uid="{1D5A7522-C4AC-48D4-9A09-2CCFFF94EB2B}"/>
    <cellStyle name="20% - Accent4 3 2 6 2 3" xfId="23483" xr:uid="{A395C4D9-1CD6-4A68-AD37-A5305DC6A92F}"/>
    <cellStyle name="20% - Accent4 3 2 6 3" xfId="10825" xr:uid="{592C2378-A8DC-429F-B6CE-CCC862B59231}"/>
    <cellStyle name="20% - Accent4 3 2 6 4" xfId="19266" xr:uid="{0EB45D55-B15D-4C11-BC94-FE76E7E2E139}"/>
    <cellStyle name="20% - Accent4 3 2 7" xfId="4535" xr:uid="{00000000-0005-0000-0000-000046020000}"/>
    <cellStyle name="20% - Accent4 3 2 7 2" xfId="12977" xr:uid="{95106E1E-1EE3-4DF1-835D-BDF36F276089}"/>
    <cellStyle name="20% - Accent4 3 2 7 3" xfId="21417" xr:uid="{9D691F82-276D-4732-9709-D70D06DD3111}"/>
    <cellStyle name="20% - Accent4 3 2 8" xfId="8759" xr:uid="{7E6733D3-594B-4CDA-AD61-E41403F6C83F}"/>
    <cellStyle name="20% - Accent4 3 2 9" xfId="17200" xr:uid="{506A346C-4A48-45F7-A7C7-ECA2F653DE37}"/>
    <cellStyle name="20% - Accent4 3 3" xfId="599" xr:uid="{00000000-0005-0000-0000-000047020000}"/>
    <cellStyle name="20% - Accent4 3 3 2" xfId="2870" xr:uid="{00000000-0005-0000-0000-000048020000}"/>
    <cellStyle name="20% - Accent4 3 3 2 2" xfId="7093" xr:uid="{00000000-0005-0000-0000-000049020000}"/>
    <cellStyle name="20% - Accent4 3 3 2 2 2" xfId="15535" xr:uid="{F4C92B14-82D6-4D5B-9D27-0574D7714A2D}"/>
    <cellStyle name="20% - Accent4 3 3 2 2 3" xfId="23975" xr:uid="{50E820C1-F10A-4D61-81D6-15161E92AA96}"/>
    <cellStyle name="20% - Accent4 3 3 2 3" xfId="11317" xr:uid="{2F6AE252-9DCF-4275-BF75-5279B0936FB8}"/>
    <cellStyle name="20% - Accent4 3 3 2 4" xfId="19758" xr:uid="{F96226F4-EC3D-40DC-92EC-AF3EC4B870CC}"/>
    <cellStyle name="20% - Accent4 3 3 3" xfId="4948" xr:uid="{00000000-0005-0000-0000-00004A020000}"/>
    <cellStyle name="20% - Accent4 3 3 3 2" xfId="13390" xr:uid="{C230BE61-F0CC-4BC5-A401-342BEDFA7614}"/>
    <cellStyle name="20% - Accent4 3 3 3 3" xfId="21830" xr:uid="{10529DEB-D38A-408D-88CA-E137B6998776}"/>
    <cellStyle name="20% - Accent4 3 3 4" xfId="9172" xr:uid="{98FBCD83-E553-40F9-B1D8-D0572DCA5B91}"/>
    <cellStyle name="20% - Accent4 3 3 5" xfId="17613" xr:uid="{80AA4DAA-35D5-4CC1-8D6A-42C00FC816D7}"/>
    <cellStyle name="20% - Accent4 3 4" xfId="1052" xr:uid="{00000000-0005-0000-0000-00004B020000}"/>
    <cellStyle name="20% - Accent4 3 4 2" xfId="3283" xr:uid="{00000000-0005-0000-0000-00004C020000}"/>
    <cellStyle name="20% - Accent4 3 4 2 2" xfId="7506" xr:uid="{00000000-0005-0000-0000-00004D020000}"/>
    <cellStyle name="20% - Accent4 3 4 2 2 2" xfId="15948" xr:uid="{BE0D2CB5-D9F3-4454-ACEC-2393C39A5FB7}"/>
    <cellStyle name="20% - Accent4 3 4 2 2 3" xfId="24388" xr:uid="{FB0EB456-4C05-41D4-920A-2A9BB301666F}"/>
    <cellStyle name="20% - Accent4 3 4 2 3" xfId="11730" xr:uid="{0F39F8F2-CC0E-4E4F-B14B-DCD179847499}"/>
    <cellStyle name="20% - Accent4 3 4 2 4" xfId="20171" xr:uid="{3A381046-03D8-4EBD-A9F4-820615688E17}"/>
    <cellStyle name="20% - Accent4 3 4 3" xfId="5361" xr:uid="{00000000-0005-0000-0000-00004E020000}"/>
    <cellStyle name="20% - Accent4 3 4 3 2" xfId="13803" xr:uid="{2552F8BB-0404-45F2-B301-F83D2181754B}"/>
    <cellStyle name="20% - Accent4 3 4 3 3" xfId="22243" xr:uid="{2C4E11DA-65E3-4F51-A3AA-097987B75BDD}"/>
    <cellStyle name="20% - Accent4 3 4 4" xfId="9585" xr:uid="{CA3B1D9B-8F1D-4065-9FFC-BD5D01E9EF9A}"/>
    <cellStyle name="20% - Accent4 3 4 5" xfId="18026" xr:uid="{5FFB1142-F349-4AB2-9F07-E277BA41EA36}"/>
    <cellStyle name="20% - Accent4 3 5" xfId="1466" xr:uid="{00000000-0005-0000-0000-00004F020000}"/>
    <cellStyle name="20% - Accent4 3 5 2" xfId="3696" xr:uid="{00000000-0005-0000-0000-000050020000}"/>
    <cellStyle name="20% - Accent4 3 5 2 2" xfId="7919" xr:uid="{00000000-0005-0000-0000-000051020000}"/>
    <cellStyle name="20% - Accent4 3 5 2 2 2" xfId="16361" xr:uid="{9D2AFEDD-D7F1-472F-A5F2-091BF738E246}"/>
    <cellStyle name="20% - Accent4 3 5 2 2 3" xfId="24801" xr:uid="{167A0319-18C8-4FF9-9515-5C0CA76BA652}"/>
    <cellStyle name="20% - Accent4 3 5 2 3" xfId="12143" xr:uid="{1F8BF490-E447-4535-AA22-A78357F6018D}"/>
    <cellStyle name="20% - Accent4 3 5 2 4" xfId="20584" xr:uid="{7C3D1619-571F-49B3-87F9-C609E4CC4495}"/>
    <cellStyle name="20% - Accent4 3 5 3" xfId="5774" xr:uid="{00000000-0005-0000-0000-000052020000}"/>
    <cellStyle name="20% - Accent4 3 5 3 2" xfId="14216" xr:uid="{24090329-2679-493F-B086-EF5986ED775E}"/>
    <cellStyle name="20% - Accent4 3 5 3 3" xfId="22656" xr:uid="{8464F0F2-1E82-4D7C-8565-9DA2267A1BE1}"/>
    <cellStyle name="20% - Accent4 3 5 4" xfId="9998" xr:uid="{B7C1ACD9-9699-46A6-9FB4-01782E169921}"/>
    <cellStyle name="20% - Accent4 3 5 5" xfId="18439" xr:uid="{D9A8A811-C195-45D1-85F1-F9E259C8933C}"/>
    <cellStyle name="20% - Accent4 3 6" xfId="1880" xr:uid="{00000000-0005-0000-0000-000053020000}"/>
    <cellStyle name="20% - Accent4 3 6 2" xfId="4109" xr:uid="{00000000-0005-0000-0000-000054020000}"/>
    <cellStyle name="20% - Accent4 3 6 2 2" xfId="8332" xr:uid="{00000000-0005-0000-0000-000055020000}"/>
    <cellStyle name="20% - Accent4 3 6 2 2 2" xfId="16774" xr:uid="{7FF6763D-46D7-4895-802F-88134D46D24C}"/>
    <cellStyle name="20% - Accent4 3 6 2 2 3" xfId="25214" xr:uid="{55F5D22D-956F-44C6-977A-A3E99BF11D26}"/>
    <cellStyle name="20% - Accent4 3 6 2 3" xfId="12556" xr:uid="{640098A2-9162-4EF1-AE2E-EAC4E2585B01}"/>
    <cellStyle name="20% - Accent4 3 6 2 4" xfId="20997" xr:uid="{581921DE-327A-4A01-A260-24FCD2085240}"/>
    <cellStyle name="20% - Accent4 3 6 3" xfId="6187" xr:uid="{00000000-0005-0000-0000-000056020000}"/>
    <cellStyle name="20% - Accent4 3 6 3 2" xfId="14629" xr:uid="{17782A61-F529-4BCE-9954-692F3D9C8EED}"/>
    <cellStyle name="20% - Accent4 3 6 3 3" xfId="23069" xr:uid="{845D06E3-5B65-484C-A39C-DB8B38789370}"/>
    <cellStyle name="20% - Accent4 3 6 4" xfId="10411" xr:uid="{D1994426-6D2F-4F25-A80A-3FE6DFA8B133}"/>
    <cellStyle name="20% - Accent4 3 6 5" xfId="18852" xr:uid="{3FA0933E-6828-4990-932A-2F39FA8D9EE3}"/>
    <cellStyle name="20% - Accent4 3 7" xfId="2293" xr:uid="{00000000-0005-0000-0000-000057020000}"/>
    <cellStyle name="20% - Accent4 3 7 2" xfId="6600" xr:uid="{00000000-0005-0000-0000-000058020000}"/>
    <cellStyle name="20% - Accent4 3 7 2 2" xfId="15042" xr:uid="{A9B5F557-E027-442C-A1F5-27C67A5DD7D9}"/>
    <cellStyle name="20% - Accent4 3 7 2 3" xfId="23482" xr:uid="{35E27965-DE59-4862-AC05-FA6F5735C0BC}"/>
    <cellStyle name="20% - Accent4 3 7 3" xfId="10824" xr:uid="{B9162642-E6AC-4C82-B446-2F1F2408755E}"/>
    <cellStyle name="20% - Accent4 3 7 4" xfId="19265" xr:uid="{565A1E08-7C92-45A9-8E40-966D76C4D796}"/>
    <cellStyle name="20% - Accent4 3 8" xfId="4534" xr:uid="{00000000-0005-0000-0000-000059020000}"/>
    <cellStyle name="20% - Accent4 3 8 2" xfId="12976" xr:uid="{3CB7AE9A-11FC-4559-8418-6A421BC3AF53}"/>
    <cellStyle name="20% - Accent4 3 8 3" xfId="21416" xr:uid="{66732D08-39BE-4F95-B3D2-C92F9B02C1C7}"/>
    <cellStyle name="20% - Accent4 3 9" xfId="8758" xr:uid="{B7CC595B-89B5-4A84-AB05-A005EDF84618}"/>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2 2 2" xfId="15537" xr:uid="{0CE8947E-7F9E-4C1D-851C-006CB502C022}"/>
    <cellStyle name="20% - Accent4 4 2 2 2 3" xfId="23977" xr:uid="{4E62D33E-CDD0-4D1D-9214-FB8804107D62}"/>
    <cellStyle name="20% - Accent4 4 2 2 3" xfId="11319" xr:uid="{1EE67F79-AC0D-4D57-8ABF-F6DF7E4C16E3}"/>
    <cellStyle name="20% - Accent4 4 2 2 4" xfId="19760" xr:uid="{9FCC04FF-795B-4E6E-90A9-7A5B27EFBDDB}"/>
    <cellStyle name="20% - Accent4 4 2 3" xfId="4950" xr:uid="{00000000-0005-0000-0000-00005E020000}"/>
    <cellStyle name="20% - Accent4 4 2 3 2" xfId="13392" xr:uid="{248A85E9-2BA4-4D13-AF2E-9F4E07B5D06C}"/>
    <cellStyle name="20% - Accent4 4 2 3 3" xfId="21832" xr:uid="{A5B1CA6A-031F-40B8-890E-8893B165482A}"/>
    <cellStyle name="20% - Accent4 4 2 4" xfId="9174" xr:uid="{78D38687-057E-4966-A433-3499028FD295}"/>
    <cellStyle name="20% - Accent4 4 2 5" xfId="17615" xr:uid="{28441380-F788-47E0-928E-6E46B9B8C360}"/>
    <cellStyle name="20% - Accent4 4 3" xfId="1054" xr:uid="{00000000-0005-0000-0000-00005F020000}"/>
    <cellStyle name="20% - Accent4 4 3 2" xfId="3285" xr:uid="{00000000-0005-0000-0000-000060020000}"/>
    <cellStyle name="20% - Accent4 4 3 2 2" xfId="7508" xr:uid="{00000000-0005-0000-0000-000061020000}"/>
    <cellStyle name="20% - Accent4 4 3 2 2 2" xfId="15950" xr:uid="{D9F2A293-1399-485C-926D-2E6BD67161AE}"/>
    <cellStyle name="20% - Accent4 4 3 2 2 3" xfId="24390" xr:uid="{34841C33-A094-4CAF-8AB5-DDFBA97E1D30}"/>
    <cellStyle name="20% - Accent4 4 3 2 3" xfId="11732" xr:uid="{0BF6FA7B-2951-4FC1-9C61-70F8792FCFE7}"/>
    <cellStyle name="20% - Accent4 4 3 2 4" xfId="20173" xr:uid="{268B8489-61CB-486D-9771-C6F5546E1192}"/>
    <cellStyle name="20% - Accent4 4 3 3" xfId="5363" xr:uid="{00000000-0005-0000-0000-000062020000}"/>
    <cellStyle name="20% - Accent4 4 3 3 2" xfId="13805" xr:uid="{8FBCAB4D-DFAC-42BA-BE2B-C89FDFC32981}"/>
    <cellStyle name="20% - Accent4 4 3 3 3" xfId="22245" xr:uid="{A8056C17-4789-48C6-9093-7C811A9F7F23}"/>
    <cellStyle name="20% - Accent4 4 3 4" xfId="9587" xr:uid="{9ADEA640-C41E-4B6F-A4B4-822D9BE92F20}"/>
    <cellStyle name="20% - Accent4 4 3 5" xfId="18028" xr:uid="{E0E64393-AAC1-47A1-9C9B-1BABC5EC1983}"/>
    <cellStyle name="20% - Accent4 4 4" xfId="1468" xr:uid="{00000000-0005-0000-0000-000063020000}"/>
    <cellStyle name="20% - Accent4 4 4 2" xfId="3698" xr:uid="{00000000-0005-0000-0000-000064020000}"/>
    <cellStyle name="20% - Accent4 4 4 2 2" xfId="7921" xr:uid="{00000000-0005-0000-0000-000065020000}"/>
    <cellStyle name="20% - Accent4 4 4 2 2 2" xfId="16363" xr:uid="{BF0F2EB8-E86A-4C3C-9147-C89AEC55E982}"/>
    <cellStyle name="20% - Accent4 4 4 2 2 3" xfId="24803" xr:uid="{403652FD-C7F4-4EB4-A7A0-2B340EB194EA}"/>
    <cellStyle name="20% - Accent4 4 4 2 3" xfId="12145" xr:uid="{22AF0668-20C2-4700-AE1E-1B43EAAE0BA7}"/>
    <cellStyle name="20% - Accent4 4 4 2 4" xfId="20586" xr:uid="{893A5ACF-FA49-4713-ABCE-0246955E81F4}"/>
    <cellStyle name="20% - Accent4 4 4 3" xfId="5776" xr:uid="{00000000-0005-0000-0000-000066020000}"/>
    <cellStyle name="20% - Accent4 4 4 3 2" xfId="14218" xr:uid="{3104DF1E-8052-47EF-89BC-4F413491863B}"/>
    <cellStyle name="20% - Accent4 4 4 3 3" xfId="22658" xr:uid="{98217308-2085-44D4-A15E-62CD7857D5DE}"/>
    <cellStyle name="20% - Accent4 4 4 4" xfId="10000" xr:uid="{5346745C-74A7-4308-9415-2D3665160E3A}"/>
    <cellStyle name="20% - Accent4 4 4 5" xfId="18441" xr:uid="{07B6B77A-C132-43F1-B7D9-12C955187873}"/>
    <cellStyle name="20% - Accent4 4 5" xfId="1882" xr:uid="{00000000-0005-0000-0000-000067020000}"/>
    <cellStyle name="20% - Accent4 4 5 2" xfId="4111" xr:uid="{00000000-0005-0000-0000-000068020000}"/>
    <cellStyle name="20% - Accent4 4 5 2 2" xfId="8334" xr:uid="{00000000-0005-0000-0000-000069020000}"/>
    <cellStyle name="20% - Accent4 4 5 2 2 2" xfId="16776" xr:uid="{F0084F17-39D7-4C05-9FDE-7E7385D96716}"/>
    <cellStyle name="20% - Accent4 4 5 2 2 3" xfId="25216" xr:uid="{5D205D84-840A-4A40-96C7-CCF41C3FE725}"/>
    <cellStyle name="20% - Accent4 4 5 2 3" xfId="12558" xr:uid="{3935DD4A-A32D-4382-BB49-D865A9A695E4}"/>
    <cellStyle name="20% - Accent4 4 5 2 4" xfId="20999" xr:uid="{7579FEE6-A59C-41DF-84A6-A1BE2E39C56C}"/>
    <cellStyle name="20% - Accent4 4 5 3" xfId="6189" xr:uid="{00000000-0005-0000-0000-00006A020000}"/>
    <cellStyle name="20% - Accent4 4 5 3 2" xfId="14631" xr:uid="{DF7391D8-47C5-4BA5-9117-5219C6D0E95B}"/>
    <cellStyle name="20% - Accent4 4 5 3 3" xfId="23071" xr:uid="{2F1F8047-5D93-4452-8EE1-D42A39026B40}"/>
    <cellStyle name="20% - Accent4 4 5 4" xfId="10413" xr:uid="{670F164D-60EB-462E-AF58-397A108C7208}"/>
    <cellStyle name="20% - Accent4 4 5 5" xfId="18854" xr:uid="{BBD88D12-330E-4A86-9530-C387FA3D6D1C}"/>
    <cellStyle name="20% - Accent4 4 6" xfId="2295" xr:uid="{00000000-0005-0000-0000-00006B020000}"/>
    <cellStyle name="20% - Accent4 4 6 2" xfId="6602" xr:uid="{00000000-0005-0000-0000-00006C020000}"/>
    <cellStyle name="20% - Accent4 4 6 2 2" xfId="15044" xr:uid="{91C55BDA-8766-4AD7-842F-B0C8D0E6C678}"/>
    <cellStyle name="20% - Accent4 4 6 2 3" xfId="23484" xr:uid="{59F85F25-8303-4390-979A-8F8D45961691}"/>
    <cellStyle name="20% - Accent4 4 6 3" xfId="10826" xr:uid="{A460D2F3-7929-4FCE-82E7-60F139FB20A8}"/>
    <cellStyle name="20% - Accent4 4 6 4" xfId="19267" xr:uid="{2D0E4B98-0EE5-4CA0-9ED7-2A46C3CE2412}"/>
    <cellStyle name="20% - Accent4 4 7" xfId="4536" xr:uid="{00000000-0005-0000-0000-00006D020000}"/>
    <cellStyle name="20% - Accent4 4 7 2" xfId="12978" xr:uid="{78B79F06-07FF-4AFF-88F3-D2D9D8672F36}"/>
    <cellStyle name="20% - Accent4 4 7 3" xfId="21418" xr:uid="{BC3F2749-9935-40BC-B7EE-2961728E80A4}"/>
    <cellStyle name="20% - Accent4 4 8" xfId="8760" xr:uid="{CCA201DD-48C5-4D80-8FB3-08DA96863195}"/>
    <cellStyle name="20% - Accent4 4 9" xfId="17201" xr:uid="{2B40FDC8-2E62-4DB9-AA08-11C7D4AA2832}"/>
    <cellStyle name="20% - Accent4 5" xfId="594" xr:uid="{00000000-0005-0000-0000-00006E020000}"/>
    <cellStyle name="20% - Accent4 5 2" xfId="2865" xr:uid="{00000000-0005-0000-0000-00006F020000}"/>
    <cellStyle name="20% - Accent4 5 2 2" xfId="7088" xr:uid="{00000000-0005-0000-0000-000070020000}"/>
    <cellStyle name="20% - Accent4 5 2 2 2" xfId="15530" xr:uid="{DFE4A0C4-58D9-472A-9772-E8FB1C94EC39}"/>
    <cellStyle name="20% - Accent4 5 2 2 3" xfId="23970" xr:uid="{4642E4A2-6DE0-4F4E-912A-A66E27DD95AA}"/>
    <cellStyle name="20% - Accent4 5 2 3" xfId="11312" xr:uid="{5EF7C203-B46E-4DE7-9424-ECE22F0C2D94}"/>
    <cellStyle name="20% - Accent4 5 2 4" xfId="19753" xr:uid="{EB45279E-C002-4465-81BC-C5F4FF65726E}"/>
    <cellStyle name="20% - Accent4 5 3" xfId="4943" xr:uid="{00000000-0005-0000-0000-000071020000}"/>
    <cellStyle name="20% - Accent4 5 3 2" xfId="13385" xr:uid="{62E21EB2-4F16-4C1B-A9D3-E5397D927AB7}"/>
    <cellStyle name="20% - Accent4 5 3 3" xfId="21825" xr:uid="{35534A20-16FD-4373-9825-68A0CC034211}"/>
    <cellStyle name="20% - Accent4 5 4" xfId="9167" xr:uid="{3865F995-CEC9-495D-B063-4FDDBC13916E}"/>
    <cellStyle name="20% - Accent4 5 5" xfId="17608" xr:uid="{C522BB0F-8AE4-4EB8-93AE-8AD8BC0C298D}"/>
    <cellStyle name="20% - Accent4 6" xfId="1047" xr:uid="{00000000-0005-0000-0000-000072020000}"/>
    <cellStyle name="20% - Accent4 6 2" xfId="3278" xr:uid="{00000000-0005-0000-0000-000073020000}"/>
    <cellStyle name="20% - Accent4 6 2 2" xfId="7501" xr:uid="{00000000-0005-0000-0000-000074020000}"/>
    <cellStyle name="20% - Accent4 6 2 2 2" xfId="15943" xr:uid="{4F9C5573-99AE-4A90-BC94-31C7A48364C6}"/>
    <cellStyle name="20% - Accent4 6 2 2 3" xfId="24383" xr:uid="{E088D607-51D6-4012-A57E-8E28839A965B}"/>
    <cellStyle name="20% - Accent4 6 2 3" xfId="11725" xr:uid="{E46370D9-5073-450F-A092-CE382A56201B}"/>
    <cellStyle name="20% - Accent4 6 2 4" xfId="20166" xr:uid="{4B40A0C8-8682-478C-B88B-7510EEB4C8A3}"/>
    <cellStyle name="20% - Accent4 6 3" xfId="5356" xr:uid="{00000000-0005-0000-0000-000075020000}"/>
    <cellStyle name="20% - Accent4 6 3 2" xfId="13798" xr:uid="{3AEDA6CE-FA4D-4238-B522-2B9BB7A379CE}"/>
    <cellStyle name="20% - Accent4 6 3 3" xfId="22238" xr:uid="{06008095-AC16-4548-A88B-7E3FE8E5A66F}"/>
    <cellStyle name="20% - Accent4 6 4" xfId="9580" xr:uid="{1C9A52B6-75F3-46B2-83E5-B829379DFEAE}"/>
    <cellStyle name="20% - Accent4 6 5" xfId="18021" xr:uid="{F1B8127D-2FD8-44F3-A5F6-0587C9CE2BBD}"/>
    <cellStyle name="20% - Accent4 7" xfId="1461" xr:uid="{00000000-0005-0000-0000-000076020000}"/>
    <cellStyle name="20% - Accent4 7 2" xfId="3691" xr:uid="{00000000-0005-0000-0000-000077020000}"/>
    <cellStyle name="20% - Accent4 7 2 2" xfId="7914" xr:uid="{00000000-0005-0000-0000-000078020000}"/>
    <cellStyle name="20% - Accent4 7 2 2 2" xfId="16356" xr:uid="{0A4E450D-F2F4-4400-93D3-ED0CBE412CA3}"/>
    <cellStyle name="20% - Accent4 7 2 2 3" xfId="24796" xr:uid="{F563C481-C93E-4627-BF8E-A6D5BD069197}"/>
    <cellStyle name="20% - Accent4 7 2 3" xfId="12138" xr:uid="{AB58A915-D3B2-4E2E-B5A2-240F5F176172}"/>
    <cellStyle name="20% - Accent4 7 2 4" xfId="20579" xr:uid="{6B3FDE11-9361-4087-BC03-FD90BE2E38A4}"/>
    <cellStyle name="20% - Accent4 7 3" xfId="5769" xr:uid="{00000000-0005-0000-0000-000079020000}"/>
    <cellStyle name="20% - Accent4 7 3 2" xfId="14211" xr:uid="{F038E67E-4C48-4DBE-85B3-B0A21486FCF9}"/>
    <cellStyle name="20% - Accent4 7 3 3" xfId="22651" xr:uid="{6FFB5575-D730-45CE-A067-A279C94E4B20}"/>
    <cellStyle name="20% - Accent4 7 4" xfId="9993" xr:uid="{D4053476-B8CB-4F43-8022-3C8C6E20484A}"/>
    <cellStyle name="20% - Accent4 7 5" xfId="18434" xr:uid="{1E620A8F-94D7-4293-AC4E-66D1EF86C604}"/>
    <cellStyle name="20% - Accent4 8" xfId="1875" xr:uid="{00000000-0005-0000-0000-00007A020000}"/>
    <cellStyle name="20% - Accent4 8 2" xfId="4104" xr:uid="{00000000-0005-0000-0000-00007B020000}"/>
    <cellStyle name="20% - Accent4 8 2 2" xfId="8327" xr:uid="{00000000-0005-0000-0000-00007C020000}"/>
    <cellStyle name="20% - Accent4 8 2 2 2" xfId="16769" xr:uid="{5126E1D4-9C30-4D30-9BB4-CD50DABEC00E}"/>
    <cellStyle name="20% - Accent4 8 2 2 3" xfId="25209" xr:uid="{FB98CE27-3CF7-4077-9B02-870DE83AC870}"/>
    <cellStyle name="20% - Accent4 8 2 3" xfId="12551" xr:uid="{A45912BF-D4AA-48B1-9DDC-372D72A29E40}"/>
    <cellStyle name="20% - Accent4 8 2 4" xfId="20992" xr:uid="{1436A367-E2DF-438D-8952-FB097863ED24}"/>
    <cellStyle name="20% - Accent4 8 3" xfId="6182" xr:uid="{00000000-0005-0000-0000-00007D020000}"/>
    <cellStyle name="20% - Accent4 8 3 2" xfId="14624" xr:uid="{92B2343D-B1BB-42A0-AD20-AD04CE42DFE0}"/>
    <cellStyle name="20% - Accent4 8 3 3" xfId="23064" xr:uid="{E8947B03-4485-4588-B607-497C9014C9F6}"/>
    <cellStyle name="20% - Accent4 8 4" xfId="10406" xr:uid="{24295C98-EEAB-4578-975D-357B53EA85E6}"/>
    <cellStyle name="20% - Accent4 8 5" xfId="18847" xr:uid="{C5E52B03-1BC0-4397-A053-152A9565DAC0}"/>
    <cellStyle name="20% - Accent4 9" xfId="2288" xr:uid="{00000000-0005-0000-0000-00007E020000}"/>
    <cellStyle name="20% - Accent4 9 2" xfId="6595" xr:uid="{00000000-0005-0000-0000-00007F020000}"/>
    <cellStyle name="20% - Accent4 9 2 2" xfId="15037" xr:uid="{D45F632E-0273-4580-B05B-FD2A793C39FB}"/>
    <cellStyle name="20% - Accent4 9 2 3" xfId="23477" xr:uid="{8C2ABB9A-F5EF-496C-A212-83BED61B91B3}"/>
    <cellStyle name="20% - Accent4 9 3" xfId="10819" xr:uid="{CA47BC23-7C2C-4757-B4B9-97AAC221D47F}"/>
    <cellStyle name="20% - Accent4 9 4" xfId="19260" xr:uid="{A07284E1-572E-4D9B-A961-6E1F1D4473DA}"/>
    <cellStyle name="20% - Accent5" xfId="33" builtinId="46" customBuiltin="1"/>
    <cellStyle name="20% - Accent5 10" xfId="4537" xr:uid="{00000000-0005-0000-0000-000081020000}"/>
    <cellStyle name="20% - Accent5 10 2" xfId="12979" xr:uid="{198444D7-916E-4416-BC3F-0593B8D513B6}"/>
    <cellStyle name="20% - Accent5 10 3" xfId="21419" xr:uid="{424D9944-5F48-435E-9728-68999DB15BDB}"/>
    <cellStyle name="20% - Accent5 11" xfId="8761" xr:uid="{04FE9F0D-5446-462F-9267-D342482A6E25}"/>
    <cellStyle name="20% - Accent5 12" xfId="17202" xr:uid="{4796FCFB-CC88-4D1F-9717-C1E39CB052E0}"/>
    <cellStyle name="20% - Accent5 2" xfId="34" xr:uid="{00000000-0005-0000-0000-000082020000}"/>
    <cellStyle name="20% - Accent5 2 10" xfId="8762" xr:uid="{5D46E7B9-E788-4A7C-AE10-9208D4B27447}"/>
    <cellStyle name="20% - Accent5 2 11" xfId="17203" xr:uid="{035B14F8-E3BC-40A1-81F4-DEFA2FBEEAD8}"/>
    <cellStyle name="20% - Accent5 2 2" xfId="35" xr:uid="{00000000-0005-0000-0000-000083020000}"/>
    <cellStyle name="20% - Accent5 2 2 10" xfId="17204" xr:uid="{A9AC048B-3D17-481F-BF6D-7AAE180801C3}"/>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15541" xr:uid="{E500339F-5957-44AB-AE33-A2F7427FCE05}"/>
    <cellStyle name="20% - Accent5 2 2 2 2 2 2 3" xfId="23981" xr:uid="{6834A92F-25EB-4C8D-8CEF-B4875BB691ED}"/>
    <cellStyle name="20% - Accent5 2 2 2 2 2 3" xfId="11323" xr:uid="{0E7CD924-459E-4E49-9161-ECF9FFD1E0D7}"/>
    <cellStyle name="20% - Accent5 2 2 2 2 2 4" xfId="19764" xr:uid="{425FE184-5E7E-4A27-A5E1-ACAF2B07D3E7}"/>
    <cellStyle name="20% - Accent5 2 2 2 2 3" xfId="4954" xr:uid="{00000000-0005-0000-0000-000088020000}"/>
    <cellStyle name="20% - Accent5 2 2 2 2 3 2" xfId="13396" xr:uid="{783767F7-7F1B-4E0A-AA4F-4A177981B6F7}"/>
    <cellStyle name="20% - Accent5 2 2 2 2 3 3" xfId="21836" xr:uid="{C01B3233-FB72-454B-B3EE-E47D830D37F1}"/>
    <cellStyle name="20% - Accent5 2 2 2 2 4" xfId="9178" xr:uid="{0EDB68D8-9A24-4B82-9BD5-CF14422AD9AE}"/>
    <cellStyle name="20% - Accent5 2 2 2 2 5" xfId="17619" xr:uid="{28EBEDCB-BAB4-41F4-ADDF-E3E4AB464681}"/>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15954" xr:uid="{90E928E0-CE74-4CDB-BF30-14F1B3008179}"/>
    <cellStyle name="20% - Accent5 2 2 2 3 2 2 3" xfId="24394" xr:uid="{D5195FB5-AE48-411C-9B23-8CADD7544148}"/>
    <cellStyle name="20% - Accent5 2 2 2 3 2 3" xfId="11736" xr:uid="{F1F02FD7-D8AC-4457-8C4D-22603155C43C}"/>
    <cellStyle name="20% - Accent5 2 2 2 3 2 4" xfId="20177" xr:uid="{02CFC69B-B7F0-4FEA-A7A2-171ECD131577}"/>
    <cellStyle name="20% - Accent5 2 2 2 3 3" xfId="5367" xr:uid="{00000000-0005-0000-0000-00008C020000}"/>
    <cellStyle name="20% - Accent5 2 2 2 3 3 2" xfId="13809" xr:uid="{07C32D75-C8FD-4F1F-ACB1-0B4865B94491}"/>
    <cellStyle name="20% - Accent5 2 2 2 3 3 3" xfId="22249" xr:uid="{0E162A51-DCC6-4C30-B95C-8D6CAEC61F69}"/>
    <cellStyle name="20% - Accent5 2 2 2 3 4" xfId="9591" xr:uid="{F7C092B3-34FC-4938-BFC6-76A9217AD079}"/>
    <cellStyle name="20% - Accent5 2 2 2 3 5" xfId="18032" xr:uid="{30B3A317-19EE-400F-8524-84906126C8AD}"/>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16367" xr:uid="{16E2E629-6662-415E-AC1C-26B63F69D8B6}"/>
    <cellStyle name="20% - Accent5 2 2 2 4 2 2 3" xfId="24807" xr:uid="{3016110F-8798-4281-991E-16FFAA7698FA}"/>
    <cellStyle name="20% - Accent5 2 2 2 4 2 3" xfId="12149" xr:uid="{4D414813-D960-4B65-BAB3-FB469902639F}"/>
    <cellStyle name="20% - Accent5 2 2 2 4 2 4" xfId="20590" xr:uid="{A543BA22-0342-43DD-98CC-90AA5B3EBBAC}"/>
    <cellStyle name="20% - Accent5 2 2 2 4 3" xfId="5780" xr:uid="{00000000-0005-0000-0000-000090020000}"/>
    <cellStyle name="20% - Accent5 2 2 2 4 3 2" xfId="14222" xr:uid="{8FDCF40C-8A61-41CE-8B59-00A6FD9FE1FF}"/>
    <cellStyle name="20% - Accent5 2 2 2 4 3 3" xfId="22662" xr:uid="{4612A1FA-3011-4C9A-8DB2-10DF731D07E2}"/>
    <cellStyle name="20% - Accent5 2 2 2 4 4" xfId="10004" xr:uid="{A8CC6E3E-1562-431E-9793-DF7426DF4490}"/>
    <cellStyle name="20% - Accent5 2 2 2 4 5" xfId="18445" xr:uid="{F22ACBDB-F6D4-4BF8-BC65-F27B3FDCB8E9}"/>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16780" xr:uid="{653E1475-0C45-48FF-8C26-03BB6E15076D}"/>
    <cellStyle name="20% - Accent5 2 2 2 5 2 2 3" xfId="25220" xr:uid="{378E21C4-F33F-471D-B932-D35691B4342F}"/>
    <cellStyle name="20% - Accent5 2 2 2 5 2 3" xfId="12562" xr:uid="{D5A68BA0-099B-46F5-ACEF-EEDA151E0372}"/>
    <cellStyle name="20% - Accent5 2 2 2 5 2 4" xfId="21003" xr:uid="{86017038-CA19-4E69-B385-C28D8041C817}"/>
    <cellStyle name="20% - Accent5 2 2 2 5 3" xfId="6193" xr:uid="{00000000-0005-0000-0000-000094020000}"/>
    <cellStyle name="20% - Accent5 2 2 2 5 3 2" xfId="14635" xr:uid="{6070DDE2-25F6-4B92-A402-17ED2A4FCAE9}"/>
    <cellStyle name="20% - Accent5 2 2 2 5 3 3" xfId="23075" xr:uid="{697707C9-E97E-4EDA-93B7-A22403361EA6}"/>
    <cellStyle name="20% - Accent5 2 2 2 5 4" xfId="10417" xr:uid="{D6252AAE-B3FA-4E50-8464-739727F3CC46}"/>
    <cellStyle name="20% - Accent5 2 2 2 5 5" xfId="18858" xr:uid="{E98D6AEE-833B-4FE7-BCBE-E3D0A5106611}"/>
    <cellStyle name="20% - Accent5 2 2 2 6" xfId="2299" xr:uid="{00000000-0005-0000-0000-000095020000}"/>
    <cellStyle name="20% - Accent5 2 2 2 6 2" xfId="6606" xr:uid="{00000000-0005-0000-0000-000096020000}"/>
    <cellStyle name="20% - Accent5 2 2 2 6 2 2" xfId="15048" xr:uid="{9508C328-01CB-4974-B065-C93190EC8FC0}"/>
    <cellStyle name="20% - Accent5 2 2 2 6 2 3" xfId="23488" xr:uid="{9BFA9F66-D0C9-40D0-A1C3-5242853C5257}"/>
    <cellStyle name="20% - Accent5 2 2 2 6 3" xfId="10830" xr:uid="{3A60E001-A9F7-45D0-9F4D-98145C28BBBF}"/>
    <cellStyle name="20% - Accent5 2 2 2 6 4" xfId="19271" xr:uid="{24BE337E-6C88-46E7-94B9-4DB9CB575682}"/>
    <cellStyle name="20% - Accent5 2 2 2 7" xfId="4540" xr:uid="{00000000-0005-0000-0000-000097020000}"/>
    <cellStyle name="20% - Accent5 2 2 2 7 2" xfId="12982" xr:uid="{302AC440-A31A-48C7-A8E0-73EA906EA2AE}"/>
    <cellStyle name="20% - Accent5 2 2 2 7 3" xfId="21422" xr:uid="{68E2A907-A8E1-47C4-92BC-717D82023BF0}"/>
    <cellStyle name="20% - Accent5 2 2 2 8" xfId="8764" xr:uid="{6D363804-51EC-46B9-9619-392302030C69}"/>
    <cellStyle name="20% - Accent5 2 2 2 9" xfId="17205" xr:uid="{9472DE65-0E00-4125-A08C-F36773428777}"/>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15540" xr:uid="{CCF31E0D-4360-4C4B-90C1-EE13045CED69}"/>
    <cellStyle name="20% - Accent5 2 2 3 2 2 3" xfId="23980" xr:uid="{0D36C4BF-8796-422E-9485-7CFD0DDB8E14}"/>
    <cellStyle name="20% - Accent5 2 2 3 2 3" xfId="11322" xr:uid="{856B6834-56CE-4E1E-9FE1-9698D58A6357}"/>
    <cellStyle name="20% - Accent5 2 2 3 2 4" xfId="19763" xr:uid="{FA973D4B-1FC8-4150-A586-8DB2E712D3F3}"/>
    <cellStyle name="20% - Accent5 2 2 3 3" xfId="4953" xr:uid="{00000000-0005-0000-0000-00009B020000}"/>
    <cellStyle name="20% - Accent5 2 2 3 3 2" xfId="13395" xr:uid="{C5ADE9D2-2F20-401B-8959-F3E76C3155F2}"/>
    <cellStyle name="20% - Accent5 2 2 3 3 3" xfId="21835" xr:uid="{6C3C534F-AEE6-424A-84DB-310FBFD007A5}"/>
    <cellStyle name="20% - Accent5 2 2 3 4" xfId="9177" xr:uid="{D66C5A49-99C7-44AA-95A4-5A5D241FE3F8}"/>
    <cellStyle name="20% - Accent5 2 2 3 5" xfId="17618" xr:uid="{4525F8F2-82FE-4670-9AAC-35B0D769DF99}"/>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15953" xr:uid="{891676D0-BB98-48E6-9198-21B31FE2F6D2}"/>
    <cellStyle name="20% - Accent5 2 2 4 2 2 3" xfId="24393" xr:uid="{13738D11-4CE8-4AAB-B1CB-C8B946E750A4}"/>
    <cellStyle name="20% - Accent5 2 2 4 2 3" xfId="11735" xr:uid="{D67FE7CE-77D8-4513-B596-C7A2459A46FF}"/>
    <cellStyle name="20% - Accent5 2 2 4 2 4" xfId="20176" xr:uid="{403AFC00-CC03-40FC-91A8-092A10F5FBD5}"/>
    <cellStyle name="20% - Accent5 2 2 4 3" xfId="5366" xr:uid="{00000000-0005-0000-0000-00009F020000}"/>
    <cellStyle name="20% - Accent5 2 2 4 3 2" xfId="13808" xr:uid="{FF782FB4-35BE-4F3C-8BD4-25A42877111B}"/>
    <cellStyle name="20% - Accent5 2 2 4 3 3" xfId="22248" xr:uid="{BB5908E3-1975-41A5-850E-CD7A4F037710}"/>
    <cellStyle name="20% - Accent5 2 2 4 4" xfId="9590" xr:uid="{467E2517-18D1-47A8-955F-EC9B7393BA64}"/>
    <cellStyle name="20% - Accent5 2 2 4 5" xfId="18031" xr:uid="{B77C343B-8483-449D-B3FE-181BFF3D829C}"/>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16366" xr:uid="{B142555A-0F21-472D-A09F-C28477FD7D12}"/>
    <cellStyle name="20% - Accent5 2 2 5 2 2 3" xfId="24806" xr:uid="{432AC41C-4D04-4126-AF4A-B76F365F68AF}"/>
    <cellStyle name="20% - Accent5 2 2 5 2 3" xfId="12148" xr:uid="{9F31BDB2-6078-4D27-8545-0A78F4FC02B4}"/>
    <cellStyle name="20% - Accent5 2 2 5 2 4" xfId="20589" xr:uid="{90EBAEE4-E25C-446D-8E77-3E90E2333A0E}"/>
    <cellStyle name="20% - Accent5 2 2 5 3" xfId="5779" xr:uid="{00000000-0005-0000-0000-0000A3020000}"/>
    <cellStyle name="20% - Accent5 2 2 5 3 2" xfId="14221" xr:uid="{2A581B20-058E-4523-A7A8-931A5A3008A1}"/>
    <cellStyle name="20% - Accent5 2 2 5 3 3" xfId="22661" xr:uid="{0B0DD90A-AC0D-4D23-ABF3-7594A6CE3734}"/>
    <cellStyle name="20% - Accent5 2 2 5 4" xfId="10003" xr:uid="{79CC9D3B-AC66-44C7-AC0E-F0C91DEA1A5F}"/>
    <cellStyle name="20% - Accent5 2 2 5 5" xfId="18444" xr:uid="{43408A8D-E659-4D5F-854C-FC04BEFCC377}"/>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16779" xr:uid="{3E4C9D04-EB58-47E1-BE6A-F1F2B714E8CB}"/>
    <cellStyle name="20% - Accent5 2 2 6 2 2 3" xfId="25219" xr:uid="{565B6A09-5CBC-45C3-9B1D-67BCD23AC777}"/>
    <cellStyle name="20% - Accent5 2 2 6 2 3" xfId="12561" xr:uid="{62B05ECC-FE56-4A79-8971-C4987D32BC99}"/>
    <cellStyle name="20% - Accent5 2 2 6 2 4" xfId="21002" xr:uid="{613CF1A0-7AD8-4AA9-B330-F1FD1095D72B}"/>
    <cellStyle name="20% - Accent5 2 2 6 3" xfId="6192" xr:uid="{00000000-0005-0000-0000-0000A7020000}"/>
    <cellStyle name="20% - Accent5 2 2 6 3 2" xfId="14634" xr:uid="{EA4F6219-1A3D-4198-A720-19D370FD7EFA}"/>
    <cellStyle name="20% - Accent5 2 2 6 3 3" xfId="23074" xr:uid="{B060FD7D-8BE4-400D-8D3E-647B60FB625B}"/>
    <cellStyle name="20% - Accent5 2 2 6 4" xfId="10416" xr:uid="{202429B5-A9D6-4F09-9F41-EE107E2C542C}"/>
    <cellStyle name="20% - Accent5 2 2 6 5" xfId="18857" xr:uid="{899F4BC7-4730-44FD-8D66-763AA83C69D8}"/>
    <cellStyle name="20% - Accent5 2 2 7" xfId="2298" xr:uid="{00000000-0005-0000-0000-0000A8020000}"/>
    <cellStyle name="20% - Accent5 2 2 7 2" xfId="6605" xr:uid="{00000000-0005-0000-0000-0000A9020000}"/>
    <cellStyle name="20% - Accent5 2 2 7 2 2" xfId="15047" xr:uid="{F3DF1AEE-F337-4EF5-9572-12E800F652B2}"/>
    <cellStyle name="20% - Accent5 2 2 7 2 3" xfId="23487" xr:uid="{C58F056A-D41B-4391-B40A-10926739E91A}"/>
    <cellStyle name="20% - Accent5 2 2 7 3" xfId="10829" xr:uid="{D818BCE4-5C9C-4C9A-882F-12319A893BE4}"/>
    <cellStyle name="20% - Accent5 2 2 7 4" xfId="19270" xr:uid="{956B091B-EE28-49D4-8F7B-77B2A6D4780C}"/>
    <cellStyle name="20% - Accent5 2 2 8" xfId="4539" xr:uid="{00000000-0005-0000-0000-0000AA020000}"/>
    <cellStyle name="20% - Accent5 2 2 8 2" xfId="12981" xr:uid="{386FD879-4319-4209-8C09-00729FB8750B}"/>
    <cellStyle name="20% - Accent5 2 2 8 3" xfId="21421" xr:uid="{49428435-7E65-4D0F-8DD7-5B37576D4CF2}"/>
    <cellStyle name="20% - Accent5 2 2 9" xfId="8763" xr:uid="{BA945A0E-26AC-4B6B-8454-E7467B595931}"/>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15542" xr:uid="{1F906F2A-2626-472F-B619-C3DF72D8A4FF}"/>
    <cellStyle name="20% - Accent5 2 3 2 2 2 3" xfId="23982" xr:uid="{CE012792-C5E3-4A4C-ACA9-CFF37CEB27E6}"/>
    <cellStyle name="20% - Accent5 2 3 2 2 3" xfId="11324" xr:uid="{47DA8D97-14E4-4F44-AE09-CD07C19BE0C2}"/>
    <cellStyle name="20% - Accent5 2 3 2 2 4" xfId="19765" xr:uid="{BE4F2179-0DEE-4A1F-85A0-68CDB0AE3820}"/>
    <cellStyle name="20% - Accent5 2 3 2 3" xfId="4955" xr:uid="{00000000-0005-0000-0000-0000AF020000}"/>
    <cellStyle name="20% - Accent5 2 3 2 3 2" xfId="13397" xr:uid="{3A18F776-739F-4081-869B-14936342D438}"/>
    <cellStyle name="20% - Accent5 2 3 2 3 3" xfId="21837" xr:uid="{A4805C22-985F-44CA-9ADC-37D915C1949A}"/>
    <cellStyle name="20% - Accent5 2 3 2 4" xfId="9179" xr:uid="{B522531E-440F-437D-B2C0-FF8384103E50}"/>
    <cellStyle name="20% - Accent5 2 3 2 5" xfId="17620" xr:uid="{F4460C2E-AD0F-41A4-90BD-93112E9CF1EC}"/>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15955" xr:uid="{C08172DC-2260-4849-AA7C-0B4BA3579C82}"/>
    <cellStyle name="20% - Accent5 2 3 3 2 2 3" xfId="24395" xr:uid="{1115022C-DBD8-4B6D-80C7-C441B99133FB}"/>
    <cellStyle name="20% - Accent5 2 3 3 2 3" xfId="11737" xr:uid="{EEF2CEE2-A0AE-4327-B473-A93720257EB6}"/>
    <cellStyle name="20% - Accent5 2 3 3 2 4" xfId="20178" xr:uid="{9C43FA44-9518-459E-BF02-9674429156F6}"/>
    <cellStyle name="20% - Accent5 2 3 3 3" xfId="5368" xr:uid="{00000000-0005-0000-0000-0000B3020000}"/>
    <cellStyle name="20% - Accent5 2 3 3 3 2" xfId="13810" xr:uid="{AE944B0E-9D32-45F7-AFBA-C55E86C4F663}"/>
    <cellStyle name="20% - Accent5 2 3 3 3 3" xfId="22250" xr:uid="{1F29255E-A0F5-4143-A214-D9D395386375}"/>
    <cellStyle name="20% - Accent5 2 3 3 4" xfId="9592" xr:uid="{30F28618-63F5-49C2-8F45-73884279AAB6}"/>
    <cellStyle name="20% - Accent5 2 3 3 5" xfId="18033" xr:uid="{420E5F84-30AF-4700-8E4A-16ABFFB9EBF2}"/>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16368" xr:uid="{2677D9BE-AEDB-4715-BF42-924F2F7DDE42}"/>
    <cellStyle name="20% - Accent5 2 3 4 2 2 3" xfId="24808" xr:uid="{F2121731-7687-424B-8554-4E3A717B840C}"/>
    <cellStyle name="20% - Accent5 2 3 4 2 3" xfId="12150" xr:uid="{A91B314D-32E0-4381-8DB8-32DF19428892}"/>
    <cellStyle name="20% - Accent5 2 3 4 2 4" xfId="20591" xr:uid="{53F7F433-A779-462A-898A-5A96ACE22830}"/>
    <cellStyle name="20% - Accent5 2 3 4 3" xfId="5781" xr:uid="{00000000-0005-0000-0000-0000B7020000}"/>
    <cellStyle name="20% - Accent5 2 3 4 3 2" xfId="14223" xr:uid="{5152A675-06B0-4FC4-802E-62D35449D274}"/>
    <cellStyle name="20% - Accent5 2 3 4 3 3" xfId="22663" xr:uid="{0980D0F0-80BE-4F4A-AF3E-CDA845E1C0B2}"/>
    <cellStyle name="20% - Accent5 2 3 4 4" xfId="10005" xr:uid="{08F6C734-EC64-4294-A4F6-D39475A0D20E}"/>
    <cellStyle name="20% - Accent5 2 3 4 5" xfId="18446" xr:uid="{94E47279-102D-4DB2-9F66-68793E2CB864}"/>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16781" xr:uid="{2789CF94-D828-4F18-9B5F-ED346FD705FC}"/>
    <cellStyle name="20% - Accent5 2 3 5 2 2 3" xfId="25221" xr:uid="{91DFDC2D-804D-41E2-81C6-C287E18C77EB}"/>
    <cellStyle name="20% - Accent5 2 3 5 2 3" xfId="12563" xr:uid="{1C0472A7-C512-479F-9BB4-C039BC935507}"/>
    <cellStyle name="20% - Accent5 2 3 5 2 4" xfId="21004" xr:uid="{4EF0707D-495B-43C8-BEAE-FB3120A2CD61}"/>
    <cellStyle name="20% - Accent5 2 3 5 3" xfId="6194" xr:uid="{00000000-0005-0000-0000-0000BB020000}"/>
    <cellStyle name="20% - Accent5 2 3 5 3 2" xfId="14636" xr:uid="{E7CD6F20-4B63-4D65-AA2B-6BE755C00807}"/>
    <cellStyle name="20% - Accent5 2 3 5 3 3" xfId="23076" xr:uid="{71980DC9-C571-44A8-B126-69E28F4244D3}"/>
    <cellStyle name="20% - Accent5 2 3 5 4" xfId="10418" xr:uid="{443CF27A-76E1-4D32-AA84-BBA36833A7C5}"/>
    <cellStyle name="20% - Accent5 2 3 5 5" xfId="18859" xr:uid="{7C5AFB72-08ED-4704-95AB-8A682F95F9EF}"/>
    <cellStyle name="20% - Accent5 2 3 6" xfId="2300" xr:uid="{00000000-0005-0000-0000-0000BC020000}"/>
    <cellStyle name="20% - Accent5 2 3 6 2" xfId="6607" xr:uid="{00000000-0005-0000-0000-0000BD020000}"/>
    <cellStyle name="20% - Accent5 2 3 6 2 2" xfId="15049" xr:uid="{5CC0F127-D55C-465A-AF02-ED039096B4C7}"/>
    <cellStyle name="20% - Accent5 2 3 6 2 3" xfId="23489" xr:uid="{04353F47-1C66-47C3-9DB6-A0E8B09976A4}"/>
    <cellStyle name="20% - Accent5 2 3 6 3" xfId="10831" xr:uid="{868F8C99-3D51-4820-B7BB-337251EB23CD}"/>
    <cellStyle name="20% - Accent5 2 3 6 4" xfId="19272" xr:uid="{4D4F5FEA-0F8C-4DC2-8996-58A17B521B1E}"/>
    <cellStyle name="20% - Accent5 2 3 7" xfId="4541" xr:uid="{00000000-0005-0000-0000-0000BE020000}"/>
    <cellStyle name="20% - Accent5 2 3 7 2" xfId="12983" xr:uid="{8C30B0A7-2F98-40C2-B4C6-493BACE15832}"/>
    <cellStyle name="20% - Accent5 2 3 7 3" xfId="21423" xr:uid="{79D3AB61-02AD-4E81-8B6F-BA5934E0B196}"/>
    <cellStyle name="20% - Accent5 2 3 8" xfId="8765" xr:uid="{13ACE7EC-3F47-490C-A5D8-87C9F54D379E}"/>
    <cellStyle name="20% - Accent5 2 3 9" xfId="17206" xr:uid="{37E8C02A-6882-4B93-9BF5-10E3AA53434F}"/>
    <cellStyle name="20% - Accent5 2 4" xfId="603" xr:uid="{00000000-0005-0000-0000-0000BF020000}"/>
    <cellStyle name="20% - Accent5 2 4 2" xfId="2874" xr:uid="{00000000-0005-0000-0000-0000C0020000}"/>
    <cellStyle name="20% - Accent5 2 4 2 2" xfId="7097" xr:uid="{00000000-0005-0000-0000-0000C1020000}"/>
    <cellStyle name="20% - Accent5 2 4 2 2 2" xfId="15539" xr:uid="{1C8B45AF-825E-447D-8A8B-706FEEF09161}"/>
    <cellStyle name="20% - Accent5 2 4 2 2 3" xfId="23979" xr:uid="{FE212CC2-3448-4E6A-986E-3E3E7787775A}"/>
    <cellStyle name="20% - Accent5 2 4 2 3" xfId="11321" xr:uid="{A90B558F-0FD4-4A55-93AA-70165A7EFD07}"/>
    <cellStyle name="20% - Accent5 2 4 2 4" xfId="19762" xr:uid="{7F8F1537-4E5F-4D3D-B4DF-8AF93396483E}"/>
    <cellStyle name="20% - Accent5 2 4 3" xfId="4952" xr:uid="{00000000-0005-0000-0000-0000C2020000}"/>
    <cellStyle name="20% - Accent5 2 4 3 2" xfId="13394" xr:uid="{0DBBAA99-FE07-42C1-98A0-1B8FA308A25D}"/>
    <cellStyle name="20% - Accent5 2 4 3 3" xfId="21834" xr:uid="{32E54E29-8ECD-4B0A-A3BE-D7160A1F5FF1}"/>
    <cellStyle name="20% - Accent5 2 4 4" xfId="9176" xr:uid="{B43114CB-47F4-4812-9F39-7E0771D28D87}"/>
    <cellStyle name="20% - Accent5 2 4 5" xfId="17617" xr:uid="{30153AB0-47A9-49F3-BE89-17FB266157DF}"/>
    <cellStyle name="20% - Accent5 2 5" xfId="1056" xr:uid="{00000000-0005-0000-0000-0000C3020000}"/>
    <cellStyle name="20% - Accent5 2 5 2" xfId="3287" xr:uid="{00000000-0005-0000-0000-0000C4020000}"/>
    <cellStyle name="20% - Accent5 2 5 2 2" xfId="7510" xr:uid="{00000000-0005-0000-0000-0000C5020000}"/>
    <cellStyle name="20% - Accent5 2 5 2 2 2" xfId="15952" xr:uid="{AFEC6CB9-C3C6-4DA2-8200-99649B52C407}"/>
    <cellStyle name="20% - Accent5 2 5 2 2 3" xfId="24392" xr:uid="{FBF75936-7621-44A1-8D9B-5EEB6F195051}"/>
    <cellStyle name="20% - Accent5 2 5 2 3" xfId="11734" xr:uid="{9090D97C-35FC-409B-A02D-5706E856B40D}"/>
    <cellStyle name="20% - Accent5 2 5 2 4" xfId="20175" xr:uid="{3554F981-97E7-4B5F-848D-6E5D71DB5EF1}"/>
    <cellStyle name="20% - Accent5 2 5 3" xfId="5365" xr:uid="{00000000-0005-0000-0000-0000C6020000}"/>
    <cellStyle name="20% - Accent5 2 5 3 2" xfId="13807" xr:uid="{543BE690-C1CA-4EBD-9FEF-872F10218FC5}"/>
    <cellStyle name="20% - Accent5 2 5 3 3" xfId="22247" xr:uid="{C776CD8C-A068-453E-90CC-B248535F6E5C}"/>
    <cellStyle name="20% - Accent5 2 5 4" xfId="9589" xr:uid="{EC374ADC-B7DA-4FBC-956A-6DAA09C69A9E}"/>
    <cellStyle name="20% - Accent5 2 5 5" xfId="18030" xr:uid="{1DFCA6DE-1037-4539-8A8E-BCF10D11779E}"/>
    <cellStyle name="20% - Accent5 2 6" xfId="1470" xr:uid="{00000000-0005-0000-0000-0000C7020000}"/>
    <cellStyle name="20% - Accent5 2 6 2" xfId="3700" xr:uid="{00000000-0005-0000-0000-0000C8020000}"/>
    <cellStyle name="20% - Accent5 2 6 2 2" xfId="7923" xr:uid="{00000000-0005-0000-0000-0000C9020000}"/>
    <cellStyle name="20% - Accent5 2 6 2 2 2" xfId="16365" xr:uid="{A976831F-880A-4259-9435-DE67B6F9945E}"/>
    <cellStyle name="20% - Accent5 2 6 2 2 3" xfId="24805" xr:uid="{40382D76-4706-404B-889E-77ADF4738690}"/>
    <cellStyle name="20% - Accent5 2 6 2 3" xfId="12147" xr:uid="{39C0708F-93AA-4116-A776-1A0A338A943E}"/>
    <cellStyle name="20% - Accent5 2 6 2 4" xfId="20588" xr:uid="{B1DEBAA2-21AC-4BF6-B29E-1FE3A2F63C41}"/>
    <cellStyle name="20% - Accent5 2 6 3" xfId="5778" xr:uid="{00000000-0005-0000-0000-0000CA020000}"/>
    <cellStyle name="20% - Accent5 2 6 3 2" xfId="14220" xr:uid="{28B1BF75-295D-4D18-8AC5-7D4B6D8830EF}"/>
    <cellStyle name="20% - Accent5 2 6 3 3" xfId="22660" xr:uid="{15E4067A-B915-4582-955A-3DAB259BF20E}"/>
    <cellStyle name="20% - Accent5 2 6 4" xfId="10002" xr:uid="{E6BB07A9-7DFA-450B-A582-A8EFB119707E}"/>
    <cellStyle name="20% - Accent5 2 6 5" xfId="18443" xr:uid="{4DD96E56-F0CF-42D7-A6C8-F19E537FAF85}"/>
    <cellStyle name="20% - Accent5 2 7" xfId="1884" xr:uid="{00000000-0005-0000-0000-0000CB020000}"/>
    <cellStyle name="20% - Accent5 2 7 2" xfId="4113" xr:uid="{00000000-0005-0000-0000-0000CC020000}"/>
    <cellStyle name="20% - Accent5 2 7 2 2" xfId="8336" xr:uid="{00000000-0005-0000-0000-0000CD020000}"/>
    <cellStyle name="20% - Accent5 2 7 2 2 2" xfId="16778" xr:uid="{88C176F4-7CA9-4769-AC3D-D4A6824E1634}"/>
    <cellStyle name="20% - Accent5 2 7 2 2 3" xfId="25218" xr:uid="{31D38482-0586-46A8-9333-4600A2E7EE86}"/>
    <cellStyle name="20% - Accent5 2 7 2 3" xfId="12560" xr:uid="{DCF3A456-D931-4993-9400-264498B1318F}"/>
    <cellStyle name="20% - Accent5 2 7 2 4" xfId="21001" xr:uid="{466237C7-34DF-4F0D-8D1D-764FB3A6976E}"/>
    <cellStyle name="20% - Accent5 2 7 3" xfId="6191" xr:uid="{00000000-0005-0000-0000-0000CE020000}"/>
    <cellStyle name="20% - Accent5 2 7 3 2" xfId="14633" xr:uid="{CFDA2257-2647-4E63-AD92-5328526EBDD7}"/>
    <cellStyle name="20% - Accent5 2 7 3 3" xfId="23073" xr:uid="{41A05132-E92C-4BDA-9826-0422F49DCD45}"/>
    <cellStyle name="20% - Accent5 2 7 4" xfId="10415" xr:uid="{1E57DC20-1EC0-4783-BC2A-781595130D08}"/>
    <cellStyle name="20% - Accent5 2 7 5" xfId="18856" xr:uid="{F8BEA6B2-A823-4F22-82C6-A84A42C54C8D}"/>
    <cellStyle name="20% - Accent5 2 8" xfId="2297" xr:uid="{00000000-0005-0000-0000-0000CF020000}"/>
    <cellStyle name="20% - Accent5 2 8 2" xfId="6604" xr:uid="{00000000-0005-0000-0000-0000D0020000}"/>
    <cellStyle name="20% - Accent5 2 8 2 2" xfId="15046" xr:uid="{61EFB630-4D80-4BCD-9B69-7726A3DA5C96}"/>
    <cellStyle name="20% - Accent5 2 8 2 3" xfId="23486" xr:uid="{533BE0CC-815E-4657-A976-CB7C248585DB}"/>
    <cellStyle name="20% - Accent5 2 8 3" xfId="10828" xr:uid="{79F9157A-9FE8-41EA-88F0-BFD393B46E79}"/>
    <cellStyle name="20% - Accent5 2 8 4" xfId="19269" xr:uid="{6ECCD046-251D-49D7-9F16-3717CC096776}"/>
    <cellStyle name="20% - Accent5 2 9" xfId="4538" xr:uid="{00000000-0005-0000-0000-0000D1020000}"/>
    <cellStyle name="20% - Accent5 2 9 2" xfId="12980" xr:uid="{DD39DF3B-B87A-4FE5-9CFA-072FAB9C21FD}"/>
    <cellStyle name="20% - Accent5 2 9 3" xfId="21420" xr:uid="{F9E8B3D1-682A-4359-BA8E-F04A97034626}"/>
    <cellStyle name="20% - Accent5 3" xfId="38" xr:uid="{00000000-0005-0000-0000-0000D2020000}"/>
    <cellStyle name="20% - Accent5 3 10" xfId="17207" xr:uid="{0392BF35-82F7-43B6-B663-B67F3CE98096}"/>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15544" xr:uid="{2C6F3C16-B6C3-4ACA-A75F-F51A205F71FB}"/>
    <cellStyle name="20% - Accent5 3 2 2 2 2 3" xfId="23984" xr:uid="{6F7EA20F-FC3E-4463-BFA4-83DD5735452C}"/>
    <cellStyle name="20% - Accent5 3 2 2 2 3" xfId="11326" xr:uid="{F48F2A53-B448-4760-933C-01CE522DD76D}"/>
    <cellStyle name="20% - Accent5 3 2 2 2 4" xfId="19767" xr:uid="{DFE0967C-A1AA-4449-B34F-F51440054863}"/>
    <cellStyle name="20% - Accent5 3 2 2 3" xfId="4957" xr:uid="{00000000-0005-0000-0000-0000D7020000}"/>
    <cellStyle name="20% - Accent5 3 2 2 3 2" xfId="13399" xr:uid="{AB45FE0A-399D-4EEC-A369-3B8CEE714B2A}"/>
    <cellStyle name="20% - Accent5 3 2 2 3 3" xfId="21839" xr:uid="{7FE472A1-C296-4E60-A35A-C526609BE897}"/>
    <cellStyle name="20% - Accent5 3 2 2 4" xfId="9181" xr:uid="{1FFA373D-499C-47DA-BE9D-02B5101AE8BF}"/>
    <cellStyle name="20% - Accent5 3 2 2 5" xfId="17622" xr:uid="{761B251C-1B91-475A-87A0-B438D103F647}"/>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15957" xr:uid="{DCBD6C16-11A1-47E4-A8E0-974C7B95776A}"/>
    <cellStyle name="20% - Accent5 3 2 3 2 2 3" xfId="24397" xr:uid="{E5BB9A1D-0792-497A-8B8E-B019707EFE4E}"/>
    <cellStyle name="20% - Accent5 3 2 3 2 3" xfId="11739" xr:uid="{B5E591A5-3E20-432A-BDCF-B9CA665ABBE5}"/>
    <cellStyle name="20% - Accent5 3 2 3 2 4" xfId="20180" xr:uid="{5463FF2C-1265-427D-A00C-0FD5A0505D4E}"/>
    <cellStyle name="20% - Accent5 3 2 3 3" xfId="5370" xr:uid="{00000000-0005-0000-0000-0000DB020000}"/>
    <cellStyle name="20% - Accent5 3 2 3 3 2" xfId="13812" xr:uid="{35831EE8-71CB-4D1E-BC19-398DD46C26AE}"/>
    <cellStyle name="20% - Accent5 3 2 3 3 3" xfId="22252" xr:uid="{51D537DB-A0F5-4380-8508-21A87C683E87}"/>
    <cellStyle name="20% - Accent5 3 2 3 4" xfId="9594" xr:uid="{47ED01F9-378A-4F78-9A66-9B2E25E15267}"/>
    <cellStyle name="20% - Accent5 3 2 3 5" xfId="18035" xr:uid="{303FC0D3-B934-45FD-AFB7-E341D1FE5536}"/>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16370" xr:uid="{9EBEFBC5-6C6A-4B83-A25B-4224191172CC}"/>
    <cellStyle name="20% - Accent5 3 2 4 2 2 3" xfId="24810" xr:uid="{6C0B6F23-967A-4932-BE89-AB868DA44BB6}"/>
    <cellStyle name="20% - Accent5 3 2 4 2 3" xfId="12152" xr:uid="{F0C211C0-D86C-4A4B-98F3-0BA1930F7F05}"/>
    <cellStyle name="20% - Accent5 3 2 4 2 4" xfId="20593" xr:uid="{C8BAC22E-BA43-4B5C-911A-3686EA26FFEB}"/>
    <cellStyle name="20% - Accent5 3 2 4 3" xfId="5783" xr:uid="{00000000-0005-0000-0000-0000DF020000}"/>
    <cellStyle name="20% - Accent5 3 2 4 3 2" xfId="14225" xr:uid="{E772F14D-0CAD-4616-B63F-A2B67A992693}"/>
    <cellStyle name="20% - Accent5 3 2 4 3 3" xfId="22665" xr:uid="{6FB4A339-A4A4-44CD-9B0E-EA8220E82328}"/>
    <cellStyle name="20% - Accent5 3 2 4 4" xfId="10007" xr:uid="{FC1AC7FF-8BAC-48B7-A334-FCA614AA59AA}"/>
    <cellStyle name="20% - Accent5 3 2 4 5" xfId="18448" xr:uid="{06AFF199-3C03-4C98-A54F-745268C919BC}"/>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16783" xr:uid="{BDD54F93-AAF7-4C43-890F-513DB1BC977C}"/>
    <cellStyle name="20% - Accent5 3 2 5 2 2 3" xfId="25223" xr:uid="{AD4A727F-5EF4-4D35-93C3-DE3B822878EF}"/>
    <cellStyle name="20% - Accent5 3 2 5 2 3" xfId="12565" xr:uid="{50B3FA5E-4517-43B7-B600-44EBDAE5632C}"/>
    <cellStyle name="20% - Accent5 3 2 5 2 4" xfId="21006" xr:uid="{F8D08352-95CE-451C-9D74-0B82B36AF084}"/>
    <cellStyle name="20% - Accent5 3 2 5 3" xfId="6196" xr:uid="{00000000-0005-0000-0000-0000E3020000}"/>
    <cellStyle name="20% - Accent5 3 2 5 3 2" xfId="14638" xr:uid="{089DAF6E-23DF-4964-84D8-5E5DC3A7C4AE}"/>
    <cellStyle name="20% - Accent5 3 2 5 3 3" xfId="23078" xr:uid="{E0C882E5-0650-4105-A780-9B7D0D4D46A6}"/>
    <cellStyle name="20% - Accent5 3 2 5 4" xfId="10420" xr:uid="{E0BABF10-04DC-42CF-AE4F-164917E063DB}"/>
    <cellStyle name="20% - Accent5 3 2 5 5" xfId="18861" xr:uid="{14E5CB14-B992-4B25-820A-13B95D0F72AB}"/>
    <cellStyle name="20% - Accent5 3 2 6" xfId="2302" xr:uid="{00000000-0005-0000-0000-0000E4020000}"/>
    <cellStyle name="20% - Accent5 3 2 6 2" xfId="6609" xr:uid="{00000000-0005-0000-0000-0000E5020000}"/>
    <cellStyle name="20% - Accent5 3 2 6 2 2" xfId="15051" xr:uid="{1D770037-D8EE-4EB0-B2F5-14420156CCD8}"/>
    <cellStyle name="20% - Accent5 3 2 6 2 3" xfId="23491" xr:uid="{10169A6F-DDF3-4AD3-BFA4-4CB214F182D4}"/>
    <cellStyle name="20% - Accent5 3 2 6 3" xfId="10833" xr:uid="{05CF613B-2EFA-4834-9DC7-48FDFBBA67B9}"/>
    <cellStyle name="20% - Accent5 3 2 6 4" xfId="19274" xr:uid="{D93B7457-E7E7-49F8-886E-AF4ABA8A8DE2}"/>
    <cellStyle name="20% - Accent5 3 2 7" xfId="4543" xr:uid="{00000000-0005-0000-0000-0000E6020000}"/>
    <cellStyle name="20% - Accent5 3 2 7 2" xfId="12985" xr:uid="{5E361364-E011-477A-BD62-E5A4C48B40B1}"/>
    <cellStyle name="20% - Accent5 3 2 7 3" xfId="21425" xr:uid="{65E06523-8144-4779-B713-24A8FFB4A0D1}"/>
    <cellStyle name="20% - Accent5 3 2 8" xfId="8767" xr:uid="{5ED3DA3D-4442-4C1D-B0C1-EE361E818347}"/>
    <cellStyle name="20% - Accent5 3 2 9" xfId="17208" xr:uid="{208CA9D2-B75F-4C32-B67C-AD6189DCEF67}"/>
    <cellStyle name="20% - Accent5 3 3" xfId="607" xr:uid="{00000000-0005-0000-0000-0000E7020000}"/>
    <cellStyle name="20% - Accent5 3 3 2" xfId="2878" xr:uid="{00000000-0005-0000-0000-0000E8020000}"/>
    <cellStyle name="20% - Accent5 3 3 2 2" xfId="7101" xr:uid="{00000000-0005-0000-0000-0000E9020000}"/>
    <cellStyle name="20% - Accent5 3 3 2 2 2" xfId="15543" xr:uid="{B6DFF4FA-B34F-46E9-A754-175957CEF50B}"/>
    <cellStyle name="20% - Accent5 3 3 2 2 3" xfId="23983" xr:uid="{4AAC96F6-F096-47EB-8254-E0D69C154680}"/>
    <cellStyle name="20% - Accent5 3 3 2 3" xfId="11325" xr:uid="{0A03C5DF-BADB-4E3D-AB75-C6116502A174}"/>
    <cellStyle name="20% - Accent5 3 3 2 4" xfId="19766" xr:uid="{8695F608-975B-4411-8F94-B72D3AC8FA7B}"/>
    <cellStyle name="20% - Accent5 3 3 3" xfId="4956" xr:uid="{00000000-0005-0000-0000-0000EA020000}"/>
    <cellStyle name="20% - Accent5 3 3 3 2" xfId="13398" xr:uid="{9508EE6B-F875-46CE-978D-0AF502F31B7F}"/>
    <cellStyle name="20% - Accent5 3 3 3 3" xfId="21838" xr:uid="{6E93194A-BB16-4013-878C-CB50C1753574}"/>
    <cellStyle name="20% - Accent5 3 3 4" xfId="9180" xr:uid="{798EB36D-9F50-4C10-B6A8-CF168D384B0E}"/>
    <cellStyle name="20% - Accent5 3 3 5" xfId="17621" xr:uid="{D2202AF4-244D-4B02-8BB8-8DCB04EBA8AD}"/>
    <cellStyle name="20% - Accent5 3 4" xfId="1060" xr:uid="{00000000-0005-0000-0000-0000EB020000}"/>
    <cellStyle name="20% - Accent5 3 4 2" xfId="3291" xr:uid="{00000000-0005-0000-0000-0000EC020000}"/>
    <cellStyle name="20% - Accent5 3 4 2 2" xfId="7514" xr:uid="{00000000-0005-0000-0000-0000ED020000}"/>
    <cellStyle name="20% - Accent5 3 4 2 2 2" xfId="15956" xr:uid="{2D998799-3846-4FB1-9516-8F49EACFD412}"/>
    <cellStyle name="20% - Accent5 3 4 2 2 3" xfId="24396" xr:uid="{D634D1DE-F574-4637-BF8E-69943CA9224B}"/>
    <cellStyle name="20% - Accent5 3 4 2 3" xfId="11738" xr:uid="{03DB784F-E7A5-4064-8957-5A40669877D8}"/>
    <cellStyle name="20% - Accent5 3 4 2 4" xfId="20179" xr:uid="{4B9ED0DA-E712-4C15-9346-329607E65BAA}"/>
    <cellStyle name="20% - Accent5 3 4 3" xfId="5369" xr:uid="{00000000-0005-0000-0000-0000EE020000}"/>
    <cellStyle name="20% - Accent5 3 4 3 2" xfId="13811" xr:uid="{B64BA885-A50F-4164-B1A0-0F56D254BFFC}"/>
    <cellStyle name="20% - Accent5 3 4 3 3" xfId="22251" xr:uid="{6C671E08-EE2E-4451-8CDF-86F7FA3F8671}"/>
    <cellStyle name="20% - Accent5 3 4 4" xfId="9593" xr:uid="{2D0154E7-1BEC-4B6B-8714-CB004768360D}"/>
    <cellStyle name="20% - Accent5 3 4 5" xfId="18034" xr:uid="{04136E7A-B901-4E48-BBCD-342073312F7A}"/>
    <cellStyle name="20% - Accent5 3 5" xfId="1474" xr:uid="{00000000-0005-0000-0000-0000EF020000}"/>
    <cellStyle name="20% - Accent5 3 5 2" xfId="3704" xr:uid="{00000000-0005-0000-0000-0000F0020000}"/>
    <cellStyle name="20% - Accent5 3 5 2 2" xfId="7927" xr:uid="{00000000-0005-0000-0000-0000F1020000}"/>
    <cellStyle name="20% - Accent5 3 5 2 2 2" xfId="16369" xr:uid="{1C32DE23-5075-4472-AE72-8BDCC652281D}"/>
    <cellStyle name="20% - Accent5 3 5 2 2 3" xfId="24809" xr:uid="{DFAF746E-CB93-4252-887A-3F2F9018B0A8}"/>
    <cellStyle name="20% - Accent5 3 5 2 3" xfId="12151" xr:uid="{5F1495AA-F27C-4EC1-9C3C-158FDD84DD9E}"/>
    <cellStyle name="20% - Accent5 3 5 2 4" xfId="20592" xr:uid="{F26448D1-282F-4E57-AFAC-FC844D09C078}"/>
    <cellStyle name="20% - Accent5 3 5 3" xfId="5782" xr:uid="{00000000-0005-0000-0000-0000F2020000}"/>
    <cellStyle name="20% - Accent5 3 5 3 2" xfId="14224" xr:uid="{79B623AD-D8C9-4493-9F40-4F3E1D853A0F}"/>
    <cellStyle name="20% - Accent5 3 5 3 3" xfId="22664" xr:uid="{C0B42E27-7A4E-4A88-B80D-FB6359187CAE}"/>
    <cellStyle name="20% - Accent5 3 5 4" xfId="10006" xr:uid="{C787533F-C979-4C3B-99F2-3659A6EF4CF8}"/>
    <cellStyle name="20% - Accent5 3 5 5" xfId="18447" xr:uid="{08677160-7B56-41BF-9345-BE6F5E88B4B5}"/>
    <cellStyle name="20% - Accent5 3 6" xfId="1888" xr:uid="{00000000-0005-0000-0000-0000F3020000}"/>
    <cellStyle name="20% - Accent5 3 6 2" xfId="4117" xr:uid="{00000000-0005-0000-0000-0000F4020000}"/>
    <cellStyle name="20% - Accent5 3 6 2 2" xfId="8340" xr:uid="{00000000-0005-0000-0000-0000F5020000}"/>
    <cellStyle name="20% - Accent5 3 6 2 2 2" xfId="16782" xr:uid="{8108C243-1445-40FE-B0E1-A85744BD0DC1}"/>
    <cellStyle name="20% - Accent5 3 6 2 2 3" xfId="25222" xr:uid="{474833B3-EF9E-48C5-A54E-7253B409F876}"/>
    <cellStyle name="20% - Accent5 3 6 2 3" xfId="12564" xr:uid="{685F5C2A-DFCF-4E32-9813-4B2A9C5055D8}"/>
    <cellStyle name="20% - Accent5 3 6 2 4" xfId="21005" xr:uid="{0F1DF766-8D6C-432E-BBEF-CFDCF8579C4A}"/>
    <cellStyle name="20% - Accent5 3 6 3" xfId="6195" xr:uid="{00000000-0005-0000-0000-0000F6020000}"/>
    <cellStyle name="20% - Accent5 3 6 3 2" xfId="14637" xr:uid="{55AFF132-77E4-4B5C-A9CF-D6D5DDDE2F45}"/>
    <cellStyle name="20% - Accent5 3 6 3 3" xfId="23077" xr:uid="{191C1989-20B3-44AD-94F2-46BA7F2113B4}"/>
    <cellStyle name="20% - Accent5 3 6 4" xfId="10419" xr:uid="{1B6AF77B-AF61-44F4-A9A3-69FD676E9ED9}"/>
    <cellStyle name="20% - Accent5 3 6 5" xfId="18860" xr:uid="{3F33D85A-A5D0-4820-A252-58C22A9DD2FF}"/>
    <cellStyle name="20% - Accent5 3 7" xfId="2301" xr:uid="{00000000-0005-0000-0000-0000F7020000}"/>
    <cellStyle name="20% - Accent5 3 7 2" xfId="6608" xr:uid="{00000000-0005-0000-0000-0000F8020000}"/>
    <cellStyle name="20% - Accent5 3 7 2 2" xfId="15050" xr:uid="{4B2B1B24-AFEB-4650-A430-0093E47951F5}"/>
    <cellStyle name="20% - Accent5 3 7 2 3" xfId="23490" xr:uid="{E4402758-D0DB-4BCF-9A80-4EB594471AE9}"/>
    <cellStyle name="20% - Accent5 3 7 3" xfId="10832" xr:uid="{23EFF197-673A-4837-A35A-2765A6D00927}"/>
    <cellStyle name="20% - Accent5 3 7 4" xfId="19273" xr:uid="{AE9613E8-7910-4932-8F76-89BAC8BA52CC}"/>
    <cellStyle name="20% - Accent5 3 8" xfId="4542" xr:uid="{00000000-0005-0000-0000-0000F9020000}"/>
    <cellStyle name="20% - Accent5 3 8 2" xfId="12984" xr:uid="{ED3B3E9C-7FFA-4436-AEB9-BE51BC190405}"/>
    <cellStyle name="20% - Accent5 3 8 3" xfId="21424" xr:uid="{8CAD9ECA-0C1F-4752-8A6C-D70D0F3ECD90}"/>
    <cellStyle name="20% - Accent5 3 9" xfId="8766" xr:uid="{BA004DFE-42A7-411D-B592-E8734CA20562}"/>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2 2 2" xfId="15545" xr:uid="{0535D8E9-9CA0-4074-98CD-B6F8ABE9EBAC}"/>
    <cellStyle name="20% - Accent5 4 2 2 2 3" xfId="23985" xr:uid="{7F65BE0C-4F90-47E1-9951-930D26707BEB}"/>
    <cellStyle name="20% - Accent5 4 2 2 3" xfId="11327" xr:uid="{68416A8C-4325-4F4C-885C-64A2F24C36EB}"/>
    <cellStyle name="20% - Accent5 4 2 2 4" xfId="19768" xr:uid="{004B7BA6-AC47-4FF2-BABB-9C8BA90DF7C9}"/>
    <cellStyle name="20% - Accent5 4 2 3" xfId="4958" xr:uid="{00000000-0005-0000-0000-0000FE020000}"/>
    <cellStyle name="20% - Accent5 4 2 3 2" xfId="13400" xr:uid="{214BCB7F-480A-41D4-8913-9EF2DAD6370E}"/>
    <cellStyle name="20% - Accent5 4 2 3 3" xfId="21840" xr:uid="{D5EB52A5-5EFB-4D0F-B929-FC1B5C265242}"/>
    <cellStyle name="20% - Accent5 4 2 4" xfId="9182" xr:uid="{C0E69F0E-5A67-44F1-BA78-BD24799DCCA8}"/>
    <cellStyle name="20% - Accent5 4 2 5" xfId="17623" xr:uid="{AEE672A7-D4D4-49B5-9CD8-C28F10F6CD64}"/>
    <cellStyle name="20% - Accent5 4 3" xfId="1062" xr:uid="{00000000-0005-0000-0000-0000FF020000}"/>
    <cellStyle name="20% - Accent5 4 3 2" xfId="3293" xr:uid="{00000000-0005-0000-0000-000000030000}"/>
    <cellStyle name="20% - Accent5 4 3 2 2" xfId="7516" xr:uid="{00000000-0005-0000-0000-000001030000}"/>
    <cellStyle name="20% - Accent5 4 3 2 2 2" xfId="15958" xr:uid="{205C09CF-CB22-4698-8920-4A273B6A4A0F}"/>
    <cellStyle name="20% - Accent5 4 3 2 2 3" xfId="24398" xr:uid="{2FCC9F65-87D8-4C74-A46D-BDED35C6F7DD}"/>
    <cellStyle name="20% - Accent5 4 3 2 3" xfId="11740" xr:uid="{3DCC9F7C-529F-4198-B6E9-F0F80A5B6A5D}"/>
    <cellStyle name="20% - Accent5 4 3 2 4" xfId="20181" xr:uid="{F752A2C4-DFE0-4136-A89A-35DB80507DFC}"/>
    <cellStyle name="20% - Accent5 4 3 3" xfId="5371" xr:uid="{00000000-0005-0000-0000-000002030000}"/>
    <cellStyle name="20% - Accent5 4 3 3 2" xfId="13813" xr:uid="{519AA47F-CEE7-4F60-BCCB-E83A05A71136}"/>
    <cellStyle name="20% - Accent5 4 3 3 3" xfId="22253" xr:uid="{D26D8024-AA9F-4802-B654-55147E47E1BF}"/>
    <cellStyle name="20% - Accent5 4 3 4" xfId="9595" xr:uid="{C9477E0C-FA1B-4455-9551-E7C7FA029693}"/>
    <cellStyle name="20% - Accent5 4 3 5" xfId="18036" xr:uid="{5FC560F0-8C79-4BE1-BCB4-36B4D4A2B8D0}"/>
    <cellStyle name="20% - Accent5 4 4" xfId="1476" xr:uid="{00000000-0005-0000-0000-000003030000}"/>
    <cellStyle name="20% - Accent5 4 4 2" xfId="3706" xr:uid="{00000000-0005-0000-0000-000004030000}"/>
    <cellStyle name="20% - Accent5 4 4 2 2" xfId="7929" xr:uid="{00000000-0005-0000-0000-000005030000}"/>
    <cellStyle name="20% - Accent5 4 4 2 2 2" xfId="16371" xr:uid="{E29292B4-0699-4DFE-9028-205EFC8B3BB7}"/>
    <cellStyle name="20% - Accent5 4 4 2 2 3" xfId="24811" xr:uid="{558E4E3E-368C-4C9F-80C8-CE5C82900C86}"/>
    <cellStyle name="20% - Accent5 4 4 2 3" xfId="12153" xr:uid="{E1C0079C-565B-49E9-9847-33C795AC614B}"/>
    <cellStyle name="20% - Accent5 4 4 2 4" xfId="20594" xr:uid="{7CD40920-780C-48D0-8B44-753FE46634A2}"/>
    <cellStyle name="20% - Accent5 4 4 3" xfId="5784" xr:uid="{00000000-0005-0000-0000-000006030000}"/>
    <cellStyle name="20% - Accent5 4 4 3 2" xfId="14226" xr:uid="{911E6C37-181B-4975-95E2-8C80B29E72E1}"/>
    <cellStyle name="20% - Accent5 4 4 3 3" xfId="22666" xr:uid="{750D927D-BED7-4D4B-8EE9-53F535FC50E5}"/>
    <cellStyle name="20% - Accent5 4 4 4" xfId="10008" xr:uid="{A0DA947D-2FE2-44CA-B9A3-4C19E196B8CF}"/>
    <cellStyle name="20% - Accent5 4 4 5" xfId="18449" xr:uid="{311809D9-F2CE-4E4B-9963-132C8D17F5CE}"/>
    <cellStyle name="20% - Accent5 4 5" xfId="1890" xr:uid="{00000000-0005-0000-0000-000007030000}"/>
    <cellStyle name="20% - Accent5 4 5 2" xfId="4119" xr:uid="{00000000-0005-0000-0000-000008030000}"/>
    <cellStyle name="20% - Accent5 4 5 2 2" xfId="8342" xr:uid="{00000000-0005-0000-0000-000009030000}"/>
    <cellStyle name="20% - Accent5 4 5 2 2 2" xfId="16784" xr:uid="{8B769CBF-0932-4250-8D23-A0EA0E17F9E7}"/>
    <cellStyle name="20% - Accent5 4 5 2 2 3" xfId="25224" xr:uid="{939AC416-8FAB-4A61-9453-79DA1928B8EF}"/>
    <cellStyle name="20% - Accent5 4 5 2 3" xfId="12566" xr:uid="{C0E73FFE-D318-4E70-8DC6-2868D93D85B0}"/>
    <cellStyle name="20% - Accent5 4 5 2 4" xfId="21007" xr:uid="{59C884B1-C2A4-4008-8A2C-3002210168E4}"/>
    <cellStyle name="20% - Accent5 4 5 3" xfId="6197" xr:uid="{00000000-0005-0000-0000-00000A030000}"/>
    <cellStyle name="20% - Accent5 4 5 3 2" xfId="14639" xr:uid="{E5FA1A4E-1E40-43A3-9F71-33EE7874AA3B}"/>
    <cellStyle name="20% - Accent5 4 5 3 3" xfId="23079" xr:uid="{2A18C911-0618-4C3D-8787-42B0A812DE93}"/>
    <cellStyle name="20% - Accent5 4 5 4" xfId="10421" xr:uid="{B3984509-50B0-4CC0-835B-E46ECA9C6C85}"/>
    <cellStyle name="20% - Accent5 4 5 5" xfId="18862" xr:uid="{A9EA83C0-6911-4061-B09F-1DD6D26F44B7}"/>
    <cellStyle name="20% - Accent5 4 6" xfId="2303" xr:uid="{00000000-0005-0000-0000-00000B030000}"/>
    <cellStyle name="20% - Accent5 4 6 2" xfId="6610" xr:uid="{00000000-0005-0000-0000-00000C030000}"/>
    <cellStyle name="20% - Accent5 4 6 2 2" xfId="15052" xr:uid="{EAE78DA5-1FF4-48AF-B16C-E8D02A9733D5}"/>
    <cellStyle name="20% - Accent5 4 6 2 3" xfId="23492" xr:uid="{5CFE412D-FC25-4509-9292-68D9BF8F3D75}"/>
    <cellStyle name="20% - Accent5 4 6 3" xfId="10834" xr:uid="{3ABE3395-CC53-4A14-AAA4-7ADCBB88DCB1}"/>
    <cellStyle name="20% - Accent5 4 6 4" xfId="19275" xr:uid="{AA8E1B08-86EB-44DA-9FD9-23BB616089D3}"/>
    <cellStyle name="20% - Accent5 4 7" xfId="4544" xr:uid="{00000000-0005-0000-0000-00000D030000}"/>
    <cellStyle name="20% - Accent5 4 7 2" xfId="12986" xr:uid="{DD93E13E-0F95-47DC-8C50-1B108B16B721}"/>
    <cellStyle name="20% - Accent5 4 7 3" xfId="21426" xr:uid="{A5394B33-6543-4654-BB67-5BF2067AE9C1}"/>
    <cellStyle name="20% - Accent5 4 8" xfId="8768" xr:uid="{A954DF01-5815-4791-A5A2-E336EFA2ED61}"/>
    <cellStyle name="20% - Accent5 4 9" xfId="17209" xr:uid="{26CBBF0A-E104-445E-AF53-A1BBECF6E287}"/>
    <cellStyle name="20% - Accent5 5" xfId="602" xr:uid="{00000000-0005-0000-0000-00000E030000}"/>
    <cellStyle name="20% - Accent5 5 2" xfId="2873" xr:uid="{00000000-0005-0000-0000-00000F030000}"/>
    <cellStyle name="20% - Accent5 5 2 2" xfId="7096" xr:uid="{00000000-0005-0000-0000-000010030000}"/>
    <cellStyle name="20% - Accent5 5 2 2 2" xfId="15538" xr:uid="{35A01D7D-ED40-4A36-966B-6BE03CAB7CFB}"/>
    <cellStyle name="20% - Accent5 5 2 2 3" xfId="23978" xr:uid="{25BB29E4-7DED-4C92-991A-F1834F18CE52}"/>
    <cellStyle name="20% - Accent5 5 2 3" xfId="11320" xr:uid="{5F6657FB-F9AA-4716-96F3-345801C7A4E1}"/>
    <cellStyle name="20% - Accent5 5 2 4" xfId="19761" xr:uid="{8778B1CA-FE31-4F7E-907A-F0F8B5873D3F}"/>
    <cellStyle name="20% - Accent5 5 3" xfId="4951" xr:uid="{00000000-0005-0000-0000-000011030000}"/>
    <cellStyle name="20% - Accent5 5 3 2" xfId="13393" xr:uid="{CFC6875E-6AA1-447B-98DD-2617E5CF6A1E}"/>
    <cellStyle name="20% - Accent5 5 3 3" xfId="21833" xr:uid="{BFB756C2-3CF2-47C2-AB38-5CD837E1505E}"/>
    <cellStyle name="20% - Accent5 5 4" xfId="9175" xr:uid="{59766DA8-1C16-46FB-8622-3D909B54A882}"/>
    <cellStyle name="20% - Accent5 5 5" xfId="17616" xr:uid="{9224090A-37F5-4367-9F2F-37D5122D0576}"/>
    <cellStyle name="20% - Accent5 6" xfId="1055" xr:uid="{00000000-0005-0000-0000-000012030000}"/>
    <cellStyle name="20% - Accent5 6 2" xfId="3286" xr:uid="{00000000-0005-0000-0000-000013030000}"/>
    <cellStyle name="20% - Accent5 6 2 2" xfId="7509" xr:uid="{00000000-0005-0000-0000-000014030000}"/>
    <cellStyle name="20% - Accent5 6 2 2 2" xfId="15951" xr:uid="{14CA4667-012C-4DAF-B5E3-AD604C542404}"/>
    <cellStyle name="20% - Accent5 6 2 2 3" xfId="24391" xr:uid="{21A49631-C6FF-4D88-9847-24C18E4FEC29}"/>
    <cellStyle name="20% - Accent5 6 2 3" xfId="11733" xr:uid="{92BB6A50-1CC7-4BF7-97BD-9EF1A7A33AA9}"/>
    <cellStyle name="20% - Accent5 6 2 4" xfId="20174" xr:uid="{5B164EA2-936A-48AD-B49E-1E32B71DCB89}"/>
    <cellStyle name="20% - Accent5 6 3" xfId="5364" xr:uid="{00000000-0005-0000-0000-000015030000}"/>
    <cellStyle name="20% - Accent5 6 3 2" xfId="13806" xr:uid="{32937463-E608-4875-8146-9406F6446C23}"/>
    <cellStyle name="20% - Accent5 6 3 3" xfId="22246" xr:uid="{B949BD16-4951-48DD-A068-D8F3AF3D9F37}"/>
    <cellStyle name="20% - Accent5 6 4" xfId="9588" xr:uid="{99EC6C55-6B37-4CB4-98D8-892BB3387148}"/>
    <cellStyle name="20% - Accent5 6 5" xfId="18029" xr:uid="{51113895-51D9-4C51-B9FC-33A948CA79DE}"/>
    <cellStyle name="20% - Accent5 7" xfId="1469" xr:uid="{00000000-0005-0000-0000-000016030000}"/>
    <cellStyle name="20% - Accent5 7 2" xfId="3699" xr:uid="{00000000-0005-0000-0000-000017030000}"/>
    <cellStyle name="20% - Accent5 7 2 2" xfId="7922" xr:uid="{00000000-0005-0000-0000-000018030000}"/>
    <cellStyle name="20% - Accent5 7 2 2 2" xfId="16364" xr:uid="{4FF924B4-04D6-47BA-B28D-DD2160C98267}"/>
    <cellStyle name="20% - Accent5 7 2 2 3" xfId="24804" xr:uid="{C6EBA0C9-5334-4D45-B296-CE414E73B721}"/>
    <cellStyle name="20% - Accent5 7 2 3" xfId="12146" xr:uid="{B5D0A755-D7CD-4351-BB2E-BCFD93D3FFBD}"/>
    <cellStyle name="20% - Accent5 7 2 4" xfId="20587" xr:uid="{DF7DCDCB-4C9C-40CA-A6FE-0181F915194F}"/>
    <cellStyle name="20% - Accent5 7 3" xfId="5777" xr:uid="{00000000-0005-0000-0000-000019030000}"/>
    <cellStyle name="20% - Accent5 7 3 2" xfId="14219" xr:uid="{9AC97EA7-D719-4B57-B889-63B7A6D27A95}"/>
    <cellStyle name="20% - Accent5 7 3 3" xfId="22659" xr:uid="{F862EB6D-89B9-4E40-B870-74C488560AB6}"/>
    <cellStyle name="20% - Accent5 7 4" xfId="10001" xr:uid="{C0773CA9-9C00-49E6-80BC-3F5FE49EB218}"/>
    <cellStyle name="20% - Accent5 7 5" xfId="18442" xr:uid="{18017BEB-D8EE-4669-B21D-A14481EA7C30}"/>
    <cellStyle name="20% - Accent5 8" xfId="1883" xr:uid="{00000000-0005-0000-0000-00001A030000}"/>
    <cellStyle name="20% - Accent5 8 2" xfId="4112" xr:uid="{00000000-0005-0000-0000-00001B030000}"/>
    <cellStyle name="20% - Accent5 8 2 2" xfId="8335" xr:uid="{00000000-0005-0000-0000-00001C030000}"/>
    <cellStyle name="20% - Accent5 8 2 2 2" xfId="16777" xr:uid="{148E1DDB-AA2E-47DA-A03B-AA1AA4F9653F}"/>
    <cellStyle name="20% - Accent5 8 2 2 3" xfId="25217" xr:uid="{88917E4C-BA85-473E-A93B-FA3F52D31753}"/>
    <cellStyle name="20% - Accent5 8 2 3" xfId="12559" xr:uid="{1A266874-B172-4642-A911-AC10BD5FD6FE}"/>
    <cellStyle name="20% - Accent5 8 2 4" xfId="21000" xr:uid="{D412A69F-3EF0-497F-ACEB-37C4C85A7A4E}"/>
    <cellStyle name="20% - Accent5 8 3" xfId="6190" xr:uid="{00000000-0005-0000-0000-00001D030000}"/>
    <cellStyle name="20% - Accent5 8 3 2" xfId="14632" xr:uid="{A10B342F-209F-4899-AF98-120FA33701B1}"/>
    <cellStyle name="20% - Accent5 8 3 3" xfId="23072" xr:uid="{ACAB6E00-D87A-4FB9-968B-88F5EC8DF2DC}"/>
    <cellStyle name="20% - Accent5 8 4" xfId="10414" xr:uid="{3D6A512C-2EAA-4657-BD8B-5502B74C14DA}"/>
    <cellStyle name="20% - Accent5 8 5" xfId="18855" xr:uid="{208636A8-0A1F-4E35-9487-A383FA796B14}"/>
    <cellStyle name="20% - Accent5 9" xfId="2296" xr:uid="{00000000-0005-0000-0000-00001E030000}"/>
    <cellStyle name="20% - Accent5 9 2" xfId="6603" xr:uid="{00000000-0005-0000-0000-00001F030000}"/>
    <cellStyle name="20% - Accent5 9 2 2" xfId="15045" xr:uid="{51E47779-DBE6-4764-90E1-3BEFD31F9EF6}"/>
    <cellStyle name="20% - Accent5 9 2 3" xfId="23485" xr:uid="{B706E296-5864-431B-BD2B-829BD73CD2D8}"/>
    <cellStyle name="20% - Accent5 9 3" xfId="10827" xr:uid="{EF788250-6FBD-48DF-A9BF-A3945AEB6F7C}"/>
    <cellStyle name="20% - Accent5 9 4" xfId="19268" xr:uid="{EB906D71-FB3F-4B56-B51C-6C5509BD99E3}"/>
    <cellStyle name="20% - Accent6" xfId="41" builtinId="50" customBuiltin="1"/>
    <cellStyle name="20% - Accent6 10" xfId="4545" xr:uid="{00000000-0005-0000-0000-000021030000}"/>
    <cellStyle name="20% - Accent6 10 2" xfId="12987" xr:uid="{B3B1908E-6FA7-4797-AE92-9A5C241C2F43}"/>
    <cellStyle name="20% - Accent6 10 3" xfId="21427" xr:uid="{5DE6E3B1-AAC4-4A2C-8CBF-E14D7CF36195}"/>
    <cellStyle name="20% - Accent6 11" xfId="8769" xr:uid="{400B568F-647D-4788-85F8-5FFFB0978B42}"/>
    <cellStyle name="20% - Accent6 12" xfId="17210" xr:uid="{D4B85999-37A2-4A9B-AA34-85DD0E4D885A}"/>
    <cellStyle name="20% - Accent6 2" xfId="42" xr:uid="{00000000-0005-0000-0000-000022030000}"/>
    <cellStyle name="20% - Accent6 2 10" xfId="8770" xr:uid="{1B3EBB88-DF74-4F6D-BDE8-C87E09C47B59}"/>
    <cellStyle name="20% - Accent6 2 11" xfId="17211" xr:uid="{589ACB8B-68E9-48E9-B77B-BD1E4868A20F}"/>
    <cellStyle name="20% - Accent6 2 2" xfId="43" xr:uid="{00000000-0005-0000-0000-000023030000}"/>
    <cellStyle name="20% - Accent6 2 2 10" xfId="17212" xr:uid="{FD4B6F71-446C-40BC-9D31-EDECEDB95D43}"/>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15549" xr:uid="{2D59105C-6023-46C4-BB29-423E8852DB51}"/>
    <cellStyle name="20% - Accent6 2 2 2 2 2 2 3" xfId="23989" xr:uid="{A98FA916-4558-44DE-BF04-63013C82A0E6}"/>
    <cellStyle name="20% - Accent6 2 2 2 2 2 3" xfId="11331" xr:uid="{55082FC6-2E7A-4CFA-A932-C21CBFC70CB7}"/>
    <cellStyle name="20% - Accent6 2 2 2 2 2 4" xfId="19772" xr:uid="{2821CF00-27CB-4180-9D6E-E522F671E2A5}"/>
    <cellStyle name="20% - Accent6 2 2 2 2 3" xfId="4962" xr:uid="{00000000-0005-0000-0000-000028030000}"/>
    <cellStyle name="20% - Accent6 2 2 2 2 3 2" xfId="13404" xr:uid="{750A9D2B-639A-4956-A518-CBF3580EAAE1}"/>
    <cellStyle name="20% - Accent6 2 2 2 2 3 3" xfId="21844" xr:uid="{B0C8C710-4F74-40AA-911A-3F7B1BB8CE68}"/>
    <cellStyle name="20% - Accent6 2 2 2 2 4" xfId="9186" xr:uid="{B6D02BB2-BEF1-4E57-BD6A-CE8157B488B9}"/>
    <cellStyle name="20% - Accent6 2 2 2 2 5" xfId="17627" xr:uid="{13925880-C98A-4480-950A-1F201A341743}"/>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15962" xr:uid="{5A8CEE7D-4EA0-49DE-A102-68E2B4612158}"/>
    <cellStyle name="20% - Accent6 2 2 2 3 2 2 3" xfId="24402" xr:uid="{0DC085AD-0903-4C39-B501-8EA566EB375B}"/>
    <cellStyle name="20% - Accent6 2 2 2 3 2 3" xfId="11744" xr:uid="{B3D3D9F0-7330-4BC4-9AAA-3F3669FD4F4C}"/>
    <cellStyle name="20% - Accent6 2 2 2 3 2 4" xfId="20185" xr:uid="{35C50302-9454-47F8-B41F-3D89ADB778C0}"/>
    <cellStyle name="20% - Accent6 2 2 2 3 3" xfId="5375" xr:uid="{00000000-0005-0000-0000-00002C030000}"/>
    <cellStyle name="20% - Accent6 2 2 2 3 3 2" xfId="13817" xr:uid="{D87562C2-7A21-4174-A0A8-5A3BF6C206B1}"/>
    <cellStyle name="20% - Accent6 2 2 2 3 3 3" xfId="22257" xr:uid="{9030CF46-5058-49D3-8E01-F2E2FE564290}"/>
    <cellStyle name="20% - Accent6 2 2 2 3 4" xfId="9599" xr:uid="{D1BDD313-C386-417F-8925-67990644C9E1}"/>
    <cellStyle name="20% - Accent6 2 2 2 3 5" xfId="18040" xr:uid="{B7AD0838-FAD5-441C-97B6-F1EAD598C029}"/>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16375" xr:uid="{DE858E6C-01DE-469A-9F1A-64944801D58A}"/>
    <cellStyle name="20% - Accent6 2 2 2 4 2 2 3" xfId="24815" xr:uid="{72B795EB-44CB-4D4C-AA37-87C7D017E62B}"/>
    <cellStyle name="20% - Accent6 2 2 2 4 2 3" xfId="12157" xr:uid="{AD53B9EA-9D64-43D3-92CA-CDB72A6D716A}"/>
    <cellStyle name="20% - Accent6 2 2 2 4 2 4" xfId="20598" xr:uid="{44BD48BB-D4DB-4305-B137-783462DCB5FB}"/>
    <cellStyle name="20% - Accent6 2 2 2 4 3" xfId="5788" xr:uid="{00000000-0005-0000-0000-000030030000}"/>
    <cellStyle name="20% - Accent6 2 2 2 4 3 2" xfId="14230" xr:uid="{1EF8D82F-F408-4013-B18C-278A0CD1401B}"/>
    <cellStyle name="20% - Accent6 2 2 2 4 3 3" xfId="22670" xr:uid="{AB4A2A55-5CDB-4E94-AEE4-A92F37FA6FBD}"/>
    <cellStyle name="20% - Accent6 2 2 2 4 4" xfId="10012" xr:uid="{351F8C02-0849-4E1A-B42F-24D1DFB889A8}"/>
    <cellStyle name="20% - Accent6 2 2 2 4 5" xfId="18453" xr:uid="{D7202921-17C3-4009-B10E-B11244E12D1F}"/>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16788" xr:uid="{0438799B-2B81-4ED8-926B-05AF8A89CB2F}"/>
    <cellStyle name="20% - Accent6 2 2 2 5 2 2 3" xfId="25228" xr:uid="{E6EC7A0E-FE33-4BB3-87BB-049629935D92}"/>
    <cellStyle name="20% - Accent6 2 2 2 5 2 3" xfId="12570" xr:uid="{5AEA409F-74D8-43F9-87AD-E2AA340CB78B}"/>
    <cellStyle name="20% - Accent6 2 2 2 5 2 4" xfId="21011" xr:uid="{27BA86BD-6D39-4442-B968-43D227C14F0C}"/>
    <cellStyle name="20% - Accent6 2 2 2 5 3" xfId="6201" xr:uid="{00000000-0005-0000-0000-000034030000}"/>
    <cellStyle name="20% - Accent6 2 2 2 5 3 2" xfId="14643" xr:uid="{35EA5949-5218-48E8-ACE8-3E0A28C28758}"/>
    <cellStyle name="20% - Accent6 2 2 2 5 3 3" xfId="23083" xr:uid="{041FBE0B-87B7-432F-9979-97B304F5E66C}"/>
    <cellStyle name="20% - Accent6 2 2 2 5 4" xfId="10425" xr:uid="{783D2D33-64F0-4BDA-8BED-31FABCC229E8}"/>
    <cellStyle name="20% - Accent6 2 2 2 5 5" xfId="18866" xr:uid="{B5859D4D-5864-4753-BD87-9DA78D1A4A87}"/>
    <cellStyle name="20% - Accent6 2 2 2 6" xfId="2307" xr:uid="{00000000-0005-0000-0000-000035030000}"/>
    <cellStyle name="20% - Accent6 2 2 2 6 2" xfId="6614" xr:uid="{00000000-0005-0000-0000-000036030000}"/>
    <cellStyle name="20% - Accent6 2 2 2 6 2 2" xfId="15056" xr:uid="{3AF3A98B-6083-4188-A432-A67EDCB1E9D6}"/>
    <cellStyle name="20% - Accent6 2 2 2 6 2 3" xfId="23496" xr:uid="{A224A02A-0484-44DF-92AA-E746EFD147BF}"/>
    <cellStyle name="20% - Accent6 2 2 2 6 3" xfId="10838" xr:uid="{56407B68-0E44-48B3-857E-07FDD046CB70}"/>
    <cellStyle name="20% - Accent6 2 2 2 6 4" xfId="19279" xr:uid="{48FA70AB-CDE0-4CCC-978F-772025BD0832}"/>
    <cellStyle name="20% - Accent6 2 2 2 7" xfId="4548" xr:uid="{00000000-0005-0000-0000-000037030000}"/>
    <cellStyle name="20% - Accent6 2 2 2 7 2" xfId="12990" xr:uid="{45BCCFAC-42B3-4B1F-A4E4-AD06E18256A0}"/>
    <cellStyle name="20% - Accent6 2 2 2 7 3" xfId="21430" xr:uid="{6A9FAB8C-3D97-4A0B-AD4C-A2EBBE420E52}"/>
    <cellStyle name="20% - Accent6 2 2 2 8" xfId="8772" xr:uid="{886E42B7-7962-43D6-B1C0-A2E5CDA41959}"/>
    <cellStyle name="20% - Accent6 2 2 2 9" xfId="17213" xr:uid="{3CFACF72-0DBC-4B8D-86D7-7CD707FCACEB}"/>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15548" xr:uid="{4ACCFEB7-0B2F-4AD8-9EBE-987730257208}"/>
    <cellStyle name="20% - Accent6 2 2 3 2 2 3" xfId="23988" xr:uid="{68562BD6-5C02-4D76-B7F2-D0F946990137}"/>
    <cellStyle name="20% - Accent6 2 2 3 2 3" xfId="11330" xr:uid="{3FC76226-6066-49B1-A1BD-AFEBCDBE2233}"/>
    <cellStyle name="20% - Accent6 2 2 3 2 4" xfId="19771" xr:uid="{D4682230-A13A-4114-9D84-1D140729BCD2}"/>
    <cellStyle name="20% - Accent6 2 2 3 3" xfId="4961" xr:uid="{00000000-0005-0000-0000-00003B030000}"/>
    <cellStyle name="20% - Accent6 2 2 3 3 2" xfId="13403" xr:uid="{BFD2F208-9DE4-419B-B252-4BE8E74ADDF7}"/>
    <cellStyle name="20% - Accent6 2 2 3 3 3" xfId="21843" xr:uid="{5887B6CF-5A83-4CA6-8CB4-D1A9C1001A48}"/>
    <cellStyle name="20% - Accent6 2 2 3 4" xfId="9185" xr:uid="{E4F08B0C-4027-48FB-A103-CD4B8FB14EAA}"/>
    <cellStyle name="20% - Accent6 2 2 3 5" xfId="17626" xr:uid="{FC787DF5-54F6-4A96-8B10-EA60F4C56BAC}"/>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15961" xr:uid="{EABFA778-4D6A-4F84-8B4B-7FC6FF8B6F6D}"/>
    <cellStyle name="20% - Accent6 2 2 4 2 2 3" xfId="24401" xr:uid="{286E4460-9D32-4706-B749-937288049B2A}"/>
    <cellStyle name="20% - Accent6 2 2 4 2 3" xfId="11743" xr:uid="{D0CC873C-E0D5-43AF-A5A7-D1B2D0B50ED8}"/>
    <cellStyle name="20% - Accent6 2 2 4 2 4" xfId="20184" xr:uid="{B9F9CD21-88D1-49A2-AA66-C1CF348C1236}"/>
    <cellStyle name="20% - Accent6 2 2 4 3" xfId="5374" xr:uid="{00000000-0005-0000-0000-00003F030000}"/>
    <cellStyle name="20% - Accent6 2 2 4 3 2" xfId="13816" xr:uid="{31E68FDA-53A2-4989-A434-D4B24085EDB2}"/>
    <cellStyle name="20% - Accent6 2 2 4 3 3" xfId="22256" xr:uid="{8091CCE4-E3B0-4CBD-9045-37DCDEFEC1E4}"/>
    <cellStyle name="20% - Accent6 2 2 4 4" xfId="9598" xr:uid="{2203AD8E-B798-4986-9A1B-645575CCF585}"/>
    <cellStyle name="20% - Accent6 2 2 4 5" xfId="18039" xr:uid="{228F24CD-AA8B-49D2-BDC7-3764FDDE034B}"/>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16374" xr:uid="{29EE0CFA-5B2A-48F4-917A-7F7AD08DFCD8}"/>
    <cellStyle name="20% - Accent6 2 2 5 2 2 3" xfId="24814" xr:uid="{21568DE4-7633-4483-B618-C88196DEAE73}"/>
    <cellStyle name="20% - Accent6 2 2 5 2 3" xfId="12156" xr:uid="{5A873C5A-3888-4574-B62B-B9EAD28D7B3A}"/>
    <cellStyle name="20% - Accent6 2 2 5 2 4" xfId="20597" xr:uid="{77ECF236-4A98-49D1-A459-364368F15769}"/>
    <cellStyle name="20% - Accent6 2 2 5 3" xfId="5787" xr:uid="{00000000-0005-0000-0000-000043030000}"/>
    <cellStyle name="20% - Accent6 2 2 5 3 2" xfId="14229" xr:uid="{B79FA4EB-23A7-4C04-98BA-0EC8C131E1A5}"/>
    <cellStyle name="20% - Accent6 2 2 5 3 3" xfId="22669" xr:uid="{39C35ED9-9FAE-48BC-AD25-B7567B64AF92}"/>
    <cellStyle name="20% - Accent6 2 2 5 4" xfId="10011" xr:uid="{9BD5CCF4-F001-4A06-AB10-9D58FC8E84E6}"/>
    <cellStyle name="20% - Accent6 2 2 5 5" xfId="18452" xr:uid="{F72759FF-C1E4-49CB-9484-D19B82E7C4B7}"/>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16787" xr:uid="{E0EC8BAA-8B33-473B-BBFB-F485C824E729}"/>
    <cellStyle name="20% - Accent6 2 2 6 2 2 3" xfId="25227" xr:uid="{B8A8D8F3-410B-422A-B3DF-65D18D74B388}"/>
    <cellStyle name="20% - Accent6 2 2 6 2 3" xfId="12569" xr:uid="{DD3D5810-3256-49FF-9D5E-13850B83B167}"/>
    <cellStyle name="20% - Accent6 2 2 6 2 4" xfId="21010" xr:uid="{3E47FB68-E5D7-4D33-A1EA-35BB530A35C6}"/>
    <cellStyle name="20% - Accent6 2 2 6 3" xfId="6200" xr:uid="{00000000-0005-0000-0000-000047030000}"/>
    <cellStyle name="20% - Accent6 2 2 6 3 2" xfId="14642" xr:uid="{D75B1809-F721-4E3D-AAEE-10691F4AC127}"/>
    <cellStyle name="20% - Accent6 2 2 6 3 3" xfId="23082" xr:uid="{E8BAFBFB-C9F2-4B97-9ACA-8ED75A86ACF4}"/>
    <cellStyle name="20% - Accent6 2 2 6 4" xfId="10424" xr:uid="{95C0FE98-0E0C-4E45-86D1-ADED3B204436}"/>
    <cellStyle name="20% - Accent6 2 2 6 5" xfId="18865" xr:uid="{008AC5D5-7EBB-4BF4-9534-890EE91494ED}"/>
    <cellStyle name="20% - Accent6 2 2 7" xfId="2306" xr:uid="{00000000-0005-0000-0000-000048030000}"/>
    <cellStyle name="20% - Accent6 2 2 7 2" xfId="6613" xr:uid="{00000000-0005-0000-0000-000049030000}"/>
    <cellStyle name="20% - Accent6 2 2 7 2 2" xfId="15055" xr:uid="{78833EBC-D146-4463-920A-B80FA6D95318}"/>
    <cellStyle name="20% - Accent6 2 2 7 2 3" xfId="23495" xr:uid="{F03B27BA-0A69-457F-BA21-603BE640878D}"/>
    <cellStyle name="20% - Accent6 2 2 7 3" xfId="10837" xr:uid="{F6773D94-BA42-40B0-8146-C3060E96BF8B}"/>
    <cellStyle name="20% - Accent6 2 2 7 4" xfId="19278" xr:uid="{E047F658-301E-4DC5-8758-44998B5F2504}"/>
    <cellStyle name="20% - Accent6 2 2 8" xfId="4547" xr:uid="{00000000-0005-0000-0000-00004A030000}"/>
    <cellStyle name="20% - Accent6 2 2 8 2" xfId="12989" xr:uid="{930A092E-A553-4B3B-99D7-A67319CE759D}"/>
    <cellStyle name="20% - Accent6 2 2 8 3" xfId="21429" xr:uid="{9FD1ED86-5C7E-489F-BCFD-8334D6AC636A}"/>
    <cellStyle name="20% - Accent6 2 2 9" xfId="8771" xr:uid="{976EC80A-19D5-42AA-89FC-E414AA966CE3}"/>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15550" xr:uid="{8B4DB66B-849B-4BE4-86AC-5C213F045E43}"/>
    <cellStyle name="20% - Accent6 2 3 2 2 2 3" xfId="23990" xr:uid="{D14CC62C-1286-4FD5-B64D-2A0F4702E362}"/>
    <cellStyle name="20% - Accent6 2 3 2 2 3" xfId="11332" xr:uid="{3BCC0A3D-0954-4EEC-92DC-F9312C1134B9}"/>
    <cellStyle name="20% - Accent6 2 3 2 2 4" xfId="19773" xr:uid="{477C3DF5-A9E1-431A-96B3-94BFF5256A14}"/>
    <cellStyle name="20% - Accent6 2 3 2 3" xfId="4963" xr:uid="{00000000-0005-0000-0000-00004F030000}"/>
    <cellStyle name="20% - Accent6 2 3 2 3 2" xfId="13405" xr:uid="{E375C78F-BFF9-4FAB-AE00-1144A410D4CD}"/>
    <cellStyle name="20% - Accent6 2 3 2 3 3" xfId="21845" xr:uid="{BC54233C-5A9F-4751-BE05-1DC1E1EFADBF}"/>
    <cellStyle name="20% - Accent6 2 3 2 4" xfId="9187" xr:uid="{B290A6FC-09E8-4A51-B3EC-F43D915A8853}"/>
    <cellStyle name="20% - Accent6 2 3 2 5" xfId="17628" xr:uid="{A8C7E20E-67CB-4416-96E2-540ABC650E30}"/>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15963" xr:uid="{006AF86C-0056-4215-8349-90D7E0DDA282}"/>
    <cellStyle name="20% - Accent6 2 3 3 2 2 3" xfId="24403" xr:uid="{A87B7FDD-8694-422F-AD35-1834840FD04B}"/>
    <cellStyle name="20% - Accent6 2 3 3 2 3" xfId="11745" xr:uid="{A2D50233-F457-40FD-8030-0C2F6FEB33DE}"/>
    <cellStyle name="20% - Accent6 2 3 3 2 4" xfId="20186" xr:uid="{67DADB55-8CBC-4844-96FC-A8D1AC9B7B96}"/>
    <cellStyle name="20% - Accent6 2 3 3 3" xfId="5376" xr:uid="{00000000-0005-0000-0000-000053030000}"/>
    <cellStyle name="20% - Accent6 2 3 3 3 2" xfId="13818" xr:uid="{1F71E6F9-BA22-499E-9382-753B084FB0A3}"/>
    <cellStyle name="20% - Accent6 2 3 3 3 3" xfId="22258" xr:uid="{CA4432BF-B544-4F24-B500-0E6F4A346311}"/>
    <cellStyle name="20% - Accent6 2 3 3 4" xfId="9600" xr:uid="{630A40DF-8FBD-4E12-8B65-EE89406F3140}"/>
    <cellStyle name="20% - Accent6 2 3 3 5" xfId="18041" xr:uid="{D5D43D3C-A308-4A59-8434-061EC24383FA}"/>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16376" xr:uid="{5E130309-CDFB-421F-B416-83F4667EE072}"/>
    <cellStyle name="20% - Accent6 2 3 4 2 2 3" xfId="24816" xr:uid="{F1457CFE-E210-4783-BF59-77E71080F240}"/>
    <cellStyle name="20% - Accent6 2 3 4 2 3" xfId="12158" xr:uid="{C063CE47-1959-423D-9123-625794B9442C}"/>
    <cellStyle name="20% - Accent6 2 3 4 2 4" xfId="20599" xr:uid="{82AB2F78-FBCD-47EE-9D40-009AC0666C8F}"/>
    <cellStyle name="20% - Accent6 2 3 4 3" xfId="5789" xr:uid="{00000000-0005-0000-0000-000057030000}"/>
    <cellStyle name="20% - Accent6 2 3 4 3 2" xfId="14231" xr:uid="{D54680CF-6E19-40D0-9D53-F48C559E1C3F}"/>
    <cellStyle name="20% - Accent6 2 3 4 3 3" xfId="22671" xr:uid="{A865928F-1E6E-4EB7-9F91-11B63B9282B8}"/>
    <cellStyle name="20% - Accent6 2 3 4 4" xfId="10013" xr:uid="{B1E951C0-5117-400D-A387-8A87A3E70702}"/>
    <cellStyle name="20% - Accent6 2 3 4 5" xfId="18454" xr:uid="{3370D4B7-678E-4841-8B49-A535AA815812}"/>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16789" xr:uid="{BFCFAA69-AD3E-48E8-9E8E-AFA3365D3335}"/>
    <cellStyle name="20% - Accent6 2 3 5 2 2 3" xfId="25229" xr:uid="{92BFD9F0-0C85-4744-853D-63D88B46F5BB}"/>
    <cellStyle name="20% - Accent6 2 3 5 2 3" xfId="12571" xr:uid="{355BF5C3-C961-4AF2-A331-D682E99B2D2B}"/>
    <cellStyle name="20% - Accent6 2 3 5 2 4" xfId="21012" xr:uid="{CE5F66ED-51E6-4CCA-B16D-8F41059B4B00}"/>
    <cellStyle name="20% - Accent6 2 3 5 3" xfId="6202" xr:uid="{00000000-0005-0000-0000-00005B030000}"/>
    <cellStyle name="20% - Accent6 2 3 5 3 2" xfId="14644" xr:uid="{6B307F83-7C29-4818-B6D8-37073B7FCDBF}"/>
    <cellStyle name="20% - Accent6 2 3 5 3 3" xfId="23084" xr:uid="{91412217-41D9-4A61-A29F-072FA4E98787}"/>
    <cellStyle name="20% - Accent6 2 3 5 4" xfId="10426" xr:uid="{DB760D3A-47A9-416E-9E3C-CA929D58B502}"/>
    <cellStyle name="20% - Accent6 2 3 5 5" xfId="18867" xr:uid="{1A4BAC69-E8AB-4791-A9DA-D7CF0BA2514B}"/>
    <cellStyle name="20% - Accent6 2 3 6" xfId="2308" xr:uid="{00000000-0005-0000-0000-00005C030000}"/>
    <cellStyle name="20% - Accent6 2 3 6 2" xfId="6615" xr:uid="{00000000-0005-0000-0000-00005D030000}"/>
    <cellStyle name="20% - Accent6 2 3 6 2 2" xfId="15057" xr:uid="{26131BD5-01E4-41A3-A032-EEAAEA45C245}"/>
    <cellStyle name="20% - Accent6 2 3 6 2 3" xfId="23497" xr:uid="{D650B73F-2FCC-41DE-AA3C-20C0045AB184}"/>
    <cellStyle name="20% - Accent6 2 3 6 3" xfId="10839" xr:uid="{F7C6439A-DC1C-4F14-A7D4-5DF9A6ABFD58}"/>
    <cellStyle name="20% - Accent6 2 3 6 4" xfId="19280" xr:uid="{EEFC810F-8A76-4B1B-BE70-F0E8AC81D5BF}"/>
    <cellStyle name="20% - Accent6 2 3 7" xfId="4549" xr:uid="{00000000-0005-0000-0000-00005E030000}"/>
    <cellStyle name="20% - Accent6 2 3 7 2" xfId="12991" xr:uid="{75F5CCC8-E44F-4C62-ADD1-B9E02B7449BA}"/>
    <cellStyle name="20% - Accent6 2 3 7 3" xfId="21431" xr:uid="{373715F2-B735-4F0E-B987-CC495BB6E0B2}"/>
    <cellStyle name="20% - Accent6 2 3 8" xfId="8773" xr:uid="{0EA25045-3E8F-4F1E-B34A-77A1E79A64BA}"/>
    <cellStyle name="20% - Accent6 2 3 9" xfId="17214" xr:uid="{D35361EA-281F-439A-B9C3-D50FBD90A0D9}"/>
    <cellStyle name="20% - Accent6 2 4" xfId="611" xr:uid="{00000000-0005-0000-0000-00005F030000}"/>
    <cellStyle name="20% - Accent6 2 4 2" xfId="2882" xr:uid="{00000000-0005-0000-0000-000060030000}"/>
    <cellStyle name="20% - Accent6 2 4 2 2" xfId="7105" xr:uid="{00000000-0005-0000-0000-000061030000}"/>
    <cellStyle name="20% - Accent6 2 4 2 2 2" xfId="15547" xr:uid="{0DFD7C41-AEE5-4BBD-9AF4-6762BF5E828E}"/>
    <cellStyle name="20% - Accent6 2 4 2 2 3" xfId="23987" xr:uid="{BD17211D-6E1E-4F34-8A4A-33BCC749A0A1}"/>
    <cellStyle name="20% - Accent6 2 4 2 3" xfId="11329" xr:uid="{1C0108B5-05F6-4723-8BEB-12ADA4686E3E}"/>
    <cellStyle name="20% - Accent6 2 4 2 4" xfId="19770" xr:uid="{D2DEE353-ECF8-4057-A04D-2FDD6EBD84A7}"/>
    <cellStyle name="20% - Accent6 2 4 3" xfId="4960" xr:uid="{00000000-0005-0000-0000-000062030000}"/>
    <cellStyle name="20% - Accent6 2 4 3 2" xfId="13402" xr:uid="{3D123B0E-9997-4DAD-923E-DF4710F97E39}"/>
    <cellStyle name="20% - Accent6 2 4 3 3" xfId="21842" xr:uid="{623B1289-DE68-4382-8475-9D0319F20908}"/>
    <cellStyle name="20% - Accent6 2 4 4" xfId="9184" xr:uid="{6B8BD0FE-9F60-4264-BEB2-A53A715F7FC5}"/>
    <cellStyle name="20% - Accent6 2 4 5" xfId="17625" xr:uid="{01E9839C-BDB4-4976-AEEA-FB52460EDF3C}"/>
    <cellStyle name="20% - Accent6 2 5" xfId="1064" xr:uid="{00000000-0005-0000-0000-000063030000}"/>
    <cellStyle name="20% - Accent6 2 5 2" xfId="3295" xr:uid="{00000000-0005-0000-0000-000064030000}"/>
    <cellStyle name="20% - Accent6 2 5 2 2" xfId="7518" xr:uid="{00000000-0005-0000-0000-000065030000}"/>
    <cellStyle name="20% - Accent6 2 5 2 2 2" xfId="15960" xr:uid="{6D8336D2-ABCF-4904-9947-75B2F2DD0D5D}"/>
    <cellStyle name="20% - Accent6 2 5 2 2 3" xfId="24400" xr:uid="{A4A079BF-D8C7-46AF-8F1B-532AD577507E}"/>
    <cellStyle name="20% - Accent6 2 5 2 3" xfId="11742" xr:uid="{C277CEE0-BDBE-4549-93D5-49D2EDF00FF4}"/>
    <cellStyle name="20% - Accent6 2 5 2 4" xfId="20183" xr:uid="{BDB60F1B-1BD6-491A-9120-412667B5542F}"/>
    <cellStyle name="20% - Accent6 2 5 3" xfId="5373" xr:uid="{00000000-0005-0000-0000-000066030000}"/>
    <cellStyle name="20% - Accent6 2 5 3 2" xfId="13815" xr:uid="{AC24D5B0-6E5B-4FED-B7DF-D322102FD071}"/>
    <cellStyle name="20% - Accent6 2 5 3 3" xfId="22255" xr:uid="{BE302A62-9B20-49FE-A1B5-094F856C6E44}"/>
    <cellStyle name="20% - Accent6 2 5 4" xfId="9597" xr:uid="{67E97088-A6C9-4344-B109-BE417C1D6826}"/>
    <cellStyle name="20% - Accent6 2 5 5" xfId="18038" xr:uid="{D76758A3-B8EF-49D4-A65F-81667DE80BE8}"/>
    <cellStyle name="20% - Accent6 2 6" xfId="1478" xr:uid="{00000000-0005-0000-0000-000067030000}"/>
    <cellStyle name="20% - Accent6 2 6 2" xfId="3708" xr:uid="{00000000-0005-0000-0000-000068030000}"/>
    <cellStyle name="20% - Accent6 2 6 2 2" xfId="7931" xr:uid="{00000000-0005-0000-0000-000069030000}"/>
    <cellStyle name="20% - Accent6 2 6 2 2 2" xfId="16373" xr:uid="{F3E92849-03C8-4794-BBA7-33165EDECF23}"/>
    <cellStyle name="20% - Accent6 2 6 2 2 3" xfId="24813" xr:uid="{3664552B-A91F-4E10-8566-A566A61EF81F}"/>
    <cellStyle name="20% - Accent6 2 6 2 3" xfId="12155" xr:uid="{965FEB76-CCFC-4ACF-8B6F-790E9BB80621}"/>
    <cellStyle name="20% - Accent6 2 6 2 4" xfId="20596" xr:uid="{8221FB5A-1416-40D0-AD80-426455632C29}"/>
    <cellStyle name="20% - Accent6 2 6 3" xfId="5786" xr:uid="{00000000-0005-0000-0000-00006A030000}"/>
    <cellStyle name="20% - Accent6 2 6 3 2" xfId="14228" xr:uid="{75D3B641-D13E-443D-BD11-AAF1798D2BE6}"/>
    <cellStyle name="20% - Accent6 2 6 3 3" xfId="22668" xr:uid="{DF9AE9DF-23AD-490F-A950-8B7B267F878A}"/>
    <cellStyle name="20% - Accent6 2 6 4" xfId="10010" xr:uid="{05C50202-0C33-4D05-8694-B7C58D593CA5}"/>
    <cellStyle name="20% - Accent6 2 6 5" xfId="18451" xr:uid="{F37E6DDA-C801-4C5E-BAD2-B4E5EEEAFFEB}"/>
    <cellStyle name="20% - Accent6 2 7" xfId="1892" xr:uid="{00000000-0005-0000-0000-00006B030000}"/>
    <cellStyle name="20% - Accent6 2 7 2" xfId="4121" xr:uid="{00000000-0005-0000-0000-00006C030000}"/>
    <cellStyle name="20% - Accent6 2 7 2 2" xfId="8344" xr:uid="{00000000-0005-0000-0000-00006D030000}"/>
    <cellStyle name="20% - Accent6 2 7 2 2 2" xfId="16786" xr:uid="{330A1287-F964-447B-B563-2C732D63E712}"/>
    <cellStyle name="20% - Accent6 2 7 2 2 3" xfId="25226" xr:uid="{FF66A48E-0E10-4045-956A-182DD8E2A9BB}"/>
    <cellStyle name="20% - Accent6 2 7 2 3" xfId="12568" xr:uid="{769A3421-3B1D-45C7-A00B-D4A4294A186E}"/>
    <cellStyle name="20% - Accent6 2 7 2 4" xfId="21009" xr:uid="{0E477AB9-0586-42B7-B686-8705C77CCEAE}"/>
    <cellStyle name="20% - Accent6 2 7 3" xfId="6199" xr:uid="{00000000-0005-0000-0000-00006E030000}"/>
    <cellStyle name="20% - Accent6 2 7 3 2" xfId="14641" xr:uid="{488F1DA7-44FF-4CBA-A8AC-EBFF9F4933BA}"/>
    <cellStyle name="20% - Accent6 2 7 3 3" xfId="23081" xr:uid="{0923B8EC-9065-49BC-A8B6-9A913B5586AB}"/>
    <cellStyle name="20% - Accent6 2 7 4" xfId="10423" xr:uid="{2D7D009C-0970-49B5-910A-20B8C3394671}"/>
    <cellStyle name="20% - Accent6 2 7 5" xfId="18864" xr:uid="{765CA4E6-CFD5-452F-9103-9A9192867F43}"/>
    <cellStyle name="20% - Accent6 2 8" xfId="2305" xr:uid="{00000000-0005-0000-0000-00006F030000}"/>
    <cellStyle name="20% - Accent6 2 8 2" xfId="6612" xr:uid="{00000000-0005-0000-0000-000070030000}"/>
    <cellStyle name="20% - Accent6 2 8 2 2" xfId="15054" xr:uid="{FA736D60-C10B-4CE5-B46B-ABF833DB9761}"/>
    <cellStyle name="20% - Accent6 2 8 2 3" xfId="23494" xr:uid="{4124C288-24F0-43F2-BF63-449C4297334C}"/>
    <cellStyle name="20% - Accent6 2 8 3" xfId="10836" xr:uid="{A74AF4B2-308A-444F-8B65-5360705D708E}"/>
    <cellStyle name="20% - Accent6 2 8 4" xfId="19277" xr:uid="{71E786EF-4840-4A04-9D01-F5C4E3B4A658}"/>
    <cellStyle name="20% - Accent6 2 9" xfId="4546" xr:uid="{00000000-0005-0000-0000-000071030000}"/>
    <cellStyle name="20% - Accent6 2 9 2" xfId="12988" xr:uid="{9C7BB036-BD47-4F3F-8319-34F9AA7F8091}"/>
    <cellStyle name="20% - Accent6 2 9 3" xfId="21428" xr:uid="{3DC9EFA2-8F9C-452B-A783-130FEDA5CFA4}"/>
    <cellStyle name="20% - Accent6 3" xfId="46" xr:uid="{00000000-0005-0000-0000-000072030000}"/>
    <cellStyle name="20% - Accent6 3 10" xfId="17215" xr:uid="{A0A12D1F-A87A-46AD-9D4A-D6A46374EBFF}"/>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15552" xr:uid="{06AD614E-758E-4E19-ADF5-752156853EC5}"/>
    <cellStyle name="20% - Accent6 3 2 2 2 2 3" xfId="23992" xr:uid="{85B23F5C-5072-4C1A-9D25-9DFDC0F59C05}"/>
    <cellStyle name="20% - Accent6 3 2 2 2 3" xfId="11334" xr:uid="{8D86BE78-8313-4F6A-B4BF-550BA9FE7DDD}"/>
    <cellStyle name="20% - Accent6 3 2 2 2 4" xfId="19775" xr:uid="{A19066FC-1E1C-4DE2-A8AA-152C5D549266}"/>
    <cellStyle name="20% - Accent6 3 2 2 3" xfId="4965" xr:uid="{00000000-0005-0000-0000-000077030000}"/>
    <cellStyle name="20% - Accent6 3 2 2 3 2" xfId="13407" xr:uid="{49372359-D238-4A3F-970C-7F07E72131C7}"/>
    <cellStyle name="20% - Accent6 3 2 2 3 3" xfId="21847" xr:uid="{2BA127AA-6548-4936-912B-449B5DE1354E}"/>
    <cellStyle name="20% - Accent6 3 2 2 4" xfId="9189" xr:uid="{1E1FA720-DF15-4382-B6C7-DE6027DE21E1}"/>
    <cellStyle name="20% - Accent6 3 2 2 5" xfId="17630" xr:uid="{232F8660-7DC1-47FA-BFB1-250499E96FEF}"/>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15965" xr:uid="{22C7BC55-0DCD-43EE-B127-8CB4E553B795}"/>
    <cellStyle name="20% - Accent6 3 2 3 2 2 3" xfId="24405" xr:uid="{FE0B3C52-C923-407C-8E7F-222BEA9A7394}"/>
    <cellStyle name="20% - Accent6 3 2 3 2 3" xfId="11747" xr:uid="{65207B31-7663-42B1-8260-54C3D34E4EF4}"/>
    <cellStyle name="20% - Accent6 3 2 3 2 4" xfId="20188" xr:uid="{D602884F-1CBD-44C3-88B2-036B538EC6A3}"/>
    <cellStyle name="20% - Accent6 3 2 3 3" xfId="5378" xr:uid="{00000000-0005-0000-0000-00007B030000}"/>
    <cellStyle name="20% - Accent6 3 2 3 3 2" xfId="13820" xr:uid="{7A8FC296-CAB3-40A1-83F9-860D894511AA}"/>
    <cellStyle name="20% - Accent6 3 2 3 3 3" xfId="22260" xr:uid="{A695AB49-03A4-4BAA-9B5B-6F65B2A5795F}"/>
    <cellStyle name="20% - Accent6 3 2 3 4" xfId="9602" xr:uid="{6877DC7C-955F-40D4-954F-3B3D2B7375E2}"/>
    <cellStyle name="20% - Accent6 3 2 3 5" xfId="18043" xr:uid="{F21BCE60-2D88-4FE1-A3EA-046CBC223D4D}"/>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16378" xr:uid="{E55DA3D2-E9B4-4479-A978-6F2E8F43B548}"/>
    <cellStyle name="20% - Accent6 3 2 4 2 2 3" xfId="24818" xr:uid="{00AF0329-645E-44A7-9D43-F18A795521F3}"/>
    <cellStyle name="20% - Accent6 3 2 4 2 3" xfId="12160" xr:uid="{8A13C75A-D35F-4CB6-92F5-A9F8E8F75E03}"/>
    <cellStyle name="20% - Accent6 3 2 4 2 4" xfId="20601" xr:uid="{FFD846A2-2CCB-46AC-9AC1-82E8F47FAF2B}"/>
    <cellStyle name="20% - Accent6 3 2 4 3" xfId="5791" xr:uid="{00000000-0005-0000-0000-00007F030000}"/>
    <cellStyle name="20% - Accent6 3 2 4 3 2" xfId="14233" xr:uid="{69BA582F-F1D0-4A50-A1B9-C0BF3845D1F6}"/>
    <cellStyle name="20% - Accent6 3 2 4 3 3" xfId="22673" xr:uid="{AB2570C3-948E-456E-8169-82F74DA70835}"/>
    <cellStyle name="20% - Accent6 3 2 4 4" xfId="10015" xr:uid="{C6FBB992-D20F-4D26-81CA-DD384F717C0E}"/>
    <cellStyle name="20% - Accent6 3 2 4 5" xfId="18456" xr:uid="{99E3FA3C-3D14-42A6-9BD2-D3215C35458D}"/>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16791" xr:uid="{FF730EFE-A7FA-46EC-88A1-2FAF6DC35297}"/>
    <cellStyle name="20% - Accent6 3 2 5 2 2 3" xfId="25231" xr:uid="{BAFD6CE0-FF02-4741-95B6-98CB3660D506}"/>
    <cellStyle name="20% - Accent6 3 2 5 2 3" xfId="12573" xr:uid="{8E09277C-268F-43FA-B65C-66EBFA1FEC44}"/>
    <cellStyle name="20% - Accent6 3 2 5 2 4" xfId="21014" xr:uid="{D055FCA7-0EDD-43BD-9D32-7CA9D687B534}"/>
    <cellStyle name="20% - Accent6 3 2 5 3" xfId="6204" xr:uid="{00000000-0005-0000-0000-000083030000}"/>
    <cellStyle name="20% - Accent6 3 2 5 3 2" xfId="14646" xr:uid="{0983FF45-9718-4B0A-B5D7-BDBB1F16F536}"/>
    <cellStyle name="20% - Accent6 3 2 5 3 3" xfId="23086" xr:uid="{39A759CC-37E5-424D-B509-72B24E2771BD}"/>
    <cellStyle name="20% - Accent6 3 2 5 4" xfId="10428" xr:uid="{8947966A-173F-4CDE-A3D7-2E9646757CEC}"/>
    <cellStyle name="20% - Accent6 3 2 5 5" xfId="18869" xr:uid="{9B528E25-1ACC-4823-942D-54EB55B13B9E}"/>
    <cellStyle name="20% - Accent6 3 2 6" xfId="2310" xr:uid="{00000000-0005-0000-0000-000084030000}"/>
    <cellStyle name="20% - Accent6 3 2 6 2" xfId="6617" xr:uid="{00000000-0005-0000-0000-000085030000}"/>
    <cellStyle name="20% - Accent6 3 2 6 2 2" xfId="15059" xr:uid="{54B2A664-56AD-4606-97CA-AE269E6546C5}"/>
    <cellStyle name="20% - Accent6 3 2 6 2 3" xfId="23499" xr:uid="{4097A4D8-0E79-4EEB-9BF8-296B8DF687D8}"/>
    <cellStyle name="20% - Accent6 3 2 6 3" xfId="10841" xr:uid="{1F10E10D-617D-4721-B251-417E3C0B42F8}"/>
    <cellStyle name="20% - Accent6 3 2 6 4" xfId="19282" xr:uid="{BAC708C3-0638-494C-A4B9-6ECCD004505F}"/>
    <cellStyle name="20% - Accent6 3 2 7" xfId="4551" xr:uid="{00000000-0005-0000-0000-000086030000}"/>
    <cellStyle name="20% - Accent6 3 2 7 2" xfId="12993" xr:uid="{9164F1CF-C4A4-46FC-96CF-BE244BFFB1DC}"/>
    <cellStyle name="20% - Accent6 3 2 7 3" xfId="21433" xr:uid="{8FB37A0E-6CEB-436F-AE7F-D476EF37BE37}"/>
    <cellStyle name="20% - Accent6 3 2 8" xfId="8775" xr:uid="{1CA4B535-C1D4-4D51-872F-F129A637DF67}"/>
    <cellStyle name="20% - Accent6 3 2 9" xfId="17216" xr:uid="{CAA1F6B1-DC34-4F84-B52D-A188D5B70272}"/>
    <cellStyle name="20% - Accent6 3 3" xfId="615" xr:uid="{00000000-0005-0000-0000-000087030000}"/>
    <cellStyle name="20% - Accent6 3 3 2" xfId="2886" xr:uid="{00000000-0005-0000-0000-000088030000}"/>
    <cellStyle name="20% - Accent6 3 3 2 2" xfId="7109" xr:uid="{00000000-0005-0000-0000-000089030000}"/>
    <cellStyle name="20% - Accent6 3 3 2 2 2" xfId="15551" xr:uid="{B16635FD-013E-4D4C-9873-A2696A7DEE45}"/>
    <cellStyle name="20% - Accent6 3 3 2 2 3" xfId="23991" xr:uid="{D4BD0AE1-C177-4158-8534-6A2F963871D4}"/>
    <cellStyle name="20% - Accent6 3 3 2 3" xfId="11333" xr:uid="{88C30B37-BC2A-427E-95DD-3F9DEE0A02A0}"/>
    <cellStyle name="20% - Accent6 3 3 2 4" xfId="19774" xr:uid="{19F0E2DD-1A88-4409-9C66-8CB49D480F36}"/>
    <cellStyle name="20% - Accent6 3 3 3" xfId="4964" xr:uid="{00000000-0005-0000-0000-00008A030000}"/>
    <cellStyle name="20% - Accent6 3 3 3 2" xfId="13406" xr:uid="{D9D39540-82F1-423D-88DD-3CFEC6A95685}"/>
    <cellStyle name="20% - Accent6 3 3 3 3" xfId="21846" xr:uid="{1A257564-7E14-4008-9EFA-33481A2D2B7F}"/>
    <cellStyle name="20% - Accent6 3 3 4" xfId="9188" xr:uid="{13BAE5FA-357F-4389-9372-45BA28211CEF}"/>
    <cellStyle name="20% - Accent6 3 3 5" xfId="17629" xr:uid="{83E6206E-4015-461B-B04B-5E6F8DFA6A3E}"/>
    <cellStyle name="20% - Accent6 3 4" xfId="1068" xr:uid="{00000000-0005-0000-0000-00008B030000}"/>
    <cellStyle name="20% - Accent6 3 4 2" xfId="3299" xr:uid="{00000000-0005-0000-0000-00008C030000}"/>
    <cellStyle name="20% - Accent6 3 4 2 2" xfId="7522" xr:uid="{00000000-0005-0000-0000-00008D030000}"/>
    <cellStyle name="20% - Accent6 3 4 2 2 2" xfId="15964" xr:uid="{771AE7F9-3C6C-4150-86EA-335B8CBD20A6}"/>
    <cellStyle name="20% - Accent6 3 4 2 2 3" xfId="24404" xr:uid="{E2684955-62B8-423F-B437-045D34903CA3}"/>
    <cellStyle name="20% - Accent6 3 4 2 3" xfId="11746" xr:uid="{BC78B8CA-5133-4AA8-A8B9-1102231EEB89}"/>
    <cellStyle name="20% - Accent6 3 4 2 4" xfId="20187" xr:uid="{A363ABA0-4E8E-4438-B4C9-68C443C5D674}"/>
    <cellStyle name="20% - Accent6 3 4 3" xfId="5377" xr:uid="{00000000-0005-0000-0000-00008E030000}"/>
    <cellStyle name="20% - Accent6 3 4 3 2" xfId="13819" xr:uid="{D37FC544-6508-4331-99C3-37E830DA2923}"/>
    <cellStyle name="20% - Accent6 3 4 3 3" xfId="22259" xr:uid="{12F7D8BB-EBBF-4268-B14E-198D05934D98}"/>
    <cellStyle name="20% - Accent6 3 4 4" xfId="9601" xr:uid="{BB1AD23F-5082-4476-8265-0D8F3E2FE8CB}"/>
    <cellStyle name="20% - Accent6 3 4 5" xfId="18042" xr:uid="{7159C79E-E9F3-4132-8B6B-44AB10403DC8}"/>
    <cellStyle name="20% - Accent6 3 5" xfId="1482" xr:uid="{00000000-0005-0000-0000-00008F030000}"/>
    <cellStyle name="20% - Accent6 3 5 2" xfId="3712" xr:uid="{00000000-0005-0000-0000-000090030000}"/>
    <cellStyle name="20% - Accent6 3 5 2 2" xfId="7935" xr:uid="{00000000-0005-0000-0000-000091030000}"/>
    <cellStyle name="20% - Accent6 3 5 2 2 2" xfId="16377" xr:uid="{05C8D005-E831-4539-9EC0-31958DA21C69}"/>
    <cellStyle name="20% - Accent6 3 5 2 2 3" xfId="24817" xr:uid="{BBE2AAA0-D86B-4031-ABB2-E104541131E8}"/>
    <cellStyle name="20% - Accent6 3 5 2 3" xfId="12159" xr:uid="{B8FEB446-B2AE-499C-932A-AD9561B9612B}"/>
    <cellStyle name="20% - Accent6 3 5 2 4" xfId="20600" xr:uid="{5892597A-1DD5-41FC-AF8E-FAA8F1526E6B}"/>
    <cellStyle name="20% - Accent6 3 5 3" xfId="5790" xr:uid="{00000000-0005-0000-0000-000092030000}"/>
    <cellStyle name="20% - Accent6 3 5 3 2" xfId="14232" xr:uid="{81AB698A-8A09-4468-86C7-5159D77CA1C5}"/>
    <cellStyle name="20% - Accent6 3 5 3 3" xfId="22672" xr:uid="{69C22E89-F8C4-42D9-8628-FE43C6C9FF32}"/>
    <cellStyle name="20% - Accent6 3 5 4" xfId="10014" xr:uid="{3F35C5B2-B8C4-4BC8-BB2B-18FDE56C4CDF}"/>
    <cellStyle name="20% - Accent6 3 5 5" xfId="18455" xr:uid="{E3ECEF14-59B2-4DEC-AEDF-A0AE1EC63058}"/>
    <cellStyle name="20% - Accent6 3 6" xfId="1896" xr:uid="{00000000-0005-0000-0000-000093030000}"/>
    <cellStyle name="20% - Accent6 3 6 2" xfId="4125" xr:uid="{00000000-0005-0000-0000-000094030000}"/>
    <cellStyle name="20% - Accent6 3 6 2 2" xfId="8348" xr:uid="{00000000-0005-0000-0000-000095030000}"/>
    <cellStyle name="20% - Accent6 3 6 2 2 2" xfId="16790" xr:uid="{2C4C97A1-6495-4309-9C51-13D28BDE3660}"/>
    <cellStyle name="20% - Accent6 3 6 2 2 3" xfId="25230" xr:uid="{D4928528-521C-4DE2-9219-269DA899C51A}"/>
    <cellStyle name="20% - Accent6 3 6 2 3" xfId="12572" xr:uid="{5683E7FD-7E7F-4256-8D2D-54CF7002FDCB}"/>
    <cellStyle name="20% - Accent6 3 6 2 4" xfId="21013" xr:uid="{F9359009-F246-47F9-A19D-A59FAB545BED}"/>
    <cellStyle name="20% - Accent6 3 6 3" xfId="6203" xr:uid="{00000000-0005-0000-0000-000096030000}"/>
    <cellStyle name="20% - Accent6 3 6 3 2" xfId="14645" xr:uid="{2C08E350-3646-49BC-ACC2-518A4A3C981A}"/>
    <cellStyle name="20% - Accent6 3 6 3 3" xfId="23085" xr:uid="{23552933-23FC-4814-8457-0CA22A906840}"/>
    <cellStyle name="20% - Accent6 3 6 4" xfId="10427" xr:uid="{C152E349-45D5-4BE6-AF77-8996AA8D8309}"/>
    <cellStyle name="20% - Accent6 3 6 5" xfId="18868" xr:uid="{B39A08F1-44C1-4E40-8204-F0B645E6EC04}"/>
    <cellStyle name="20% - Accent6 3 7" xfId="2309" xr:uid="{00000000-0005-0000-0000-000097030000}"/>
    <cellStyle name="20% - Accent6 3 7 2" xfId="6616" xr:uid="{00000000-0005-0000-0000-000098030000}"/>
    <cellStyle name="20% - Accent6 3 7 2 2" xfId="15058" xr:uid="{3585C372-0577-4B56-8F75-740E3167909F}"/>
    <cellStyle name="20% - Accent6 3 7 2 3" xfId="23498" xr:uid="{9B23722B-73BD-4524-B7C9-77B01F9F8419}"/>
    <cellStyle name="20% - Accent6 3 7 3" xfId="10840" xr:uid="{9FC3AE82-1C1D-4C1C-820C-05F0D2BA67AD}"/>
    <cellStyle name="20% - Accent6 3 7 4" xfId="19281" xr:uid="{1E7D5352-6827-4D71-B950-B31A5575A0AB}"/>
    <cellStyle name="20% - Accent6 3 8" xfId="4550" xr:uid="{00000000-0005-0000-0000-000099030000}"/>
    <cellStyle name="20% - Accent6 3 8 2" xfId="12992" xr:uid="{89D97DD9-7DDA-4053-8470-3A8522F1FF2A}"/>
    <cellStyle name="20% - Accent6 3 8 3" xfId="21432" xr:uid="{DABBB63C-BC35-4546-A6C6-D170AC62C95F}"/>
    <cellStyle name="20% - Accent6 3 9" xfId="8774" xr:uid="{6CF77549-A3EB-4B17-9790-4C2B11B17322}"/>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2 2 2" xfId="15553" xr:uid="{A558A7C3-50A8-49B4-A514-E710B88FDADF}"/>
    <cellStyle name="20% - Accent6 4 2 2 2 3" xfId="23993" xr:uid="{5873D32A-88F6-4624-A9D1-B0456DEC765E}"/>
    <cellStyle name="20% - Accent6 4 2 2 3" xfId="11335" xr:uid="{484ECD44-0AB9-4ACE-BE65-2B2B280EF266}"/>
    <cellStyle name="20% - Accent6 4 2 2 4" xfId="19776" xr:uid="{3A24B2A1-562D-4297-A5E8-906C82B6A70B}"/>
    <cellStyle name="20% - Accent6 4 2 3" xfId="4966" xr:uid="{00000000-0005-0000-0000-00009E030000}"/>
    <cellStyle name="20% - Accent6 4 2 3 2" xfId="13408" xr:uid="{02BBE85C-5503-4891-825E-66AB8D9E9712}"/>
    <cellStyle name="20% - Accent6 4 2 3 3" xfId="21848" xr:uid="{D7214F94-A04F-47DB-909C-5D21430ACAA1}"/>
    <cellStyle name="20% - Accent6 4 2 4" xfId="9190" xr:uid="{9F69EC53-38F0-4CAD-B4BC-3E8ECAE4AC97}"/>
    <cellStyle name="20% - Accent6 4 2 5" xfId="17631" xr:uid="{D27E6A78-8219-4B61-9274-866F52E908DC}"/>
    <cellStyle name="20% - Accent6 4 3" xfId="1070" xr:uid="{00000000-0005-0000-0000-00009F030000}"/>
    <cellStyle name="20% - Accent6 4 3 2" xfId="3301" xr:uid="{00000000-0005-0000-0000-0000A0030000}"/>
    <cellStyle name="20% - Accent6 4 3 2 2" xfId="7524" xr:uid="{00000000-0005-0000-0000-0000A1030000}"/>
    <cellStyle name="20% - Accent6 4 3 2 2 2" xfId="15966" xr:uid="{D9F73785-3B2E-47EC-82B3-F9B9074AF332}"/>
    <cellStyle name="20% - Accent6 4 3 2 2 3" xfId="24406" xr:uid="{E8330798-116B-4720-AAE2-AEA981254872}"/>
    <cellStyle name="20% - Accent6 4 3 2 3" xfId="11748" xr:uid="{C29ABB70-69BA-4194-AC8C-7876C9D74056}"/>
    <cellStyle name="20% - Accent6 4 3 2 4" xfId="20189" xr:uid="{ECF31841-D657-4166-B635-4900D2043FB3}"/>
    <cellStyle name="20% - Accent6 4 3 3" xfId="5379" xr:uid="{00000000-0005-0000-0000-0000A2030000}"/>
    <cellStyle name="20% - Accent6 4 3 3 2" xfId="13821" xr:uid="{6A6DF9B8-2F70-4E09-90E2-390111C1037E}"/>
    <cellStyle name="20% - Accent6 4 3 3 3" xfId="22261" xr:uid="{1F602CF2-49AB-40AD-92F6-6FD0384F1B9A}"/>
    <cellStyle name="20% - Accent6 4 3 4" xfId="9603" xr:uid="{92770BE1-9C33-4665-91EE-3DC0058F893F}"/>
    <cellStyle name="20% - Accent6 4 3 5" xfId="18044" xr:uid="{3C2B35E8-693C-4830-8A52-C148C825C16C}"/>
    <cellStyle name="20% - Accent6 4 4" xfId="1484" xr:uid="{00000000-0005-0000-0000-0000A3030000}"/>
    <cellStyle name="20% - Accent6 4 4 2" xfId="3714" xr:uid="{00000000-0005-0000-0000-0000A4030000}"/>
    <cellStyle name="20% - Accent6 4 4 2 2" xfId="7937" xr:uid="{00000000-0005-0000-0000-0000A5030000}"/>
    <cellStyle name="20% - Accent6 4 4 2 2 2" xfId="16379" xr:uid="{C291A51A-E600-4D75-8676-F9C598B6CFDC}"/>
    <cellStyle name="20% - Accent6 4 4 2 2 3" xfId="24819" xr:uid="{496DB12D-F85E-4CE3-BF73-20F4B5427BD3}"/>
    <cellStyle name="20% - Accent6 4 4 2 3" xfId="12161" xr:uid="{4567BAD5-9923-4A0E-B906-6770DC80F565}"/>
    <cellStyle name="20% - Accent6 4 4 2 4" xfId="20602" xr:uid="{65E79D9B-E8B1-4857-A7AE-2AA584EA4D0F}"/>
    <cellStyle name="20% - Accent6 4 4 3" xfId="5792" xr:uid="{00000000-0005-0000-0000-0000A6030000}"/>
    <cellStyle name="20% - Accent6 4 4 3 2" xfId="14234" xr:uid="{C9074346-D244-474A-9D98-2075CDDF3000}"/>
    <cellStyle name="20% - Accent6 4 4 3 3" xfId="22674" xr:uid="{8A36AB82-E246-4A79-865D-E03C123E4016}"/>
    <cellStyle name="20% - Accent6 4 4 4" xfId="10016" xr:uid="{C0F94B2D-B8AF-4A68-BDFE-73860C8ED015}"/>
    <cellStyle name="20% - Accent6 4 4 5" xfId="18457" xr:uid="{1F4BFE7A-B292-4964-B96D-A1DDD89C14F3}"/>
    <cellStyle name="20% - Accent6 4 5" xfId="1898" xr:uid="{00000000-0005-0000-0000-0000A7030000}"/>
    <cellStyle name="20% - Accent6 4 5 2" xfId="4127" xr:uid="{00000000-0005-0000-0000-0000A8030000}"/>
    <cellStyle name="20% - Accent6 4 5 2 2" xfId="8350" xr:uid="{00000000-0005-0000-0000-0000A9030000}"/>
    <cellStyle name="20% - Accent6 4 5 2 2 2" xfId="16792" xr:uid="{746027E5-8DB0-4D13-AD3A-63D2AAE82426}"/>
    <cellStyle name="20% - Accent6 4 5 2 2 3" xfId="25232" xr:uid="{7510D48A-0EBA-4EE0-9B87-6358E79D625B}"/>
    <cellStyle name="20% - Accent6 4 5 2 3" xfId="12574" xr:uid="{26303EEE-D933-4F60-AE4B-D33CF00B6CC1}"/>
    <cellStyle name="20% - Accent6 4 5 2 4" xfId="21015" xr:uid="{DA34DC55-A552-4F11-B1B5-AC53588A9259}"/>
    <cellStyle name="20% - Accent6 4 5 3" xfId="6205" xr:uid="{00000000-0005-0000-0000-0000AA030000}"/>
    <cellStyle name="20% - Accent6 4 5 3 2" xfId="14647" xr:uid="{A3F322AE-B81C-483F-9BDE-15CE0BB1AE6A}"/>
    <cellStyle name="20% - Accent6 4 5 3 3" xfId="23087" xr:uid="{087F6B83-60A3-497E-A8BD-FF10F93CAD1E}"/>
    <cellStyle name="20% - Accent6 4 5 4" xfId="10429" xr:uid="{E009E95C-992F-4DEC-9AA2-E02493DE5BC9}"/>
    <cellStyle name="20% - Accent6 4 5 5" xfId="18870" xr:uid="{57E2A977-7463-4CC1-A4C6-F285074E0FF0}"/>
    <cellStyle name="20% - Accent6 4 6" xfId="2311" xr:uid="{00000000-0005-0000-0000-0000AB030000}"/>
    <cellStyle name="20% - Accent6 4 6 2" xfId="6618" xr:uid="{00000000-0005-0000-0000-0000AC030000}"/>
    <cellStyle name="20% - Accent6 4 6 2 2" xfId="15060" xr:uid="{35CD0E09-83F7-42EA-A472-5E5BB4DE4A42}"/>
    <cellStyle name="20% - Accent6 4 6 2 3" xfId="23500" xr:uid="{ABBA271E-BEAB-47A4-BC50-BE2E7503150E}"/>
    <cellStyle name="20% - Accent6 4 6 3" xfId="10842" xr:uid="{FBD70AF9-907A-4D61-A4BC-E6CF478F5F5D}"/>
    <cellStyle name="20% - Accent6 4 6 4" xfId="19283" xr:uid="{4B367BB6-75DB-4F3D-8E61-D97E0963BE71}"/>
    <cellStyle name="20% - Accent6 4 7" xfId="4552" xr:uid="{00000000-0005-0000-0000-0000AD030000}"/>
    <cellStyle name="20% - Accent6 4 7 2" xfId="12994" xr:uid="{409F6ABD-21DC-4D53-A23E-64F1064DD34A}"/>
    <cellStyle name="20% - Accent6 4 7 3" xfId="21434" xr:uid="{996BD300-3618-4A3E-BBD6-B755A4692108}"/>
    <cellStyle name="20% - Accent6 4 8" xfId="8776" xr:uid="{97BEE67F-3B21-48A6-A337-4089EFD47E17}"/>
    <cellStyle name="20% - Accent6 4 9" xfId="17217" xr:uid="{E6D58FC0-7D08-4A73-962C-18104B00E352}"/>
    <cellStyle name="20% - Accent6 5" xfId="610" xr:uid="{00000000-0005-0000-0000-0000AE030000}"/>
    <cellStyle name="20% - Accent6 5 2" xfId="2881" xr:uid="{00000000-0005-0000-0000-0000AF030000}"/>
    <cellStyle name="20% - Accent6 5 2 2" xfId="7104" xr:uid="{00000000-0005-0000-0000-0000B0030000}"/>
    <cellStyle name="20% - Accent6 5 2 2 2" xfId="15546" xr:uid="{715CBBAE-69D0-417E-969F-2B7D50D018EF}"/>
    <cellStyle name="20% - Accent6 5 2 2 3" xfId="23986" xr:uid="{5DCBBF12-A16F-40F8-966C-8D6F5B7B9A5A}"/>
    <cellStyle name="20% - Accent6 5 2 3" xfId="11328" xr:uid="{AC03492D-699C-4670-911C-A03643313488}"/>
    <cellStyle name="20% - Accent6 5 2 4" xfId="19769" xr:uid="{F17FE4CB-4FED-49C1-A9CC-91829F573255}"/>
    <cellStyle name="20% - Accent6 5 3" xfId="4959" xr:uid="{00000000-0005-0000-0000-0000B1030000}"/>
    <cellStyle name="20% - Accent6 5 3 2" xfId="13401" xr:uid="{51DFA966-12C3-4547-928C-9FEE53C9B46B}"/>
    <cellStyle name="20% - Accent6 5 3 3" xfId="21841" xr:uid="{A3C7AAD5-C7C1-4EA6-AB5F-F735F67BEE5C}"/>
    <cellStyle name="20% - Accent6 5 4" xfId="9183" xr:uid="{1AEDDDB3-0455-4247-90F7-AB4D20051E5E}"/>
    <cellStyle name="20% - Accent6 5 5" xfId="17624" xr:uid="{854647B3-4E88-4F69-B710-1A8D33976D60}"/>
    <cellStyle name="20% - Accent6 6" xfId="1063" xr:uid="{00000000-0005-0000-0000-0000B2030000}"/>
    <cellStyle name="20% - Accent6 6 2" xfId="3294" xr:uid="{00000000-0005-0000-0000-0000B3030000}"/>
    <cellStyle name="20% - Accent6 6 2 2" xfId="7517" xr:uid="{00000000-0005-0000-0000-0000B4030000}"/>
    <cellStyle name="20% - Accent6 6 2 2 2" xfId="15959" xr:uid="{833AE30F-B475-4716-A341-306A1EB8B9FA}"/>
    <cellStyle name="20% - Accent6 6 2 2 3" xfId="24399" xr:uid="{5439756C-C31B-46F4-88D2-8AA4562EF1A7}"/>
    <cellStyle name="20% - Accent6 6 2 3" xfId="11741" xr:uid="{B142DAC7-686A-4DB5-BCF9-D22C4AFCF78D}"/>
    <cellStyle name="20% - Accent6 6 2 4" xfId="20182" xr:uid="{51FBF4EA-424C-4B50-9713-DA6711E83359}"/>
    <cellStyle name="20% - Accent6 6 3" xfId="5372" xr:uid="{00000000-0005-0000-0000-0000B5030000}"/>
    <cellStyle name="20% - Accent6 6 3 2" xfId="13814" xr:uid="{CBFA0B1E-37CC-4D72-B502-5A2EEB671140}"/>
    <cellStyle name="20% - Accent6 6 3 3" xfId="22254" xr:uid="{2FD7BFE7-F71A-4BAD-BA51-E871967DDF2F}"/>
    <cellStyle name="20% - Accent6 6 4" xfId="9596" xr:uid="{CFB1DCAE-4530-48AB-BF81-31B1604195F5}"/>
    <cellStyle name="20% - Accent6 6 5" xfId="18037" xr:uid="{CA37CB4B-F008-4FBA-AC97-4BA984D16162}"/>
    <cellStyle name="20% - Accent6 7" xfId="1477" xr:uid="{00000000-0005-0000-0000-0000B6030000}"/>
    <cellStyle name="20% - Accent6 7 2" xfId="3707" xr:uid="{00000000-0005-0000-0000-0000B7030000}"/>
    <cellStyle name="20% - Accent6 7 2 2" xfId="7930" xr:uid="{00000000-0005-0000-0000-0000B8030000}"/>
    <cellStyle name="20% - Accent6 7 2 2 2" xfId="16372" xr:uid="{8E7B6B53-95A7-4879-BED3-41E76DF58DF8}"/>
    <cellStyle name="20% - Accent6 7 2 2 3" xfId="24812" xr:uid="{9DD0802E-83BF-41F1-9A9A-F21EF36B568D}"/>
    <cellStyle name="20% - Accent6 7 2 3" xfId="12154" xr:uid="{8224BE59-5A09-4850-ABE9-1D01EA069A74}"/>
    <cellStyle name="20% - Accent6 7 2 4" xfId="20595" xr:uid="{DD676B9F-E6EE-468C-8210-9DAAFB5BEF85}"/>
    <cellStyle name="20% - Accent6 7 3" xfId="5785" xr:uid="{00000000-0005-0000-0000-0000B9030000}"/>
    <cellStyle name="20% - Accent6 7 3 2" xfId="14227" xr:uid="{C999BBFB-894A-43A1-8576-C3465276C5BF}"/>
    <cellStyle name="20% - Accent6 7 3 3" xfId="22667" xr:uid="{B4F9B8CF-4A76-4FA6-8091-FEE2569C3D5E}"/>
    <cellStyle name="20% - Accent6 7 4" xfId="10009" xr:uid="{47407D56-445A-4D9E-A48D-A4911FA410A1}"/>
    <cellStyle name="20% - Accent6 7 5" xfId="18450" xr:uid="{DD233E0F-7123-45B2-AFE2-F615AF8A4D6E}"/>
    <cellStyle name="20% - Accent6 8" xfId="1891" xr:uid="{00000000-0005-0000-0000-0000BA030000}"/>
    <cellStyle name="20% - Accent6 8 2" xfId="4120" xr:uid="{00000000-0005-0000-0000-0000BB030000}"/>
    <cellStyle name="20% - Accent6 8 2 2" xfId="8343" xr:uid="{00000000-0005-0000-0000-0000BC030000}"/>
    <cellStyle name="20% - Accent6 8 2 2 2" xfId="16785" xr:uid="{16C62562-9C71-41BB-BDF4-1F9B870E98D4}"/>
    <cellStyle name="20% - Accent6 8 2 2 3" xfId="25225" xr:uid="{C5ACAD8C-B07A-4325-906F-C1E32B6D6B63}"/>
    <cellStyle name="20% - Accent6 8 2 3" xfId="12567" xr:uid="{68899AAC-D95B-423B-9739-AC2BEB317811}"/>
    <cellStyle name="20% - Accent6 8 2 4" xfId="21008" xr:uid="{9429263C-91E8-44B0-B7ED-2E3E0C54FF7B}"/>
    <cellStyle name="20% - Accent6 8 3" xfId="6198" xr:uid="{00000000-0005-0000-0000-0000BD030000}"/>
    <cellStyle name="20% - Accent6 8 3 2" xfId="14640" xr:uid="{2F49447C-B8C7-495C-9F2C-ED43F7803B0A}"/>
    <cellStyle name="20% - Accent6 8 3 3" xfId="23080" xr:uid="{ADC8DE0F-B598-4D71-8585-44F590FF2BFE}"/>
    <cellStyle name="20% - Accent6 8 4" xfId="10422" xr:uid="{04C0CA64-2FDD-456E-B2DD-D962B9122ADC}"/>
    <cellStyle name="20% - Accent6 8 5" xfId="18863" xr:uid="{91E24AAB-1E2E-41D4-8CFE-3EB74B5E3EF1}"/>
    <cellStyle name="20% - Accent6 9" xfId="2304" xr:uid="{00000000-0005-0000-0000-0000BE030000}"/>
    <cellStyle name="20% - Accent6 9 2" xfId="6611" xr:uid="{00000000-0005-0000-0000-0000BF030000}"/>
    <cellStyle name="20% - Accent6 9 2 2" xfId="15053" xr:uid="{A4F19BA3-B2FD-4A81-9B37-81A51FEC5BED}"/>
    <cellStyle name="20% - Accent6 9 2 3" xfId="23493" xr:uid="{5AEEEF15-DD4E-453E-B6C5-2164FB82EBC7}"/>
    <cellStyle name="20% - Accent6 9 3" xfId="10835" xr:uid="{CDE9A2B7-8FC8-4B33-B2F5-69D1C0884983}"/>
    <cellStyle name="20% - Accent6 9 4" xfId="19276" xr:uid="{7AFFF7F5-1EC3-4510-B774-DCCE6661AA81}"/>
    <cellStyle name="40% - Accent1" xfId="49" builtinId="31" customBuiltin="1"/>
    <cellStyle name="40% - Accent1 10" xfId="4553" xr:uid="{00000000-0005-0000-0000-0000C1030000}"/>
    <cellStyle name="40% - Accent1 10 2" xfId="12995" xr:uid="{67833E54-A76A-484A-A4FB-8505DA7CF25C}"/>
    <cellStyle name="40% - Accent1 10 3" xfId="21435" xr:uid="{413DCDC1-CB9E-48F2-A0EC-785ECCC73C47}"/>
    <cellStyle name="40% - Accent1 11" xfId="8777" xr:uid="{8013F82B-44A0-4C61-A44E-BE162DAD2D69}"/>
    <cellStyle name="40% - Accent1 12" xfId="17218" xr:uid="{102A6FEF-3D46-401F-93CC-E60387C776A7}"/>
    <cellStyle name="40% - Accent1 2" xfId="50" xr:uid="{00000000-0005-0000-0000-0000C2030000}"/>
    <cellStyle name="40% - Accent1 2 10" xfId="8778" xr:uid="{ADDC73BF-C95A-4963-8F23-EEE961C1A3E6}"/>
    <cellStyle name="40% - Accent1 2 11" xfId="17219" xr:uid="{740A094A-4553-4947-8BB4-5F4C0B76B1E4}"/>
    <cellStyle name="40% - Accent1 2 2" xfId="51" xr:uid="{00000000-0005-0000-0000-0000C3030000}"/>
    <cellStyle name="40% - Accent1 2 2 10" xfId="17220" xr:uid="{9004B7BC-AD66-4F78-A332-3B928E3065F7}"/>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15557" xr:uid="{CE9C0B73-0AB5-4D64-A7D0-1CCA42067B26}"/>
    <cellStyle name="40% - Accent1 2 2 2 2 2 2 3" xfId="23997" xr:uid="{938E996A-0674-4209-ACB0-D1404312B367}"/>
    <cellStyle name="40% - Accent1 2 2 2 2 2 3" xfId="11339" xr:uid="{F91FC145-1CC5-4D6B-B9D4-D15CF915C801}"/>
    <cellStyle name="40% - Accent1 2 2 2 2 2 4" xfId="19780" xr:uid="{5AC4FA4B-C270-4E9F-946A-534A54C912FC}"/>
    <cellStyle name="40% - Accent1 2 2 2 2 3" xfId="4970" xr:uid="{00000000-0005-0000-0000-0000C8030000}"/>
    <cellStyle name="40% - Accent1 2 2 2 2 3 2" xfId="13412" xr:uid="{B42ABDDB-8674-4507-ACCA-C436C9B8C9DD}"/>
    <cellStyle name="40% - Accent1 2 2 2 2 3 3" xfId="21852" xr:uid="{1C348C5F-CFDA-4CA5-BC84-57A04E5D606B}"/>
    <cellStyle name="40% - Accent1 2 2 2 2 4" xfId="9194" xr:uid="{61249EAB-B641-465B-B83F-3DA8FFE1A237}"/>
    <cellStyle name="40% - Accent1 2 2 2 2 5" xfId="17635" xr:uid="{C6245E9B-4417-49A4-99BF-8B9C8936BE38}"/>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15970" xr:uid="{9738DD46-4302-4F65-8238-B61858080C98}"/>
    <cellStyle name="40% - Accent1 2 2 2 3 2 2 3" xfId="24410" xr:uid="{C3C92BD2-8FF7-4214-81E1-846590CF9D28}"/>
    <cellStyle name="40% - Accent1 2 2 2 3 2 3" xfId="11752" xr:uid="{E252A721-1F26-4C6E-A8CA-84DA296EEACF}"/>
    <cellStyle name="40% - Accent1 2 2 2 3 2 4" xfId="20193" xr:uid="{E239BE26-4BEF-494D-91D6-97CB0EAC4FD6}"/>
    <cellStyle name="40% - Accent1 2 2 2 3 3" xfId="5383" xr:uid="{00000000-0005-0000-0000-0000CC030000}"/>
    <cellStyle name="40% - Accent1 2 2 2 3 3 2" xfId="13825" xr:uid="{EAD6ECC6-22F2-4B13-A278-28F6457AB56E}"/>
    <cellStyle name="40% - Accent1 2 2 2 3 3 3" xfId="22265" xr:uid="{4D4668F2-651A-4DDC-98C9-8C0420836A24}"/>
    <cellStyle name="40% - Accent1 2 2 2 3 4" xfId="9607" xr:uid="{D7859A04-3489-40FE-822D-BD66F9491287}"/>
    <cellStyle name="40% - Accent1 2 2 2 3 5" xfId="18048" xr:uid="{6198E812-68C1-4E48-84C2-D6FF62981BDC}"/>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16383" xr:uid="{A6D0F7D2-513B-4435-9893-C9852D19C286}"/>
    <cellStyle name="40% - Accent1 2 2 2 4 2 2 3" xfId="24823" xr:uid="{D9FC42D2-5FCB-4488-B08D-92845715A504}"/>
    <cellStyle name="40% - Accent1 2 2 2 4 2 3" xfId="12165" xr:uid="{054A29A4-2153-4F2F-859F-E17DF502E7BD}"/>
    <cellStyle name="40% - Accent1 2 2 2 4 2 4" xfId="20606" xr:uid="{720C84F2-968B-428C-8492-B039233C3438}"/>
    <cellStyle name="40% - Accent1 2 2 2 4 3" xfId="5796" xr:uid="{00000000-0005-0000-0000-0000D0030000}"/>
    <cellStyle name="40% - Accent1 2 2 2 4 3 2" xfId="14238" xr:uid="{A310BCF5-6D0B-42D9-9699-6E91B0F3431A}"/>
    <cellStyle name="40% - Accent1 2 2 2 4 3 3" xfId="22678" xr:uid="{A484DB94-B70B-40B5-A60E-B8299A7BA48D}"/>
    <cellStyle name="40% - Accent1 2 2 2 4 4" xfId="10020" xr:uid="{580F4711-0B95-4D4C-9C36-EE0D060443A2}"/>
    <cellStyle name="40% - Accent1 2 2 2 4 5" xfId="18461" xr:uid="{ACA4354B-FF1F-4032-B630-ED73BDF0BB1D}"/>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16796" xr:uid="{5F99586E-167B-4886-B957-F15F44B19B57}"/>
    <cellStyle name="40% - Accent1 2 2 2 5 2 2 3" xfId="25236" xr:uid="{6855C030-5E30-4894-BFBC-EF29FB52F74C}"/>
    <cellStyle name="40% - Accent1 2 2 2 5 2 3" xfId="12578" xr:uid="{80EB5523-B001-43A5-A5B1-2DD91D0996B0}"/>
    <cellStyle name="40% - Accent1 2 2 2 5 2 4" xfId="21019" xr:uid="{B794DBBB-98D7-4EB9-A334-BE52DF7F3B84}"/>
    <cellStyle name="40% - Accent1 2 2 2 5 3" xfId="6209" xr:uid="{00000000-0005-0000-0000-0000D4030000}"/>
    <cellStyle name="40% - Accent1 2 2 2 5 3 2" xfId="14651" xr:uid="{9E5E9E98-57C4-4CE3-A8F5-420212B39F1F}"/>
    <cellStyle name="40% - Accent1 2 2 2 5 3 3" xfId="23091" xr:uid="{FD7FEF88-3736-44B3-A48F-7A857D7A3301}"/>
    <cellStyle name="40% - Accent1 2 2 2 5 4" xfId="10433" xr:uid="{A9C0F8D2-772B-484D-92E4-282116C3DE80}"/>
    <cellStyle name="40% - Accent1 2 2 2 5 5" xfId="18874" xr:uid="{DFC24434-8EDF-4BE8-B60C-96FE4A56346F}"/>
    <cellStyle name="40% - Accent1 2 2 2 6" xfId="2315" xr:uid="{00000000-0005-0000-0000-0000D5030000}"/>
    <cellStyle name="40% - Accent1 2 2 2 6 2" xfId="6622" xr:uid="{00000000-0005-0000-0000-0000D6030000}"/>
    <cellStyle name="40% - Accent1 2 2 2 6 2 2" xfId="15064" xr:uid="{279FA0AB-81AD-467B-A1D2-CCA62C69CBD4}"/>
    <cellStyle name="40% - Accent1 2 2 2 6 2 3" xfId="23504" xr:uid="{13078C8A-A651-43F6-9A7C-D4768D2849EB}"/>
    <cellStyle name="40% - Accent1 2 2 2 6 3" xfId="10846" xr:uid="{96F1EF5B-949C-42BD-8EC1-F0B7CEC95049}"/>
    <cellStyle name="40% - Accent1 2 2 2 6 4" xfId="19287" xr:uid="{4B3CCD30-19A6-427D-ADF4-9798BB904550}"/>
    <cellStyle name="40% - Accent1 2 2 2 7" xfId="4556" xr:uid="{00000000-0005-0000-0000-0000D7030000}"/>
    <cellStyle name="40% - Accent1 2 2 2 7 2" xfId="12998" xr:uid="{3FE1B670-5A2C-4C87-AA0B-77C4A0D27395}"/>
    <cellStyle name="40% - Accent1 2 2 2 7 3" xfId="21438" xr:uid="{251128BD-D3D2-403B-8F79-CAFE510902BC}"/>
    <cellStyle name="40% - Accent1 2 2 2 8" xfId="8780" xr:uid="{BA9F42B1-B523-432E-830B-1483218D7696}"/>
    <cellStyle name="40% - Accent1 2 2 2 9" xfId="17221" xr:uid="{43650F62-6237-43D5-BCA3-E859C576438C}"/>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15556" xr:uid="{E2AFE584-6007-4421-BC4D-2E8ABA237F06}"/>
    <cellStyle name="40% - Accent1 2 2 3 2 2 3" xfId="23996" xr:uid="{B4D4C36E-3CA7-474E-9A83-6D13E56143A1}"/>
    <cellStyle name="40% - Accent1 2 2 3 2 3" xfId="11338" xr:uid="{EFD39D4B-2D54-42E4-B855-9988BE10BC3A}"/>
    <cellStyle name="40% - Accent1 2 2 3 2 4" xfId="19779" xr:uid="{9F1480A5-68C4-46B9-BDCE-56D7C0C6568D}"/>
    <cellStyle name="40% - Accent1 2 2 3 3" xfId="4969" xr:uid="{00000000-0005-0000-0000-0000DB030000}"/>
    <cellStyle name="40% - Accent1 2 2 3 3 2" xfId="13411" xr:uid="{69CF6F92-07DB-41DD-873A-A13EA965264F}"/>
    <cellStyle name="40% - Accent1 2 2 3 3 3" xfId="21851" xr:uid="{5A06E6AA-9310-4630-9686-62054B618FF7}"/>
    <cellStyle name="40% - Accent1 2 2 3 4" xfId="9193" xr:uid="{83227B86-9CB7-458F-9B08-624DD76F0F3D}"/>
    <cellStyle name="40% - Accent1 2 2 3 5" xfId="17634" xr:uid="{CA13BC87-C89B-4A3D-9471-B93A8FB646DB}"/>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15969" xr:uid="{ECD8C515-841F-4663-9208-8B26BF9B805C}"/>
    <cellStyle name="40% - Accent1 2 2 4 2 2 3" xfId="24409" xr:uid="{9C4D2C73-C998-4148-9484-5C7D615AAC1C}"/>
    <cellStyle name="40% - Accent1 2 2 4 2 3" xfId="11751" xr:uid="{23B1B93A-D83F-4A82-91AD-C73A61977675}"/>
    <cellStyle name="40% - Accent1 2 2 4 2 4" xfId="20192" xr:uid="{38D9A959-6367-42ED-B6D3-C67AF8EBF08A}"/>
    <cellStyle name="40% - Accent1 2 2 4 3" xfId="5382" xr:uid="{00000000-0005-0000-0000-0000DF030000}"/>
    <cellStyle name="40% - Accent1 2 2 4 3 2" xfId="13824" xr:uid="{0253151D-A457-4160-BA2A-FA4895E2CA76}"/>
    <cellStyle name="40% - Accent1 2 2 4 3 3" xfId="22264" xr:uid="{326A429C-D728-4F74-891E-C440D73BF6F9}"/>
    <cellStyle name="40% - Accent1 2 2 4 4" xfId="9606" xr:uid="{DE6ABDDF-5865-47B4-AF4E-C905E4BA9D51}"/>
    <cellStyle name="40% - Accent1 2 2 4 5" xfId="18047" xr:uid="{86A46C54-F260-45BA-8B38-F5C286413182}"/>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16382" xr:uid="{345CBBA6-DA4A-46E9-9033-D15CD3283C2A}"/>
    <cellStyle name="40% - Accent1 2 2 5 2 2 3" xfId="24822" xr:uid="{0127CD3C-67AF-4E6A-BD45-932DB2EFE511}"/>
    <cellStyle name="40% - Accent1 2 2 5 2 3" xfId="12164" xr:uid="{AD8D179A-BC13-40EF-A55B-E8CB12A85B33}"/>
    <cellStyle name="40% - Accent1 2 2 5 2 4" xfId="20605" xr:uid="{93943C5B-7306-4AB9-98CE-24100FAB2BBF}"/>
    <cellStyle name="40% - Accent1 2 2 5 3" xfId="5795" xr:uid="{00000000-0005-0000-0000-0000E3030000}"/>
    <cellStyle name="40% - Accent1 2 2 5 3 2" xfId="14237" xr:uid="{791F3A77-BB7F-4375-B6B4-9FA167CC068D}"/>
    <cellStyle name="40% - Accent1 2 2 5 3 3" xfId="22677" xr:uid="{8B9579F1-BF1E-4193-AE25-17A793652751}"/>
    <cellStyle name="40% - Accent1 2 2 5 4" xfId="10019" xr:uid="{A46C162A-07A1-4FA5-8381-130B61E0C775}"/>
    <cellStyle name="40% - Accent1 2 2 5 5" xfId="18460" xr:uid="{3DE6D8C6-5966-4C18-B66B-AF1FB499A5EB}"/>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16795" xr:uid="{245EA44D-3F3B-422A-95CE-C771B29EFBDE}"/>
    <cellStyle name="40% - Accent1 2 2 6 2 2 3" xfId="25235" xr:uid="{904B8F1A-47E6-4FF0-94C6-463762AAFE85}"/>
    <cellStyle name="40% - Accent1 2 2 6 2 3" xfId="12577" xr:uid="{870070D2-39AD-45B6-ACFC-8921FD693F77}"/>
    <cellStyle name="40% - Accent1 2 2 6 2 4" xfId="21018" xr:uid="{56593A4C-E93C-4B29-91FE-6CC4C694BB61}"/>
    <cellStyle name="40% - Accent1 2 2 6 3" xfId="6208" xr:uid="{00000000-0005-0000-0000-0000E7030000}"/>
    <cellStyle name="40% - Accent1 2 2 6 3 2" xfId="14650" xr:uid="{1C7ED3CE-E085-4945-B159-001AB676BFC4}"/>
    <cellStyle name="40% - Accent1 2 2 6 3 3" xfId="23090" xr:uid="{17A74A7D-0AC8-41E4-8735-D2A3DC56D68B}"/>
    <cellStyle name="40% - Accent1 2 2 6 4" xfId="10432" xr:uid="{EEF08463-9F0B-4B25-8B89-ED9E5B015480}"/>
    <cellStyle name="40% - Accent1 2 2 6 5" xfId="18873" xr:uid="{CC434BB6-9B64-416E-A1CD-7BE24C1D07CF}"/>
    <cellStyle name="40% - Accent1 2 2 7" xfId="2314" xr:uid="{00000000-0005-0000-0000-0000E8030000}"/>
    <cellStyle name="40% - Accent1 2 2 7 2" xfId="6621" xr:uid="{00000000-0005-0000-0000-0000E9030000}"/>
    <cellStyle name="40% - Accent1 2 2 7 2 2" xfId="15063" xr:uid="{A3E563DA-B896-44A5-A95C-ED843587E4E5}"/>
    <cellStyle name="40% - Accent1 2 2 7 2 3" xfId="23503" xr:uid="{4D7EBE62-5423-4766-9AB0-3ABF152E111D}"/>
    <cellStyle name="40% - Accent1 2 2 7 3" xfId="10845" xr:uid="{678B590C-85EB-43EF-A873-D38FEFBCC8CC}"/>
    <cellStyle name="40% - Accent1 2 2 7 4" xfId="19286" xr:uid="{736DAC84-C1FC-47F0-BF7B-D1D15667F799}"/>
    <cellStyle name="40% - Accent1 2 2 8" xfId="4555" xr:uid="{00000000-0005-0000-0000-0000EA030000}"/>
    <cellStyle name="40% - Accent1 2 2 8 2" xfId="12997" xr:uid="{5696C335-E749-41C9-ABA3-B0405BA85552}"/>
    <cellStyle name="40% - Accent1 2 2 8 3" xfId="21437" xr:uid="{894FE70A-8924-4359-A7DC-85AE69017C9E}"/>
    <cellStyle name="40% - Accent1 2 2 9" xfId="8779" xr:uid="{7AD5D99F-6E4A-498C-A34F-4D9F3A552428}"/>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15558" xr:uid="{96E159A6-9BC1-4A2A-AC5D-6FB9B63D15D1}"/>
    <cellStyle name="40% - Accent1 2 3 2 2 2 3" xfId="23998" xr:uid="{6E1E5BFE-ED03-41CB-A723-F3598A6287F1}"/>
    <cellStyle name="40% - Accent1 2 3 2 2 3" xfId="11340" xr:uid="{8B5FD5E5-A35A-427F-BCEB-4C4185F12A13}"/>
    <cellStyle name="40% - Accent1 2 3 2 2 4" xfId="19781" xr:uid="{BF323405-63F4-4D66-B54A-7E1715AA2EC5}"/>
    <cellStyle name="40% - Accent1 2 3 2 3" xfId="4971" xr:uid="{00000000-0005-0000-0000-0000EF030000}"/>
    <cellStyle name="40% - Accent1 2 3 2 3 2" xfId="13413" xr:uid="{61493ED6-ED14-4264-B630-A1A9692593A0}"/>
    <cellStyle name="40% - Accent1 2 3 2 3 3" xfId="21853" xr:uid="{77F80734-84D8-4FAF-BDF4-D5425B38FB46}"/>
    <cellStyle name="40% - Accent1 2 3 2 4" xfId="9195" xr:uid="{555CE915-AD93-4EC7-A44F-AE08BE805A49}"/>
    <cellStyle name="40% - Accent1 2 3 2 5" xfId="17636" xr:uid="{71F50908-9EBA-484F-8182-41889C09C7A0}"/>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15971" xr:uid="{D9E4F6F7-D7EC-4C38-8C54-DD8C0637C900}"/>
    <cellStyle name="40% - Accent1 2 3 3 2 2 3" xfId="24411" xr:uid="{BB670F0D-C3EB-4312-AD47-F79B7FDC3242}"/>
    <cellStyle name="40% - Accent1 2 3 3 2 3" xfId="11753" xr:uid="{C9456023-07EE-4E4F-9598-278F41FD853C}"/>
    <cellStyle name="40% - Accent1 2 3 3 2 4" xfId="20194" xr:uid="{2CFFB11E-0876-4E5F-83D7-57FDAE841D1A}"/>
    <cellStyle name="40% - Accent1 2 3 3 3" xfId="5384" xr:uid="{00000000-0005-0000-0000-0000F3030000}"/>
    <cellStyle name="40% - Accent1 2 3 3 3 2" xfId="13826" xr:uid="{3E7D162D-7E21-45EB-B27F-BE208704CE5C}"/>
    <cellStyle name="40% - Accent1 2 3 3 3 3" xfId="22266" xr:uid="{FD298295-9938-4513-A0EF-1BCA29D01CA0}"/>
    <cellStyle name="40% - Accent1 2 3 3 4" xfId="9608" xr:uid="{C6D81480-5B98-4FD1-B14E-0D061F954F4D}"/>
    <cellStyle name="40% - Accent1 2 3 3 5" xfId="18049" xr:uid="{DF0FF009-55DA-4329-ADD7-68AE113EFF67}"/>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16384" xr:uid="{CC0BACDE-69A0-4065-98F2-C5DD05A47C6B}"/>
    <cellStyle name="40% - Accent1 2 3 4 2 2 3" xfId="24824" xr:uid="{C8C1B417-BCDF-49E7-AB4A-D8298E0195CB}"/>
    <cellStyle name="40% - Accent1 2 3 4 2 3" xfId="12166" xr:uid="{F4CE3E8F-ACC7-4B50-A179-D41D80F64A5D}"/>
    <cellStyle name="40% - Accent1 2 3 4 2 4" xfId="20607" xr:uid="{9967D3C8-8C6E-4157-A996-F9FD882AC555}"/>
    <cellStyle name="40% - Accent1 2 3 4 3" xfId="5797" xr:uid="{00000000-0005-0000-0000-0000F7030000}"/>
    <cellStyle name="40% - Accent1 2 3 4 3 2" xfId="14239" xr:uid="{5CC01E7A-0F0A-41C9-8CB4-47CE4B701255}"/>
    <cellStyle name="40% - Accent1 2 3 4 3 3" xfId="22679" xr:uid="{9D9047EA-CDC2-4A40-A83B-B27899B06C03}"/>
    <cellStyle name="40% - Accent1 2 3 4 4" xfId="10021" xr:uid="{9D68A7C6-0A58-4002-9969-8BF1C449E4C7}"/>
    <cellStyle name="40% - Accent1 2 3 4 5" xfId="18462" xr:uid="{3A8355C9-FB75-4DEF-A41F-3BF8452DD51D}"/>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16797" xr:uid="{7DEA4CAC-4693-4CC0-8739-99A9A96C4020}"/>
    <cellStyle name="40% - Accent1 2 3 5 2 2 3" xfId="25237" xr:uid="{ED6F60C6-D033-4C25-B892-F1A4695B6AE8}"/>
    <cellStyle name="40% - Accent1 2 3 5 2 3" xfId="12579" xr:uid="{82F89C41-EB62-41E1-A783-9F8CB27AAFDE}"/>
    <cellStyle name="40% - Accent1 2 3 5 2 4" xfId="21020" xr:uid="{9C6E1BC8-FAB5-4D88-8B42-F020733D11F4}"/>
    <cellStyle name="40% - Accent1 2 3 5 3" xfId="6210" xr:uid="{00000000-0005-0000-0000-0000FB030000}"/>
    <cellStyle name="40% - Accent1 2 3 5 3 2" xfId="14652" xr:uid="{69164833-E714-47D6-8709-0639C982AA6A}"/>
    <cellStyle name="40% - Accent1 2 3 5 3 3" xfId="23092" xr:uid="{321536E4-1C65-4CB6-BCB8-B663F3AC8DBB}"/>
    <cellStyle name="40% - Accent1 2 3 5 4" xfId="10434" xr:uid="{98C3866D-7F4A-489A-AD4D-156D1340EEA7}"/>
    <cellStyle name="40% - Accent1 2 3 5 5" xfId="18875" xr:uid="{7799834C-B808-4C6A-811F-34948C535256}"/>
    <cellStyle name="40% - Accent1 2 3 6" xfId="2316" xr:uid="{00000000-0005-0000-0000-0000FC030000}"/>
    <cellStyle name="40% - Accent1 2 3 6 2" xfId="6623" xr:uid="{00000000-0005-0000-0000-0000FD030000}"/>
    <cellStyle name="40% - Accent1 2 3 6 2 2" xfId="15065" xr:uid="{0CC4A7D2-D419-4579-9592-B606B879A1CF}"/>
    <cellStyle name="40% - Accent1 2 3 6 2 3" xfId="23505" xr:uid="{EFE80B06-59F3-4A88-8E04-78714934F8E8}"/>
    <cellStyle name="40% - Accent1 2 3 6 3" xfId="10847" xr:uid="{4F9FACF9-CBD4-4F3C-A1BE-EB22C8FD2E61}"/>
    <cellStyle name="40% - Accent1 2 3 6 4" xfId="19288" xr:uid="{2D77866E-5359-4136-92B1-1E27E1B4A3A1}"/>
    <cellStyle name="40% - Accent1 2 3 7" xfId="4557" xr:uid="{00000000-0005-0000-0000-0000FE030000}"/>
    <cellStyle name="40% - Accent1 2 3 7 2" xfId="12999" xr:uid="{181B98A5-E986-4F36-9DF7-587DB98E988D}"/>
    <cellStyle name="40% - Accent1 2 3 7 3" xfId="21439" xr:uid="{9E0FDFD4-8A19-4300-93A2-53453E5CD445}"/>
    <cellStyle name="40% - Accent1 2 3 8" xfId="8781" xr:uid="{840339EC-BCE6-4638-A436-895B76062F8F}"/>
    <cellStyle name="40% - Accent1 2 3 9" xfId="17222" xr:uid="{26F9162D-EE73-411B-A3ED-B87582A7C2A6}"/>
    <cellStyle name="40% - Accent1 2 4" xfId="619" xr:uid="{00000000-0005-0000-0000-0000FF030000}"/>
    <cellStyle name="40% - Accent1 2 4 2" xfId="2890" xr:uid="{00000000-0005-0000-0000-000000040000}"/>
    <cellStyle name="40% - Accent1 2 4 2 2" xfId="7113" xr:uid="{00000000-0005-0000-0000-000001040000}"/>
    <cellStyle name="40% - Accent1 2 4 2 2 2" xfId="15555" xr:uid="{D67D6E29-305A-4C3A-B216-AE5A6D1EDD28}"/>
    <cellStyle name="40% - Accent1 2 4 2 2 3" xfId="23995" xr:uid="{809E44F0-11D1-4036-BDBD-9DB21C420505}"/>
    <cellStyle name="40% - Accent1 2 4 2 3" xfId="11337" xr:uid="{1829C8E2-C12D-4A9E-AD45-4B2D9C4F5A07}"/>
    <cellStyle name="40% - Accent1 2 4 2 4" xfId="19778" xr:uid="{65EBF888-D1AA-48EB-8507-00B07AC8CA35}"/>
    <cellStyle name="40% - Accent1 2 4 3" xfId="4968" xr:uid="{00000000-0005-0000-0000-000002040000}"/>
    <cellStyle name="40% - Accent1 2 4 3 2" xfId="13410" xr:uid="{BCFD7163-263B-4B93-BF83-923C0088F6CF}"/>
    <cellStyle name="40% - Accent1 2 4 3 3" xfId="21850" xr:uid="{E9C48AA9-BCE5-4829-942E-B0320ED33C93}"/>
    <cellStyle name="40% - Accent1 2 4 4" xfId="9192" xr:uid="{10C0B1F2-D4BA-436D-A623-52631497C93A}"/>
    <cellStyle name="40% - Accent1 2 4 5" xfId="17633" xr:uid="{9C3A0555-8D79-49B0-99C4-441420F6F37C}"/>
    <cellStyle name="40% - Accent1 2 5" xfId="1072" xr:uid="{00000000-0005-0000-0000-000003040000}"/>
    <cellStyle name="40% - Accent1 2 5 2" xfId="3303" xr:uid="{00000000-0005-0000-0000-000004040000}"/>
    <cellStyle name="40% - Accent1 2 5 2 2" xfId="7526" xr:uid="{00000000-0005-0000-0000-000005040000}"/>
    <cellStyle name="40% - Accent1 2 5 2 2 2" xfId="15968" xr:uid="{D31D181D-A9A1-4A05-B05A-F59B79B8B47F}"/>
    <cellStyle name="40% - Accent1 2 5 2 2 3" xfId="24408" xr:uid="{BD835B23-FE9B-4D27-B1C3-059516387BED}"/>
    <cellStyle name="40% - Accent1 2 5 2 3" xfId="11750" xr:uid="{8E2CC046-AFF2-4E10-8DB3-CB42EC5B82B0}"/>
    <cellStyle name="40% - Accent1 2 5 2 4" xfId="20191" xr:uid="{C699AB00-6BDC-4047-8DA4-2BCA45F91992}"/>
    <cellStyle name="40% - Accent1 2 5 3" xfId="5381" xr:uid="{00000000-0005-0000-0000-000006040000}"/>
    <cellStyle name="40% - Accent1 2 5 3 2" xfId="13823" xr:uid="{0F4F9F2A-BB31-452A-90D4-46B0709C919C}"/>
    <cellStyle name="40% - Accent1 2 5 3 3" xfId="22263" xr:uid="{3489503B-FC0C-4388-BF2E-56180A163EA5}"/>
    <cellStyle name="40% - Accent1 2 5 4" xfId="9605" xr:uid="{17F4457C-78D1-4EEE-9069-96626187E96F}"/>
    <cellStyle name="40% - Accent1 2 5 5" xfId="18046" xr:uid="{261ACC72-03FC-4669-BADA-D3CA9B6274C8}"/>
    <cellStyle name="40% - Accent1 2 6" xfId="1486" xr:uid="{00000000-0005-0000-0000-000007040000}"/>
    <cellStyle name="40% - Accent1 2 6 2" xfId="3716" xr:uid="{00000000-0005-0000-0000-000008040000}"/>
    <cellStyle name="40% - Accent1 2 6 2 2" xfId="7939" xr:uid="{00000000-0005-0000-0000-000009040000}"/>
    <cellStyle name="40% - Accent1 2 6 2 2 2" xfId="16381" xr:uid="{7979FD19-2C00-4CF2-BEEE-129CAED8BBAC}"/>
    <cellStyle name="40% - Accent1 2 6 2 2 3" xfId="24821" xr:uid="{B29196C2-EC34-49FA-AAEA-4EF9D9B020A7}"/>
    <cellStyle name="40% - Accent1 2 6 2 3" xfId="12163" xr:uid="{64107089-4B1F-4B70-932B-A37A409C5B54}"/>
    <cellStyle name="40% - Accent1 2 6 2 4" xfId="20604" xr:uid="{0033221A-7A74-4AE8-ACCF-0B54C9E28D81}"/>
    <cellStyle name="40% - Accent1 2 6 3" xfId="5794" xr:uid="{00000000-0005-0000-0000-00000A040000}"/>
    <cellStyle name="40% - Accent1 2 6 3 2" xfId="14236" xr:uid="{EF172D08-8A9C-464D-9DDA-C32A3B9668A7}"/>
    <cellStyle name="40% - Accent1 2 6 3 3" xfId="22676" xr:uid="{0A7304E6-4DD7-4A55-ABF5-FE5A0476E892}"/>
    <cellStyle name="40% - Accent1 2 6 4" xfId="10018" xr:uid="{D9EAACD8-F112-4F0B-959A-6916F02CD806}"/>
    <cellStyle name="40% - Accent1 2 6 5" xfId="18459" xr:uid="{3CA6BDF0-5E46-4740-909D-2320D47A9CCC}"/>
    <cellStyle name="40% - Accent1 2 7" xfId="1900" xr:uid="{00000000-0005-0000-0000-00000B040000}"/>
    <cellStyle name="40% - Accent1 2 7 2" xfId="4129" xr:uid="{00000000-0005-0000-0000-00000C040000}"/>
    <cellStyle name="40% - Accent1 2 7 2 2" xfId="8352" xr:uid="{00000000-0005-0000-0000-00000D040000}"/>
    <cellStyle name="40% - Accent1 2 7 2 2 2" xfId="16794" xr:uid="{22954898-14CC-4531-9188-17963BAEB6BF}"/>
    <cellStyle name="40% - Accent1 2 7 2 2 3" xfId="25234" xr:uid="{8A94C213-0054-4DDF-8AA7-4F46127ED67E}"/>
    <cellStyle name="40% - Accent1 2 7 2 3" xfId="12576" xr:uid="{836F9328-FB5D-4F5A-B22C-45E355E79774}"/>
    <cellStyle name="40% - Accent1 2 7 2 4" xfId="21017" xr:uid="{238A97F2-706A-4D62-A6EC-533906731058}"/>
    <cellStyle name="40% - Accent1 2 7 3" xfId="6207" xr:uid="{00000000-0005-0000-0000-00000E040000}"/>
    <cellStyle name="40% - Accent1 2 7 3 2" xfId="14649" xr:uid="{B814D690-2DE3-4F97-9227-6ADB5545FB0C}"/>
    <cellStyle name="40% - Accent1 2 7 3 3" xfId="23089" xr:uid="{736D7881-CDEF-4600-83EC-E64D155133BC}"/>
    <cellStyle name="40% - Accent1 2 7 4" xfId="10431" xr:uid="{DF40B487-54D1-4F8A-B845-F0A09E788042}"/>
    <cellStyle name="40% - Accent1 2 7 5" xfId="18872" xr:uid="{0D2CB2DA-94DE-4D60-B0D1-10BBF636B1B9}"/>
    <cellStyle name="40% - Accent1 2 8" xfId="2313" xr:uid="{00000000-0005-0000-0000-00000F040000}"/>
    <cellStyle name="40% - Accent1 2 8 2" xfId="6620" xr:uid="{00000000-0005-0000-0000-000010040000}"/>
    <cellStyle name="40% - Accent1 2 8 2 2" xfId="15062" xr:uid="{8F7B087B-9F52-4906-9E0E-A70ADA9EBC33}"/>
    <cellStyle name="40% - Accent1 2 8 2 3" xfId="23502" xr:uid="{8DDBAB6C-DF1A-4629-B773-AC349FFCF057}"/>
    <cellStyle name="40% - Accent1 2 8 3" xfId="10844" xr:uid="{7D4540E5-34A1-47DF-B401-4D334478DAF4}"/>
    <cellStyle name="40% - Accent1 2 8 4" xfId="19285" xr:uid="{D4D39E31-974F-41CA-9C83-572C87880BBC}"/>
    <cellStyle name="40% - Accent1 2 9" xfId="4554" xr:uid="{00000000-0005-0000-0000-000011040000}"/>
    <cellStyle name="40% - Accent1 2 9 2" xfId="12996" xr:uid="{61BA924A-E0DD-44B3-9CD1-EECAC6983D04}"/>
    <cellStyle name="40% - Accent1 2 9 3" xfId="21436" xr:uid="{B6356BD0-D815-41DB-B416-460CBE7A4AEF}"/>
    <cellStyle name="40% - Accent1 3" xfId="54" xr:uid="{00000000-0005-0000-0000-000012040000}"/>
    <cellStyle name="40% - Accent1 3 10" xfId="17223" xr:uid="{2126C07B-090B-40E9-9ADA-C4DCA60E876D}"/>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15560" xr:uid="{73190B45-3F41-4F48-A457-63F5FF364830}"/>
    <cellStyle name="40% - Accent1 3 2 2 2 2 3" xfId="24000" xr:uid="{C48AD868-CEC0-41C9-ACE0-608ECCDC3E8D}"/>
    <cellStyle name="40% - Accent1 3 2 2 2 3" xfId="11342" xr:uid="{B3578AE3-EF49-4B6C-B7E6-83A34681743B}"/>
    <cellStyle name="40% - Accent1 3 2 2 2 4" xfId="19783" xr:uid="{D67C8BB2-9EE3-4320-B15E-A73689147D64}"/>
    <cellStyle name="40% - Accent1 3 2 2 3" xfId="4973" xr:uid="{00000000-0005-0000-0000-000017040000}"/>
    <cellStyle name="40% - Accent1 3 2 2 3 2" xfId="13415" xr:uid="{095F0749-4062-477E-B4B7-8F8F69A6B4D9}"/>
    <cellStyle name="40% - Accent1 3 2 2 3 3" xfId="21855" xr:uid="{E2A6A66B-9C51-4E3B-9D44-5DC6A602E5B5}"/>
    <cellStyle name="40% - Accent1 3 2 2 4" xfId="9197" xr:uid="{AF7C574A-8562-405C-89A0-2AC51711FB73}"/>
    <cellStyle name="40% - Accent1 3 2 2 5" xfId="17638" xr:uid="{3CC13182-AC1B-4211-B41A-DE7C5275EC50}"/>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15973" xr:uid="{F8A793C4-7F93-4B14-B000-63DC1F410FDB}"/>
    <cellStyle name="40% - Accent1 3 2 3 2 2 3" xfId="24413" xr:uid="{B952479F-FD7B-4FFD-8D83-F0CA1D983ABE}"/>
    <cellStyle name="40% - Accent1 3 2 3 2 3" xfId="11755" xr:uid="{164DD329-F196-453A-B42B-E1CBDA931655}"/>
    <cellStyle name="40% - Accent1 3 2 3 2 4" xfId="20196" xr:uid="{AA19CD2B-70F2-4FAE-9430-09A9142B8466}"/>
    <cellStyle name="40% - Accent1 3 2 3 3" xfId="5386" xr:uid="{00000000-0005-0000-0000-00001B040000}"/>
    <cellStyle name="40% - Accent1 3 2 3 3 2" xfId="13828" xr:uid="{3BB15A43-6247-4547-9EE8-72AED82458D6}"/>
    <cellStyle name="40% - Accent1 3 2 3 3 3" xfId="22268" xr:uid="{0A773D69-A036-4955-A955-1D69B4920939}"/>
    <cellStyle name="40% - Accent1 3 2 3 4" xfId="9610" xr:uid="{B8E0372E-62E4-4A07-99CA-8F9FF5D6102B}"/>
    <cellStyle name="40% - Accent1 3 2 3 5" xfId="18051" xr:uid="{9B9FF84A-0336-4AD8-AC93-56956F2F6173}"/>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16386" xr:uid="{D1FC080F-096D-4268-A624-9664E5925C6D}"/>
    <cellStyle name="40% - Accent1 3 2 4 2 2 3" xfId="24826" xr:uid="{F919B7D9-6F4C-4D2F-B668-737154CBAC25}"/>
    <cellStyle name="40% - Accent1 3 2 4 2 3" xfId="12168" xr:uid="{CB1C2D29-8593-40EB-ABD1-A9447B8B7E8C}"/>
    <cellStyle name="40% - Accent1 3 2 4 2 4" xfId="20609" xr:uid="{C93A0995-48D9-4B23-AEB3-C265DF4F7681}"/>
    <cellStyle name="40% - Accent1 3 2 4 3" xfId="5799" xr:uid="{00000000-0005-0000-0000-00001F040000}"/>
    <cellStyle name="40% - Accent1 3 2 4 3 2" xfId="14241" xr:uid="{6A3BBD9C-8E6A-4292-9B8D-A52B1017F400}"/>
    <cellStyle name="40% - Accent1 3 2 4 3 3" xfId="22681" xr:uid="{54C8FC68-F394-401E-BF2C-E9CF2ADDDE93}"/>
    <cellStyle name="40% - Accent1 3 2 4 4" xfId="10023" xr:uid="{A25D9011-4496-49A8-BEB7-B99D379E1845}"/>
    <cellStyle name="40% - Accent1 3 2 4 5" xfId="18464" xr:uid="{89E691C7-63F0-4360-A5D4-EE36F7806947}"/>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16799" xr:uid="{85C32CEB-94A0-4259-9D80-D00C44A813B5}"/>
    <cellStyle name="40% - Accent1 3 2 5 2 2 3" xfId="25239" xr:uid="{9350E0AD-9909-4815-956F-E7996E3E8CC3}"/>
    <cellStyle name="40% - Accent1 3 2 5 2 3" xfId="12581" xr:uid="{289E9BDC-35F5-4DFE-8D65-B7A4BBB225B2}"/>
    <cellStyle name="40% - Accent1 3 2 5 2 4" xfId="21022" xr:uid="{27A5B779-4FB5-4D82-B631-B80DA861ECA1}"/>
    <cellStyle name="40% - Accent1 3 2 5 3" xfId="6212" xr:uid="{00000000-0005-0000-0000-000023040000}"/>
    <cellStyle name="40% - Accent1 3 2 5 3 2" xfId="14654" xr:uid="{1C36CC34-97DA-4E26-87F2-62EBB2284056}"/>
    <cellStyle name="40% - Accent1 3 2 5 3 3" xfId="23094" xr:uid="{B0C02D87-AD34-4162-A7E8-3AF67C5CBFCC}"/>
    <cellStyle name="40% - Accent1 3 2 5 4" xfId="10436" xr:uid="{51E690BC-10F6-4B53-AD81-1DD21CDB5927}"/>
    <cellStyle name="40% - Accent1 3 2 5 5" xfId="18877" xr:uid="{4F3BA5B4-0E99-4C9B-87A2-C2C9DEA81D33}"/>
    <cellStyle name="40% - Accent1 3 2 6" xfId="2318" xr:uid="{00000000-0005-0000-0000-000024040000}"/>
    <cellStyle name="40% - Accent1 3 2 6 2" xfId="6625" xr:uid="{00000000-0005-0000-0000-000025040000}"/>
    <cellStyle name="40% - Accent1 3 2 6 2 2" xfId="15067" xr:uid="{8778E042-AEF6-45E8-A2DD-624EAFBDA021}"/>
    <cellStyle name="40% - Accent1 3 2 6 2 3" xfId="23507" xr:uid="{33F6193A-00E4-4F8E-950F-CEB477BB1184}"/>
    <cellStyle name="40% - Accent1 3 2 6 3" xfId="10849" xr:uid="{C366732F-16FB-44AB-87FE-9FF01388CA09}"/>
    <cellStyle name="40% - Accent1 3 2 6 4" xfId="19290" xr:uid="{B9A06E3D-0841-4C40-93AB-5C187313B785}"/>
    <cellStyle name="40% - Accent1 3 2 7" xfId="4559" xr:uid="{00000000-0005-0000-0000-000026040000}"/>
    <cellStyle name="40% - Accent1 3 2 7 2" xfId="13001" xr:uid="{AFE9B887-287C-4AAE-840A-D8320C8125DC}"/>
    <cellStyle name="40% - Accent1 3 2 7 3" xfId="21441" xr:uid="{0862062C-6E94-49E3-9312-B3CA0B503FF4}"/>
    <cellStyle name="40% - Accent1 3 2 8" xfId="8783" xr:uid="{8F4E7840-2CCE-424B-96D0-3D42C8F77612}"/>
    <cellStyle name="40% - Accent1 3 2 9" xfId="17224" xr:uid="{59DB7E49-983E-4150-B4A0-A7D9F7C89C45}"/>
    <cellStyle name="40% - Accent1 3 3" xfId="623" xr:uid="{00000000-0005-0000-0000-000027040000}"/>
    <cellStyle name="40% - Accent1 3 3 2" xfId="2894" xr:uid="{00000000-0005-0000-0000-000028040000}"/>
    <cellStyle name="40% - Accent1 3 3 2 2" xfId="7117" xr:uid="{00000000-0005-0000-0000-000029040000}"/>
    <cellStyle name="40% - Accent1 3 3 2 2 2" xfId="15559" xr:uid="{D02815B4-8B9D-4341-B4EB-12F5C83CC408}"/>
    <cellStyle name="40% - Accent1 3 3 2 2 3" xfId="23999" xr:uid="{0E5BE81D-558B-4D8A-B87F-FA0E8F21465A}"/>
    <cellStyle name="40% - Accent1 3 3 2 3" xfId="11341" xr:uid="{6F273568-1BED-4599-9385-786E5E712311}"/>
    <cellStyle name="40% - Accent1 3 3 2 4" xfId="19782" xr:uid="{044E2AC0-DFD3-4673-A793-50296F8083DF}"/>
    <cellStyle name="40% - Accent1 3 3 3" xfId="4972" xr:uid="{00000000-0005-0000-0000-00002A040000}"/>
    <cellStyle name="40% - Accent1 3 3 3 2" xfId="13414" xr:uid="{F31C2CD9-CF9B-4748-9C21-E5FE5223BA38}"/>
    <cellStyle name="40% - Accent1 3 3 3 3" xfId="21854" xr:uid="{497A6118-7952-4D23-88FF-B51831B5BAA5}"/>
    <cellStyle name="40% - Accent1 3 3 4" xfId="9196" xr:uid="{21ECC2FB-3B9D-43ED-8CBC-9810B97AC5D9}"/>
    <cellStyle name="40% - Accent1 3 3 5" xfId="17637" xr:uid="{438D49A7-2495-4A44-B246-60C10B415205}"/>
    <cellStyle name="40% - Accent1 3 4" xfId="1076" xr:uid="{00000000-0005-0000-0000-00002B040000}"/>
    <cellStyle name="40% - Accent1 3 4 2" xfId="3307" xr:uid="{00000000-0005-0000-0000-00002C040000}"/>
    <cellStyle name="40% - Accent1 3 4 2 2" xfId="7530" xr:uid="{00000000-0005-0000-0000-00002D040000}"/>
    <cellStyle name="40% - Accent1 3 4 2 2 2" xfId="15972" xr:uid="{7C4CEC82-7D28-46FF-B1CE-77C2D904B5DB}"/>
    <cellStyle name="40% - Accent1 3 4 2 2 3" xfId="24412" xr:uid="{79F4ACF2-B5B4-429D-84B4-233E8F89A5FA}"/>
    <cellStyle name="40% - Accent1 3 4 2 3" xfId="11754" xr:uid="{18E21BB3-EEDC-4F6C-B597-FF08F0B4C055}"/>
    <cellStyle name="40% - Accent1 3 4 2 4" xfId="20195" xr:uid="{12382DAC-CE51-4FD6-8EAE-03E0302F197D}"/>
    <cellStyle name="40% - Accent1 3 4 3" xfId="5385" xr:uid="{00000000-0005-0000-0000-00002E040000}"/>
    <cellStyle name="40% - Accent1 3 4 3 2" xfId="13827" xr:uid="{730541F2-B387-4724-91F4-FBAF0091C65A}"/>
    <cellStyle name="40% - Accent1 3 4 3 3" xfId="22267" xr:uid="{09636046-CB5A-4368-AB9A-C6419BC517EA}"/>
    <cellStyle name="40% - Accent1 3 4 4" xfId="9609" xr:uid="{2CAE3490-2958-4C9D-BC5C-F31C1D74496E}"/>
    <cellStyle name="40% - Accent1 3 4 5" xfId="18050" xr:uid="{2CE145E5-CCCB-48AE-A60C-119E7A658A9E}"/>
    <cellStyle name="40% - Accent1 3 5" xfId="1490" xr:uid="{00000000-0005-0000-0000-00002F040000}"/>
    <cellStyle name="40% - Accent1 3 5 2" xfId="3720" xr:uid="{00000000-0005-0000-0000-000030040000}"/>
    <cellStyle name="40% - Accent1 3 5 2 2" xfId="7943" xr:uid="{00000000-0005-0000-0000-000031040000}"/>
    <cellStyle name="40% - Accent1 3 5 2 2 2" xfId="16385" xr:uid="{B1B4C884-01CF-4A80-AAC2-9957AAE20D9A}"/>
    <cellStyle name="40% - Accent1 3 5 2 2 3" xfId="24825" xr:uid="{F136E7BD-5995-4CB8-A1B4-A262EE381207}"/>
    <cellStyle name="40% - Accent1 3 5 2 3" xfId="12167" xr:uid="{60B2CB82-2DD6-4C46-8066-52AC52A5DD51}"/>
    <cellStyle name="40% - Accent1 3 5 2 4" xfId="20608" xr:uid="{29DB5797-B49F-445C-AA47-430E1DFD6463}"/>
    <cellStyle name="40% - Accent1 3 5 3" xfId="5798" xr:uid="{00000000-0005-0000-0000-000032040000}"/>
    <cellStyle name="40% - Accent1 3 5 3 2" xfId="14240" xr:uid="{26AB37C5-51F6-43E6-B8BA-5B6E79DA72E2}"/>
    <cellStyle name="40% - Accent1 3 5 3 3" xfId="22680" xr:uid="{C7A35219-4A51-4DBC-A66E-E92CAF1C2293}"/>
    <cellStyle name="40% - Accent1 3 5 4" xfId="10022" xr:uid="{7FA6635C-E74C-49AC-809C-196AC17476E5}"/>
    <cellStyle name="40% - Accent1 3 5 5" xfId="18463" xr:uid="{898768B1-D4B2-4774-BD01-C59A465BEB42}"/>
    <cellStyle name="40% - Accent1 3 6" xfId="1904" xr:uid="{00000000-0005-0000-0000-000033040000}"/>
    <cellStyle name="40% - Accent1 3 6 2" xfId="4133" xr:uid="{00000000-0005-0000-0000-000034040000}"/>
    <cellStyle name="40% - Accent1 3 6 2 2" xfId="8356" xr:uid="{00000000-0005-0000-0000-000035040000}"/>
    <cellStyle name="40% - Accent1 3 6 2 2 2" xfId="16798" xr:uid="{CA858434-0331-4C0A-AB2E-F2EECCFAF6AA}"/>
    <cellStyle name="40% - Accent1 3 6 2 2 3" xfId="25238" xr:uid="{2D45340F-1C52-4E92-9892-596E5D4B92F0}"/>
    <cellStyle name="40% - Accent1 3 6 2 3" xfId="12580" xr:uid="{75ECDF7B-65CB-4225-9171-6D15D11026CA}"/>
    <cellStyle name="40% - Accent1 3 6 2 4" xfId="21021" xr:uid="{82C6DD4E-71A7-4405-9844-0912DE1D7935}"/>
    <cellStyle name="40% - Accent1 3 6 3" xfId="6211" xr:uid="{00000000-0005-0000-0000-000036040000}"/>
    <cellStyle name="40% - Accent1 3 6 3 2" xfId="14653" xr:uid="{A7E2F865-00DC-42F6-BFDA-E1B8F9319928}"/>
    <cellStyle name="40% - Accent1 3 6 3 3" xfId="23093" xr:uid="{64FB413B-B64D-42E4-A645-508C51E65A88}"/>
    <cellStyle name="40% - Accent1 3 6 4" xfId="10435" xr:uid="{F2012F1C-04C1-4F7F-855C-04C19D3B8338}"/>
    <cellStyle name="40% - Accent1 3 6 5" xfId="18876" xr:uid="{511100A1-AD16-4525-9214-9F8B13BFC8BC}"/>
    <cellStyle name="40% - Accent1 3 7" xfId="2317" xr:uid="{00000000-0005-0000-0000-000037040000}"/>
    <cellStyle name="40% - Accent1 3 7 2" xfId="6624" xr:uid="{00000000-0005-0000-0000-000038040000}"/>
    <cellStyle name="40% - Accent1 3 7 2 2" xfId="15066" xr:uid="{357CC3C8-11E5-4545-9D3C-97E8EB579B94}"/>
    <cellStyle name="40% - Accent1 3 7 2 3" xfId="23506" xr:uid="{F9E2F0EA-91BD-468E-9846-581B168A2E65}"/>
    <cellStyle name="40% - Accent1 3 7 3" xfId="10848" xr:uid="{E8EED2A7-B0AF-4D93-AB4C-5EEEA219749E}"/>
    <cellStyle name="40% - Accent1 3 7 4" xfId="19289" xr:uid="{3F504603-A3D4-4DED-B9E8-2955AA8464C0}"/>
    <cellStyle name="40% - Accent1 3 8" xfId="4558" xr:uid="{00000000-0005-0000-0000-000039040000}"/>
    <cellStyle name="40% - Accent1 3 8 2" xfId="13000" xr:uid="{68DB683A-6262-4833-B22A-DCECE2AC1F60}"/>
    <cellStyle name="40% - Accent1 3 8 3" xfId="21440" xr:uid="{0B810CDE-8DE8-4C05-868B-DA60401EF431}"/>
    <cellStyle name="40% - Accent1 3 9" xfId="8782" xr:uid="{C36D6D44-1F1B-4B07-8E12-41CBFF599B57}"/>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2 2 2" xfId="15561" xr:uid="{054FD2FF-5C92-489C-866A-7B05966821FC}"/>
    <cellStyle name="40% - Accent1 4 2 2 2 3" xfId="24001" xr:uid="{4B404EC9-CBFD-4403-81D1-DA621915A175}"/>
    <cellStyle name="40% - Accent1 4 2 2 3" xfId="11343" xr:uid="{D775809D-2B4E-4F62-88C6-52904C3EDE0A}"/>
    <cellStyle name="40% - Accent1 4 2 2 4" xfId="19784" xr:uid="{4D3EC1A4-C0D4-47FA-8C4E-D57BB905726C}"/>
    <cellStyle name="40% - Accent1 4 2 3" xfId="4974" xr:uid="{00000000-0005-0000-0000-00003E040000}"/>
    <cellStyle name="40% - Accent1 4 2 3 2" xfId="13416" xr:uid="{D185F824-8654-4A48-BF02-E39D14589026}"/>
    <cellStyle name="40% - Accent1 4 2 3 3" xfId="21856" xr:uid="{1963CE76-06EC-454F-8413-BE2F4DDADD89}"/>
    <cellStyle name="40% - Accent1 4 2 4" xfId="9198" xr:uid="{A7F34D6A-B961-4AAE-BA11-B59D07F542D0}"/>
    <cellStyle name="40% - Accent1 4 2 5" xfId="17639" xr:uid="{0FB49A9C-4AFC-4FF8-8299-3583DAE348C2}"/>
    <cellStyle name="40% - Accent1 4 3" xfId="1078" xr:uid="{00000000-0005-0000-0000-00003F040000}"/>
    <cellStyle name="40% - Accent1 4 3 2" xfId="3309" xr:uid="{00000000-0005-0000-0000-000040040000}"/>
    <cellStyle name="40% - Accent1 4 3 2 2" xfId="7532" xr:uid="{00000000-0005-0000-0000-000041040000}"/>
    <cellStyle name="40% - Accent1 4 3 2 2 2" xfId="15974" xr:uid="{49F758DB-2FE3-49F5-82B7-E8B1EC457478}"/>
    <cellStyle name="40% - Accent1 4 3 2 2 3" xfId="24414" xr:uid="{B981CC83-3FF5-4D06-9D7D-B63B96666537}"/>
    <cellStyle name="40% - Accent1 4 3 2 3" xfId="11756" xr:uid="{EED1BC6F-AD3A-4AC0-A37B-6EB09FA74417}"/>
    <cellStyle name="40% - Accent1 4 3 2 4" xfId="20197" xr:uid="{12CE043E-A295-4BDE-9FDE-8EE92B5E690E}"/>
    <cellStyle name="40% - Accent1 4 3 3" xfId="5387" xr:uid="{00000000-0005-0000-0000-000042040000}"/>
    <cellStyle name="40% - Accent1 4 3 3 2" xfId="13829" xr:uid="{DCC347F8-8C8C-4CC8-8889-CA911A3E50F3}"/>
    <cellStyle name="40% - Accent1 4 3 3 3" xfId="22269" xr:uid="{D8B227DE-79A8-4303-A158-5EF34092AEF9}"/>
    <cellStyle name="40% - Accent1 4 3 4" xfId="9611" xr:uid="{0AE202AF-F72C-48EB-85FE-D6020F16AFF7}"/>
    <cellStyle name="40% - Accent1 4 3 5" xfId="18052" xr:uid="{714D5E62-74B5-4834-8E62-5B614E6829F1}"/>
    <cellStyle name="40% - Accent1 4 4" xfId="1492" xr:uid="{00000000-0005-0000-0000-000043040000}"/>
    <cellStyle name="40% - Accent1 4 4 2" xfId="3722" xr:uid="{00000000-0005-0000-0000-000044040000}"/>
    <cellStyle name="40% - Accent1 4 4 2 2" xfId="7945" xr:uid="{00000000-0005-0000-0000-000045040000}"/>
    <cellStyle name="40% - Accent1 4 4 2 2 2" xfId="16387" xr:uid="{8C35C7F6-D2D2-4BF0-A2FD-8F556D60398F}"/>
    <cellStyle name="40% - Accent1 4 4 2 2 3" xfId="24827" xr:uid="{0683F9E4-AA5D-42D7-9292-633F22FAACA4}"/>
    <cellStyle name="40% - Accent1 4 4 2 3" xfId="12169" xr:uid="{7975081A-EDD0-487D-BE81-4C558CE90D24}"/>
    <cellStyle name="40% - Accent1 4 4 2 4" xfId="20610" xr:uid="{2D8AC5AE-58CE-4284-8E0A-49E8A99EB94F}"/>
    <cellStyle name="40% - Accent1 4 4 3" xfId="5800" xr:uid="{00000000-0005-0000-0000-000046040000}"/>
    <cellStyle name="40% - Accent1 4 4 3 2" xfId="14242" xr:uid="{1CE9DAAC-24B6-4B2D-AC54-C793E3DD1ED0}"/>
    <cellStyle name="40% - Accent1 4 4 3 3" xfId="22682" xr:uid="{1107C6A7-8C17-48CE-8C32-A91DB65288D9}"/>
    <cellStyle name="40% - Accent1 4 4 4" xfId="10024" xr:uid="{7104DAE6-92FC-42E6-884A-99631A1A1224}"/>
    <cellStyle name="40% - Accent1 4 4 5" xfId="18465" xr:uid="{D189A938-68EA-408D-A6FB-8F6178DFF730}"/>
    <cellStyle name="40% - Accent1 4 5" xfId="1906" xr:uid="{00000000-0005-0000-0000-000047040000}"/>
    <cellStyle name="40% - Accent1 4 5 2" xfId="4135" xr:uid="{00000000-0005-0000-0000-000048040000}"/>
    <cellStyle name="40% - Accent1 4 5 2 2" xfId="8358" xr:uid="{00000000-0005-0000-0000-000049040000}"/>
    <cellStyle name="40% - Accent1 4 5 2 2 2" xfId="16800" xr:uid="{2FD34889-32D1-47D3-AA1C-270515EE2890}"/>
    <cellStyle name="40% - Accent1 4 5 2 2 3" xfId="25240" xr:uid="{B89E2A06-3F50-47C8-B560-58BE99335AAB}"/>
    <cellStyle name="40% - Accent1 4 5 2 3" xfId="12582" xr:uid="{B230B306-9E5D-4904-ACC8-C1B4D4940F63}"/>
    <cellStyle name="40% - Accent1 4 5 2 4" xfId="21023" xr:uid="{0EB33B33-8DA3-43E1-80FA-9D88DAD07423}"/>
    <cellStyle name="40% - Accent1 4 5 3" xfId="6213" xr:uid="{00000000-0005-0000-0000-00004A040000}"/>
    <cellStyle name="40% - Accent1 4 5 3 2" xfId="14655" xr:uid="{58A2268B-3AC1-405A-B33B-D7FEF6D85E0C}"/>
    <cellStyle name="40% - Accent1 4 5 3 3" xfId="23095" xr:uid="{18AD5212-D6C3-4622-A8E2-5C06259173CA}"/>
    <cellStyle name="40% - Accent1 4 5 4" xfId="10437" xr:uid="{E180FE84-F9B5-4EC2-A512-E6AC424A315C}"/>
    <cellStyle name="40% - Accent1 4 5 5" xfId="18878" xr:uid="{016E018B-6B4B-4CB1-8555-E871BA9665A1}"/>
    <cellStyle name="40% - Accent1 4 6" xfId="2319" xr:uid="{00000000-0005-0000-0000-00004B040000}"/>
    <cellStyle name="40% - Accent1 4 6 2" xfId="6626" xr:uid="{00000000-0005-0000-0000-00004C040000}"/>
    <cellStyle name="40% - Accent1 4 6 2 2" xfId="15068" xr:uid="{B4331AF5-B0E8-4B06-AE73-E8E164A0014B}"/>
    <cellStyle name="40% - Accent1 4 6 2 3" xfId="23508" xr:uid="{0937AC3F-A70D-4341-AEAF-2FD4FCD1561F}"/>
    <cellStyle name="40% - Accent1 4 6 3" xfId="10850" xr:uid="{E0862B2B-59FD-4D1D-8D37-2CD23C4ECD64}"/>
    <cellStyle name="40% - Accent1 4 6 4" xfId="19291" xr:uid="{788F1BF0-A2AA-4E8E-B0E4-C131ED985467}"/>
    <cellStyle name="40% - Accent1 4 7" xfId="4560" xr:uid="{00000000-0005-0000-0000-00004D040000}"/>
    <cellStyle name="40% - Accent1 4 7 2" xfId="13002" xr:uid="{BE0AC974-BB27-44B5-8FEE-B4A2C7C3BBB8}"/>
    <cellStyle name="40% - Accent1 4 7 3" xfId="21442" xr:uid="{A6623B3A-28E4-48D6-8A86-70D69831E21E}"/>
    <cellStyle name="40% - Accent1 4 8" xfId="8784" xr:uid="{BC728C4C-A49B-451D-82C7-E7DC5B3EF9EC}"/>
    <cellStyle name="40% - Accent1 4 9" xfId="17225" xr:uid="{FC6D6AFC-889F-4AE4-9740-7D1D8116C68C}"/>
    <cellStyle name="40% - Accent1 5" xfId="618" xr:uid="{00000000-0005-0000-0000-00004E040000}"/>
    <cellStyle name="40% - Accent1 5 2" xfId="2889" xr:uid="{00000000-0005-0000-0000-00004F040000}"/>
    <cellStyle name="40% - Accent1 5 2 2" xfId="7112" xr:uid="{00000000-0005-0000-0000-000050040000}"/>
    <cellStyle name="40% - Accent1 5 2 2 2" xfId="15554" xr:uid="{A9709F08-962D-47B1-B941-E6C14956E24E}"/>
    <cellStyle name="40% - Accent1 5 2 2 3" xfId="23994" xr:uid="{9007D7E4-CC60-4D60-AE01-93C0469D069D}"/>
    <cellStyle name="40% - Accent1 5 2 3" xfId="11336" xr:uid="{C90A3890-711C-4D38-95A2-66ABD04110F9}"/>
    <cellStyle name="40% - Accent1 5 2 4" xfId="19777" xr:uid="{2E55810E-B799-40AA-819E-37CED18C31E1}"/>
    <cellStyle name="40% - Accent1 5 3" xfId="4967" xr:uid="{00000000-0005-0000-0000-000051040000}"/>
    <cellStyle name="40% - Accent1 5 3 2" xfId="13409" xr:uid="{71028D4D-B7F8-4FB4-B494-C4CA805FFEB7}"/>
    <cellStyle name="40% - Accent1 5 3 3" xfId="21849" xr:uid="{47F66AA6-0B2F-43F3-90AF-FE7CE8BEC507}"/>
    <cellStyle name="40% - Accent1 5 4" xfId="9191" xr:uid="{11596EEA-C1E3-467E-AECB-D516B5E17598}"/>
    <cellStyle name="40% - Accent1 5 5" xfId="17632" xr:uid="{E2AEA1EF-4744-4C6D-A657-71C444226961}"/>
    <cellStyle name="40% - Accent1 6" xfId="1071" xr:uid="{00000000-0005-0000-0000-000052040000}"/>
    <cellStyle name="40% - Accent1 6 2" xfId="3302" xr:uid="{00000000-0005-0000-0000-000053040000}"/>
    <cellStyle name="40% - Accent1 6 2 2" xfId="7525" xr:uid="{00000000-0005-0000-0000-000054040000}"/>
    <cellStyle name="40% - Accent1 6 2 2 2" xfId="15967" xr:uid="{DD925913-A2FB-4BE6-B4B4-3540F82109FD}"/>
    <cellStyle name="40% - Accent1 6 2 2 3" xfId="24407" xr:uid="{F88766DA-13A0-4EFB-9B33-22B463BA2502}"/>
    <cellStyle name="40% - Accent1 6 2 3" xfId="11749" xr:uid="{8AD0A5A9-8A1E-4134-868F-889A3476D4FE}"/>
    <cellStyle name="40% - Accent1 6 2 4" xfId="20190" xr:uid="{0D99B1CA-10FD-41A6-ABF0-1F52F3CA1BF8}"/>
    <cellStyle name="40% - Accent1 6 3" xfId="5380" xr:uid="{00000000-0005-0000-0000-000055040000}"/>
    <cellStyle name="40% - Accent1 6 3 2" xfId="13822" xr:uid="{6A61C494-3BDF-4EA5-8D18-40A4B45C89F2}"/>
    <cellStyle name="40% - Accent1 6 3 3" xfId="22262" xr:uid="{E70AA43C-BF40-4EFA-9B75-EA1B4573A30F}"/>
    <cellStyle name="40% - Accent1 6 4" xfId="9604" xr:uid="{3CD1DED9-68EE-4D06-BB2F-2533F1574A88}"/>
    <cellStyle name="40% - Accent1 6 5" xfId="18045" xr:uid="{7522D454-B577-4A1B-91D5-38AF5B3A7714}"/>
    <cellStyle name="40% - Accent1 7" xfId="1485" xr:uid="{00000000-0005-0000-0000-000056040000}"/>
    <cellStyle name="40% - Accent1 7 2" xfId="3715" xr:uid="{00000000-0005-0000-0000-000057040000}"/>
    <cellStyle name="40% - Accent1 7 2 2" xfId="7938" xr:uid="{00000000-0005-0000-0000-000058040000}"/>
    <cellStyle name="40% - Accent1 7 2 2 2" xfId="16380" xr:uid="{27073352-46A5-4B4B-857C-B874F3CCB238}"/>
    <cellStyle name="40% - Accent1 7 2 2 3" xfId="24820" xr:uid="{D31091D5-4EF5-4498-BD66-815F9A3D8E38}"/>
    <cellStyle name="40% - Accent1 7 2 3" xfId="12162" xr:uid="{8E62583A-9D7E-469D-8BC3-060DC935BB1B}"/>
    <cellStyle name="40% - Accent1 7 2 4" xfId="20603" xr:uid="{F111D813-87F3-4ADE-8428-AB4BFDD1B1E2}"/>
    <cellStyle name="40% - Accent1 7 3" xfId="5793" xr:uid="{00000000-0005-0000-0000-000059040000}"/>
    <cellStyle name="40% - Accent1 7 3 2" xfId="14235" xr:uid="{F1DBA4AF-7E7E-4C61-BA43-8C68DA5C5386}"/>
    <cellStyle name="40% - Accent1 7 3 3" xfId="22675" xr:uid="{B0E6A1D8-E389-456D-B4FC-002231574E17}"/>
    <cellStyle name="40% - Accent1 7 4" xfId="10017" xr:uid="{DA8F7F56-6F26-4FA0-8B2B-2DFC82A2A316}"/>
    <cellStyle name="40% - Accent1 7 5" xfId="18458" xr:uid="{B0044F7C-C653-4778-92A2-C8B5EB62ACA2}"/>
    <cellStyle name="40% - Accent1 8" xfId="1899" xr:uid="{00000000-0005-0000-0000-00005A040000}"/>
    <cellStyle name="40% - Accent1 8 2" xfId="4128" xr:uid="{00000000-0005-0000-0000-00005B040000}"/>
    <cellStyle name="40% - Accent1 8 2 2" xfId="8351" xr:uid="{00000000-0005-0000-0000-00005C040000}"/>
    <cellStyle name="40% - Accent1 8 2 2 2" xfId="16793" xr:uid="{C7AD6079-AB7E-49AD-A711-3A3667C03ECB}"/>
    <cellStyle name="40% - Accent1 8 2 2 3" xfId="25233" xr:uid="{63DE831B-1E3D-4F0C-8AEF-9AE8FCCAF1D4}"/>
    <cellStyle name="40% - Accent1 8 2 3" xfId="12575" xr:uid="{2B6E9034-CD2A-4FBF-AF45-D4C39AF43B07}"/>
    <cellStyle name="40% - Accent1 8 2 4" xfId="21016" xr:uid="{198CEF99-0E9A-462E-BD80-D6F98E41FBC4}"/>
    <cellStyle name="40% - Accent1 8 3" xfId="6206" xr:uid="{00000000-0005-0000-0000-00005D040000}"/>
    <cellStyle name="40% - Accent1 8 3 2" xfId="14648" xr:uid="{CF7CAAA3-C026-408F-90E9-B5D058796DC5}"/>
    <cellStyle name="40% - Accent1 8 3 3" xfId="23088" xr:uid="{5C492E04-68AF-4ED4-A38B-42D4FEF1D2CB}"/>
    <cellStyle name="40% - Accent1 8 4" xfId="10430" xr:uid="{0A397ACD-E4AB-4338-8E74-001C7628E67B}"/>
    <cellStyle name="40% - Accent1 8 5" xfId="18871" xr:uid="{6EAC26AD-1986-46ED-B378-B14A810C1AF4}"/>
    <cellStyle name="40% - Accent1 9" xfId="2312" xr:uid="{00000000-0005-0000-0000-00005E040000}"/>
    <cellStyle name="40% - Accent1 9 2" xfId="6619" xr:uid="{00000000-0005-0000-0000-00005F040000}"/>
    <cellStyle name="40% - Accent1 9 2 2" xfId="15061" xr:uid="{303C7917-BB83-475E-997E-0982C1554769}"/>
    <cellStyle name="40% - Accent1 9 2 3" xfId="23501" xr:uid="{B99F0669-13AC-417F-9449-B406DE61BA33}"/>
    <cellStyle name="40% - Accent1 9 3" xfId="10843" xr:uid="{F0FA3F00-A65F-4C35-9464-94F2DDEF6E3C}"/>
    <cellStyle name="40% - Accent1 9 4" xfId="19284" xr:uid="{AAF34E80-DB20-437C-A664-27F7F226920E}"/>
    <cellStyle name="40% - Accent2" xfId="57" builtinId="35" customBuiltin="1"/>
    <cellStyle name="40% - Accent2 10" xfId="4561" xr:uid="{00000000-0005-0000-0000-000061040000}"/>
    <cellStyle name="40% - Accent2 10 2" xfId="13003" xr:uid="{190D824B-75E9-497E-AE9C-46C940593A63}"/>
    <cellStyle name="40% - Accent2 10 3" xfId="21443" xr:uid="{5028E644-014D-47AE-B1D2-ACF2D591B92C}"/>
    <cellStyle name="40% - Accent2 11" xfId="8785" xr:uid="{A9636FD9-CB50-4D5A-8E06-C7307E9DE4C3}"/>
    <cellStyle name="40% - Accent2 12" xfId="17226" xr:uid="{5AF0D007-7AC4-4428-BC4D-CBA6AA103029}"/>
    <cellStyle name="40% - Accent2 2" xfId="58" xr:uid="{00000000-0005-0000-0000-000062040000}"/>
    <cellStyle name="40% - Accent2 2 10" xfId="8786" xr:uid="{F9684394-FAA1-43B2-ABE4-CBBB69FCC810}"/>
    <cellStyle name="40% - Accent2 2 11" xfId="17227" xr:uid="{8D4D1340-C352-411F-B9BA-64D740EE49DC}"/>
    <cellStyle name="40% - Accent2 2 2" xfId="59" xr:uid="{00000000-0005-0000-0000-000063040000}"/>
    <cellStyle name="40% - Accent2 2 2 10" xfId="17228" xr:uid="{C8BA3A41-1C2D-4905-BA23-A168F0963DD8}"/>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15565" xr:uid="{AD539D70-84E5-4D69-B977-FA856B13F47F}"/>
    <cellStyle name="40% - Accent2 2 2 2 2 2 2 3" xfId="24005" xr:uid="{E35EF5DA-F4DA-41BB-A837-D51C72F6891B}"/>
    <cellStyle name="40% - Accent2 2 2 2 2 2 3" xfId="11347" xr:uid="{AE096E85-96F9-4090-81BF-7B77BA5D4199}"/>
    <cellStyle name="40% - Accent2 2 2 2 2 2 4" xfId="19788" xr:uid="{85F65CAC-24FC-4AE0-A299-B29CEF48161A}"/>
    <cellStyle name="40% - Accent2 2 2 2 2 3" xfId="4978" xr:uid="{00000000-0005-0000-0000-000068040000}"/>
    <cellStyle name="40% - Accent2 2 2 2 2 3 2" xfId="13420" xr:uid="{DC81F343-272A-49D7-9F7D-E8788C232892}"/>
    <cellStyle name="40% - Accent2 2 2 2 2 3 3" xfId="21860" xr:uid="{45602DD9-386D-4E45-A9C6-3CBBD0217609}"/>
    <cellStyle name="40% - Accent2 2 2 2 2 4" xfId="9202" xr:uid="{66001401-F2BD-46BB-B419-DAB556106429}"/>
    <cellStyle name="40% - Accent2 2 2 2 2 5" xfId="17643" xr:uid="{19285A68-E3C9-459F-9E4B-9E0099B09AD9}"/>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15978" xr:uid="{D39459DF-71FD-48D8-94BE-1D989040D8AE}"/>
    <cellStyle name="40% - Accent2 2 2 2 3 2 2 3" xfId="24418" xr:uid="{18FDEA46-FFB4-4EB5-8C87-EBF45AC5338A}"/>
    <cellStyle name="40% - Accent2 2 2 2 3 2 3" xfId="11760" xr:uid="{994445FA-435F-48A4-B851-8F641AFDCA19}"/>
    <cellStyle name="40% - Accent2 2 2 2 3 2 4" xfId="20201" xr:uid="{97DC836E-F3A6-4D0B-B75E-6174BB477BF1}"/>
    <cellStyle name="40% - Accent2 2 2 2 3 3" xfId="5391" xr:uid="{00000000-0005-0000-0000-00006C040000}"/>
    <cellStyle name="40% - Accent2 2 2 2 3 3 2" xfId="13833" xr:uid="{4B6A415A-3985-4E64-A81D-DAAF40BEC627}"/>
    <cellStyle name="40% - Accent2 2 2 2 3 3 3" xfId="22273" xr:uid="{FF3BBFEE-5A66-40CD-BBF7-8BF8BDE4D186}"/>
    <cellStyle name="40% - Accent2 2 2 2 3 4" xfId="9615" xr:uid="{84AA2468-A255-4961-85B7-0DEE681F1549}"/>
    <cellStyle name="40% - Accent2 2 2 2 3 5" xfId="18056" xr:uid="{C4BFEB5A-AED9-440E-8D3F-5CDF44CA4BF2}"/>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16391" xr:uid="{C5E74E31-EC9E-4AE6-A831-4AFB2C63063D}"/>
    <cellStyle name="40% - Accent2 2 2 2 4 2 2 3" xfId="24831" xr:uid="{7BA3A3B7-9DDF-40B5-9759-A6B35A4EBDED}"/>
    <cellStyle name="40% - Accent2 2 2 2 4 2 3" xfId="12173" xr:uid="{4981A8CE-59CF-432D-A9DA-FC91B17C9E91}"/>
    <cellStyle name="40% - Accent2 2 2 2 4 2 4" xfId="20614" xr:uid="{FFF912D1-CA7A-4CC6-A1FB-B196C8AF1A95}"/>
    <cellStyle name="40% - Accent2 2 2 2 4 3" xfId="5804" xr:uid="{00000000-0005-0000-0000-000070040000}"/>
    <cellStyle name="40% - Accent2 2 2 2 4 3 2" xfId="14246" xr:uid="{EF5C08ED-F571-4117-A4E7-7F5D2B3079E5}"/>
    <cellStyle name="40% - Accent2 2 2 2 4 3 3" xfId="22686" xr:uid="{A6ABA5A7-7C5C-4A14-8D77-2F18C5CDF406}"/>
    <cellStyle name="40% - Accent2 2 2 2 4 4" xfId="10028" xr:uid="{AF237D64-AD69-438A-88D6-6EEDFA257398}"/>
    <cellStyle name="40% - Accent2 2 2 2 4 5" xfId="18469" xr:uid="{4A7CD1BE-1048-4B5C-B8F1-D20EBC29EDFD}"/>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16804" xr:uid="{793E39DC-57ED-4E66-80F1-CF8DDB384BC1}"/>
    <cellStyle name="40% - Accent2 2 2 2 5 2 2 3" xfId="25244" xr:uid="{A3D1EFD9-490E-40B5-9EA5-49EDBF5CE566}"/>
    <cellStyle name="40% - Accent2 2 2 2 5 2 3" xfId="12586" xr:uid="{A6611A8D-22E3-4DFA-B1ED-E375A4632A1E}"/>
    <cellStyle name="40% - Accent2 2 2 2 5 2 4" xfId="21027" xr:uid="{3D2F120C-13D7-43AD-BCA0-5EE9002107B2}"/>
    <cellStyle name="40% - Accent2 2 2 2 5 3" xfId="6217" xr:uid="{00000000-0005-0000-0000-000074040000}"/>
    <cellStyle name="40% - Accent2 2 2 2 5 3 2" xfId="14659" xr:uid="{B1C318A8-3FA6-4A7C-886E-F999096CD673}"/>
    <cellStyle name="40% - Accent2 2 2 2 5 3 3" xfId="23099" xr:uid="{EBBFD5F5-5C52-4E66-8C75-E16F40AB3D45}"/>
    <cellStyle name="40% - Accent2 2 2 2 5 4" xfId="10441" xr:uid="{66EBA591-48B4-4E91-8DBA-200315822447}"/>
    <cellStyle name="40% - Accent2 2 2 2 5 5" xfId="18882" xr:uid="{36EB1F37-0BF3-4E74-B6E7-89A3165F1079}"/>
    <cellStyle name="40% - Accent2 2 2 2 6" xfId="2323" xr:uid="{00000000-0005-0000-0000-000075040000}"/>
    <cellStyle name="40% - Accent2 2 2 2 6 2" xfId="6630" xr:uid="{00000000-0005-0000-0000-000076040000}"/>
    <cellStyle name="40% - Accent2 2 2 2 6 2 2" xfId="15072" xr:uid="{063C64B8-20C4-430D-9A7A-B2A87FE0F697}"/>
    <cellStyle name="40% - Accent2 2 2 2 6 2 3" xfId="23512" xr:uid="{AE8F7A99-B6DC-4354-B04F-EA0DDA479107}"/>
    <cellStyle name="40% - Accent2 2 2 2 6 3" xfId="10854" xr:uid="{8577DB87-F716-424D-B175-A53DD701BBCD}"/>
    <cellStyle name="40% - Accent2 2 2 2 6 4" xfId="19295" xr:uid="{1AE68C62-6546-4BAD-9008-520A567D0A5D}"/>
    <cellStyle name="40% - Accent2 2 2 2 7" xfId="4564" xr:uid="{00000000-0005-0000-0000-000077040000}"/>
    <cellStyle name="40% - Accent2 2 2 2 7 2" xfId="13006" xr:uid="{B6283278-3783-4C73-829F-6A3BC3EB54ED}"/>
    <cellStyle name="40% - Accent2 2 2 2 7 3" xfId="21446" xr:uid="{6131E375-E615-4F34-B546-F20E8A4AC8FF}"/>
    <cellStyle name="40% - Accent2 2 2 2 8" xfId="8788" xr:uid="{0858854E-8715-4E46-9F32-D09557477E02}"/>
    <cellStyle name="40% - Accent2 2 2 2 9" xfId="17229" xr:uid="{A0E9F66F-798B-48A1-B95C-997A08A0C0E4}"/>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15564" xr:uid="{0B715B1F-02CA-422F-A573-CB54732D6B48}"/>
    <cellStyle name="40% - Accent2 2 2 3 2 2 3" xfId="24004" xr:uid="{DAC2A5AF-7AA1-47CE-9EC0-180C62FEE673}"/>
    <cellStyle name="40% - Accent2 2 2 3 2 3" xfId="11346" xr:uid="{5CA780A5-944B-4786-B814-0C07C3677023}"/>
    <cellStyle name="40% - Accent2 2 2 3 2 4" xfId="19787" xr:uid="{3C342EAB-CB5A-48C6-9CA2-0AB844308CDE}"/>
    <cellStyle name="40% - Accent2 2 2 3 3" xfId="4977" xr:uid="{00000000-0005-0000-0000-00007B040000}"/>
    <cellStyle name="40% - Accent2 2 2 3 3 2" xfId="13419" xr:uid="{09C7358B-F3E3-4FE6-9D53-32D2BB17B202}"/>
    <cellStyle name="40% - Accent2 2 2 3 3 3" xfId="21859" xr:uid="{CEC7CB80-6490-4C4E-B597-633822177C68}"/>
    <cellStyle name="40% - Accent2 2 2 3 4" xfId="9201" xr:uid="{74277474-D949-4741-8EDC-DF5DB339D5F0}"/>
    <cellStyle name="40% - Accent2 2 2 3 5" xfId="17642" xr:uid="{11663149-03C6-4AF4-9EBA-9057B754C055}"/>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15977" xr:uid="{59C0C45A-147A-4A60-8DD2-6D60D99031AE}"/>
    <cellStyle name="40% - Accent2 2 2 4 2 2 3" xfId="24417" xr:uid="{BE2E99F1-765E-4FA0-9F14-70A03FF1BA51}"/>
    <cellStyle name="40% - Accent2 2 2 4 2 3" xfId="11759" xr:uid="{7D25DD6F-0C93-4291-AEFC-2D9471C8B5B6}"/>
    <cellStyle name="40% - Accent2 2 2 4 2 4" xfId="20200" xr:uid="{13251054-1537-46D0-91D5-090E46404BF8}"/>
    <cellStyle name="40% - Accent2 2 2 4 3" xfId="5390" xr:uid="{00000000-0005-0000-0000-00007F040000}"/>
    <cellStyle name="40% - Accent2 2 2 4 3 2" xfId="13832" xr:uid="{B5C859AE-9D03-4B0B-BC91-52C0642625DB}"/>
    <cellStyle name="40% - Accent2 2 2 4 3 3" xfId="22272" xr:uid="{6E128BF6-F167-46CA-AAEE-4E2892FFA5CD}"/>
    <cellStyle name="40% - Accent2 2 2 4 4" xfId="9614" xr:uid="{1537A1EA-38C1-4B0E-BC93-A9F4CD7F2249}"/>
    <cellStyle name="40% - Accent2 2 2 4 5" xfId="18055" xr:uid="{66240E31-1BB6-47C9-96FF-A1BF52A747ED}"/>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16390" xr:uid="{7C2744B6-B6EE-4675-8192-23FCF5790D8B}"/>
    <cellStyle name="40% - Accent2 2 2 5 2 2 3" xfId="24830" xr:uid="{45C4B3CF-7D01-46E6-9811-6D7AE24A5919}"/>
    <cellStyle name="40% - Accent2 2 2 5 2 3" xfId="12172" xr:uid="{1A2748B8-C809-4064-B7FD-2CCEDB219B3A}"/>
    <cellStyle name="40% - Accent2 2 2 5 2 4" xfId="20613" xr:uid="{7946D611-0391-4B1A-8065-D0FDF31A1A6F}"/>
    <cellStyle name="40% - Accent2 2 2 5 3" xfId="5803" xr:uid="{00000000-0005-0000-0000-000083040000}"/>
    <cellStyle name="40% - Accent2 2 2 5 3 2" xfId="14245" xr:uid="{CE671ED8-89F2-47B2-B8ED-D089DA134D9B}"/>
    <cellStyle name="40% - Accent2 2 2 5 3 3" xfId="22685" xr:uid="{4D2FE671-D987-403B-B492-AEA044D170A8}"/>
    <cellStyle name="40% - Accent2 2 2 5 4" xfId="10027" xr:uid="{6A4190E3-82DB-40E2-8B39-CDE2D0EE8379}"/>
    <cellStyle name="40% - Accent2 2 2 5 5" xfId="18468" xr:uid="{97EC8FC9-48E8-4734-AA62-699201003BF9}"/>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16803" xr:uid="{9D664CB3-934A-489D-A5DC-5B50FDF87975}"/>
    <cellStyle name="40% - Accent2 2 2 6 2 2 3" xfId="25243" xr:uid="{9DD3460F-7303-4A00-BF4B-AB3F5FFB3BC6}"/>
    <cellStyle name="40% - Accent2 2 2 6 2 3" xfId="12585" xr:uid="{07CA8C6B-FC99-4793-A763-A708510BB0EA}"/>
    <cellStyle name="40% - Accent2 2 2 6 2 4" xfId="21026" xr:uid="{B64FDD5A-4DAF-46F2-A303-6F7696D0E0AC}"/>
    <cellStyle name="40% - Accent2 2 2 6 3" xfId="6216" xr:uid="{00000000-0005-0000-0000-000087040000}"/>
    <cellStyle name="40% - Accent2 2 2 6 3 2" xfId="14658" xr:uid="{32988C17-EC40-45F6-B148-27A3F7E5AD1C}"/>
    <cellStyle name="40% - Accent2 2 2 6 3 3" xfId="23098" xr:uid="{C9AD9ACF-ABAC-4C60-8793-0BF64D170CFC}"/>
    <cellStyle name="40% - Accent2 2 2 6 4" xfId="10440" xr:uid="{5FE4D73F-3BF3-414C-B9E0-27F450E53DDF}"/>
    <cellStyle name="40% - Accent2 2 2 6 5" xfId="18881" xr:uid="{DE339349-7527-4FD6-8C77-53B7A24138C2}"/>
    <cellStyle name="40% - Accent2 2 2 7" xfId="2322" xr:uid="{00000000-0005-0000-0000-000088040000}"/>
    <cellStyle name="40% - Accent2 2 2 7 2" xfId="6629" xr:uid="{00000000-0005-0000-0000-000089040000}"/>
    <cellStyle name="40% - Accent2 2 2 7 2 2" xfId="15071" xr:uid="{0C6B4275-D8CB-41FA-B98A-EF322A7B0C06}"/>
    <cellStyle name="40% - Accent2 2 2 7 2 3" xfId="23511" xr:uid="{4EA60699-C094-47CB-91D4-0CFB61C87D3D}"/>
    <cellStyle name="40% - Accent2 2 2 7 3" xfId="10853" xr:uid="{3B9CF7C5-35F7-461A-8EDC-05F600AEEB3C}"/>
    <cellStyle name="40% - Accent2 2 2 7 4" xfId="19294" xr:uid="{CD265DB9-95A5-41EE-AB59-EC62F5AE547E}"/>
    <cellStyle name="40% - Accent2 2 2 8" xfId="4563" xr:uid="{00000000-0005-0000-0000-00008A040000}"/>
    <cellStyle name="40% - Accent2 2 2 8 2" xfId="13005" xr:uid="{A6737A3A-704E-42BF-80B5-919BAC755E94}"/>
    <cellStyle name="40% - Accent2 2 2 8 3" xfId="21445" xr:uid="{E95D6CD8-AD94-4E7D-9A23-AAD790B4ED7F}"/>
    <cellStyle name="40% - Accent2 2 2 9" xfId="8787" xr:uid="{D2AF3409-6E81-42DB-85AB-B5A48C045C01}"/>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15566" xr:uid="{CA7E2910-B190-418D-8BAC-CC1BF3238F81}"/>
    <cellStyle name="40% - Accent2 2 3 2 2 2 3" xfId="24006" xr:uid="{A8D8D299-016E-4697-9731-788925B0A695}"/>
    <cellStyle name="40% - Accent2 2 3 2 2 3" xfId="11348" xr:uid="{2AB8DCAA-C387-4825-A447-468592C1B44E}"/>
    <cellStyle name="40% - Accent2 2 3 2 2 4" xfId="19789" xr:uid="{B872A331-9699-4ADC-A272-F29A726B1F98}"/>
    <cellStyle name="40% - Accent2 2 3 2 3" xfId="4979" xr:uid="{00000000-0005-0000-0000-00008F040000}"/>
    <cellStyle name="40% - Accent2 2 3 2 3 2" xfId="13421" xr:uid="{BBA83F72-56A7-406A-AA7E-4B08108B2308}"/>
    <cellStyle name="40% - Accent2 2 3 2 3 3" xfId="21861" xr:uid="{5E379FFE-47E5-4927-8AD5-46E73E5562E0}"/>
    <cellStyle name="40% - Accent2 2 3 2 4" xfId="9203" xr:uid="{253B8170-591E-4615-872C-532134143A9D}"/>
    <cellStyle name="40% - Accent2 2 3 2 5" xfId="17644" xr:uid="{35759D9C-0F4D-4179-928E-78105B9B102D}"/>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15979" xr:uid="{567443E9-2214-4960-80E4-70A650ED30FA}"/>
    <cellStyle name="40% - Accent2 2 3 3 2 2 3" xfId="24419" xr:uid="{25CFA572-6347-4F5C-B30E-C75C2E8860A5}"/>
    <cellStyle name="40% - Accent2 2 3 3 2 3" xfId="11761" xr:uid="{03DD1113-4233-4FAD-9367-1B47F8D2C48B}"/>
    <cellStyle name="40% - Accent2 2 3 3 2 4" xfId="20202" xr:uid="{7ED65453-CC61-405D-9FB8-38EE2BD9E048}"/>
    <cellStyle name="40% - Accent2 2 3 3 3" xfId="5392" xr:uid="{00000000-0005-0000-0000-000093040000}"/>
    <cellStyle name="40% - Accent2 2 3 3 3 2" xfId="13834" xr:uid="{268CC704-0668-4B70-A09D-01DF0EDF181E}"/>
    <cellStyle name="40% - Accent2 2 3 3 3 3" xfId="22274" xr:uid="{D4D11EAD-9E02-48C6-805C-1BC4D5378E68}"/>
    <cellStyle name="40% - Accent2 2 3 3 4" xfId="9616" xr:uid="{3940E94F-E9F7-4007-95C2-4B013293019A}"/>
    <cellStyle name="40% - Accent2 2 3 3 5" xfId="18057" xr:uid="{77D7D801-8E17-46B9-A6A2-90532BFED24F}"/>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16392" xr:uid="{DAF7D995-3F9B-4964-9AD7-BE3379963748}"/>
    <cellStyle name="40% - Accent2 2 3 4 2 2 3" xfId="24832" xr:uid="{F309B273-71DC-4CFD-B8B3-16DB19B7B950}"/>
    <cellStyle name="40% - Accent2 2 3 4 2 3" xfId="12174" xr:uid="{3FCE07BF-0E5B-41E6-8275-B4381C2C3132}"/>
    <cellStyle name="40% - Accent2 2 3 4 2 4" xfId="20615" xr:uid="{AF4BDC41-8346-4AF9-AAB3-AEF366463C98}"/>
    <cellStyle name="40% - Accent2 2 3 4 3" xfId="5805" xr:uid="{00000000-0005-0000-0000-000097040000}"/>
    <cellStyle name="40% - Accent2 2 3 4 3 2" xfId="14247" xr:uid="{3AA04479-0264-4A56-BCC0-3D2CA871738A}"/>
    <cellStyle name="40% - Accent2 2 3 4 3 3" xfId="22687" xr:uid="{61FE11BC-D3E3-407E-BA9D-5C9B093F2FB9}"/>
    <cellStyle name="40% - Accent2 2 3 4 4" xfId="10029" xr:uid="{BCC392B7-9BEF-49C0-9AC3-60A34C1525CC}"/>
    <cellStyle name="40% - Accent2 2 3 4 5" xfId="18470" xr:uid="{EC8A0BC1-1606-488F-878D-FD9C199816C6}"/>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16805" xr:uid="{F023D0C3-3BE1-4C45-8AA8-4A9C24AB9742}"/>
    <cellStyle name="40% - Accent2 2 3 5 2 2 3" xfId="25245" xr:uid="{2B10CF9D-6066-4760-A7E2-4519ACC50476}"/>
    <cellStyle name="40% - Accent2 2 3 5 2 3" xfId="12587" xr:uid="{2E18867F-17D1-4BF8-9A9D-16A83DC6CA8A}"/>
    <cellStyle name="40% - Accent2 2 3 5 2 4" xfId="21028" xr:uid="{88D91157-4AB6-42FE-AA4A-B950436789C9}"/>
    <cellStyle name="40% - Accent2 2 3 5 3" xfId="6218" xr:uid="{00000000-0005-0000-0000-00009B040000}"/>
    <cellStyle name="40% - Accent2 2 3 5 3 2" xfId="14660" xr:uid="{DF5BC87D-A4FB-4649-A079-20181E402E08}"/>
    <cellStyle name="40% - Accent2 2 3 5 3 3" xfId="23100" xr:uid="{EC86313A-3C9A-4DFF-9E9C-3F91783BB6FA}"/>
    <cellStyle name="40% - Accent2 2 3 5 4" xfId="10442" xr:uid="{BFCBFC3B-CBD0-4D7B-B5E9-65B667FA61BE}"/>
    <cellStyle name="40% - Accent2 2 3 5 5" xfId="18883" xr:uid="{6D0AC8E0-9320-4251-96FB-317002BE90FA}"/>
    <cellStyle name="40% - Accent2 2 3 6" xfId="2324" xr:uid="{00000000-0005-0000-0000-00009C040000}"/>
    <cellStyle name="40% - Accent2 2 3 6 2" xfId="6631" xr:uid="{00000000-0005-0000-0000-00009D040000}"/>
    <cellStyle name="40% - Accent2 2 3 6 2 2" xfId="15073" xr:uid="{DD22EB1D-52A2-4C6B-B3AA-2146203E5D8A}"/>
    <cellStyle name="40% - Accent2 2 3 6 2 3" xfId="23513" xr:uid="{35CE1098-8309-4D2A-B343-266B519527FA}"/>
    <cellStyle name="40% - Accent2 2 3 6 3" xfId="10855" xr:uid="{DADD89B1-4433-41F1-9C4E-628D80366B82}"/>
    <cellStyle name="40% - Accent2 2 3 6 4" xfId="19296" xr:uid="{EA6A1F47-248F-4E8F-80EB-DD558A2F8869}"/>
    <cellStyle name="40% - Accent2 2 3 7" xfId="4565" xr:uid="{00000000-0005-0000-0000-00009E040000}"/>
    <cellStyle name="40% - Accent2 2 3 7 2" xfId="13007" xr:uid="{9E7DBEDE-EA0E-40B9-B4A3-5DA86C1C6CF9}"/>
    <cellStyle name="40% - Accent2 2 3 7 3" xfId="21447" xr:uid="{4037826D-C3CB-4DBF-B2E6-7C42E541D8A0}"/>
    <cellStyle name="40% - Accent2 2 3 8" xfId="8789" xr:uid="{2E00556D-733A-4B03-8264-1538AF4627A5}"/>
    <cellStyle name="40% - Accent2 2 3 9" xfId="17230" xr:uid="{76A16C2D-8F71-4D28-9E1B-949EA65F6EAB}"/>
    <cellStyle name="40% - Accent2 2 4" xfId="627" xr:uid="{00000000-0005-0000-0000-00009F040000}"/>
    <cellStyle name="40% - Accent2 2 4 2" xfId="2898" xr:uid="{00000000-0005-0000-0000-0000A0040000}"/>
    <cellStyle name="40% - Accent2 2 4 2 2" xfId="7121" xr:uid="{00000000-0005-0000-0000-0000A1040000}"/>
    <cellStyle name="40% - Accent2 2 4 2 2 2" xfId="15563" xr:uid="{000E1962-7C8C-46D5-B46C-B75D5C3546F9}"/>
    <cellStyle name="40% - Accent2 2 4 2 2 3" xfId="24003" xr:uid="{900710B4-B8F0-4C3B-ABAC-1C8EB0DD10FD}"/>
    <cellStyle name="40% - Accent2 2 4 2 3" xfId="11345" xr:uid="{60E3E86B-7135-46E0-AA52-60A0565273E1}"/>
    <cellStyle name="40% - Accent2 2 4 2 4" xfId="19786" xr:uid="{65EA675F-11C1-4F19-80F1-8969045B2613}"/>
    <cellStyle name="40% - Accent2 2 4 3" xfId="4976" xr:uid="{00000000-0005-0000-0000-0000A2040000}"/>
    <cellStyle name="40% - Accent2 2 4 3 2" xfId="13418" xr:uid="{79AF6DBF-BC54-49FC-BEFA-9766CA3AE870}"/>
    <cellStyle name="40% - Accent2 2 4 3 3" xfId="21858" xr:uid="{D1853582-C433-4974-A496-03AE9C31A7B2}"/>
    <cellStyle name="40% - Accent2 2 4 4" xfId="9200" xr:uid="{CD205B3F-D6C6-48EC-BF8F-24281CC1283F}"/>
    <cellStyle name="40% - Accent2 2 4 5" xfId="17641" xr:uid="{6BAEE351-362A-46B1-96C7-EDF82CAB9DB6}"/>
    <cellStyle name="40% - Accent2 2 5" xfId="1080" xr:uid="{00000000-0005-0000-0000-0000A3040000}"/>
    <cellStyle name="40% - Accent2 2 5 2" xfId="3311" xr:uid="{00000000-0005-0000-0000-0000A4040000}"/>
    <cellStyle name="40% - Accent2 2 5 2 2" xfId="7534" xr:uid="{00000000-0005-0000-0000-0000A5040000}"/>
    <cellStyle name="40% - Accent2 2 5 2 2 2" xfId="15976" xr:uid="{E8365F7F-F6F7-46FC-AFD2-D1D54B06B079}"/>
    <cellStyle name="40% - Accent2 2 5 2 2 3" xfId="24416" xr:uid="{27D52630-43DC-4A6D-9CC8-BCA1764826A3}"/>
    <cellStyle name="40% - Accent2 2 5 2 3" xfId="11758" xr:uid="{ECB31041-F66F-4D1D-BB2D-FF4322CD6A74}"/>
    <cellStyle name="40% - Accent2 2 5 2 4" xfId="20199" xr:uid="{B6F62ABB-D845-4ECB-BAC7-84EB3FB6C512}"/>
    <cellStyle name="40% - Accent2 2 5 3" xfId="5389" xr:uid="{00000000-0005-0000-0000-0000A6040000}"/>
    <cellStyle name="40% - Accent2 2 5 3 2" xfId="13831" xr:uid="{BFD573E2-C6CF-4A7C-9B34-6BAE6EABD977}"/>
    <cellStyle name="40% - Accent2 2 5 3 3" xfId="22271" xr:uid="{3A88E6B5-02B1-48F4-8567-DDABFBF9311F}"/>
    <cellStyle name="40% - Accent2 2 5 4" xfId="9613" xr:uid="{EDB10781-1C84-44F1-8343-77828B616556}"/>
    <cellStyle name="40% - Accent2 2 5 5" xfId="18054" xr:uid="{0BCFAD8A-8517-44D2-87FA-B87500C80427}"/>
    <cellStyle name="40% - Accent2 2 6" xfId="1494" xr:uid="{00000000-0005-0000-0000-0000A7040000}"/>
    <cellStyle name="40% - Accent2 2 6 2" xfId="3724" xr:uid="{00000000-0005-0000-0000-0000A8040000}"/>
    <cellStyle name="40% - Accent2 2 6 2 2" xfId="7947" xr:uid="{00000000-0005-0000-0000-0000A9040000}"/>
    <cellStyle name="40% - Accent2 2 6 2 2 2" xfId="16389" xr:uid="{239FA63B-A310-48ED-98E1-EE48B4C4A593}"/>
    <cellStyle name="40% - Accent2 2 6 2 2 3" xfId="24829" xr:uid="{1B92E931-3E24-4A1E-BADC-55B9C420A39F}"/>
    <cellStyle name="40% - Accent2 2 6 2 3" xfId="12171" xr:uid="{61E3C5CE-E32D-4A5B-8658-A8E2C524286F}"/>
    <cellStyle name="40% - Accent2 2 6 2 4" xfId="20612" xr:uid="{CF328AB6-11A2-4D24-A651-548F3A312E3F}"/>
    <cellStyle name="40% - Accent2 2 6 3" xfId="5802" xr:uid="{00000000-0005-0000-0000-0000AA040000}"/>
    <cellStyle name="40% - Accent2 2 6 3 2" xfId="14244" xr:uid="{06172E7B-44DC-4E63-B712-334FAB4B52F6}"/>
    <cellStyle name="40% - Accent2 2 6 3 3" xfId="22684" xr:uid="{FE2A2A9D-A815-4C66-8074-EB3012F1A4CC}"/>
    <cellStyle name="40% - Accent2 2 6 4" xfId="10026" xr:uid="{011FED55-4FA2-43BF-808E-675770F7BA75}"/>
    <cellStyle name="40% - Accent2 2 6 5" xfId="18467" xr:uid="{8766187F-3C7C-44CA-B416-E144D3E64C84}"/>
    <cellStyle name="40% - Accent2 2 7" xfId="1908" xr:uid="{00000000-0005-0000-0000-0000AB040000}"/>
    <cellStyle name="40% - Accent2 2 7 2" xfId="4137" xr:uid="{00000000-0005-0000-0000-0000AC040000}"/>
    <cellStyle name="40% - Accent2 2 7 2 2" xfId="8360" xr:uid="{00000000-0005-0000-0000-0000AD040000}"/>
    <cellStyle name="40% - Accent2 2 7 2 2 2" xfId="16802" xr:uid="{33A81F24-AD92-4FDB-BE18-8B16458812A5}"/>
    <cellStyle name="40% - Accent2 2 7 2 2 3" xfId="25242" xr:uid="{EA77E833-94CC-4FCE-B93F-45E232F3A5CC}"/>
    <cellStyle name="40% - Accent2 2 7 2 3" xfId="12584" xr:uid="{93CBE84B-D01B-4E25-B054-34B1D5D6A257}"/>
    <cellStyle name="40% - Accent2 2 7 2 4" xfId="21025" xr:uid="{D0ED56E9-C2C9-446C-8265-C47082E4DB62}"/>
    <cellStyle name="40% - Accent2 2 7 3" xfId="6215" xr:uid="{00000000-0005-0000-0000-0000AE040000}"/>
    <cellStyle name="40% - Accent2 2 7 3 2" xfId="14657" xr:uid="{059FC32D-25FC-4873-9C1F-1270E2DC14F3}"/>
    <cellStyle name="40% - Accent2 2 7 3 3" xfId="23097" xr:uid="{F88AED80-94F3-42A1-B2FF-84180DD2644E}"/>
    <cellStyle name="40% - Accent2 2 7 4" xfId="10439" xr:uid="{FC4B026A-E819-46BA-9DF3-4CB1408AD83A}"/>
    <cellStyle name="40% - Accent2 2 7 5" xfId="18880" xr:uid="{24750293-9587-4C73-9786-2A06C8EDE2DD}"/>
    <cellStyle name="40% - Accent2 2 8" xfId="2321" xr:uid="{00000000-0005-0000-0000-0000AF040000}"/>
    <cellStyle name="40% - Accent2 2 8 2" xfId="6628" xr:uid="{00000000-0005-0000-0000-0000B0040000}"/>
    <cellStyle name="40% - Accent2 2 8 2 2" xfId="15070" xr:uid="{4EFE375A-7C5F-4871-929A-CB1E30DA7B0F}"/>
    <cellStyle name="40% - Accent2 2 8 2 3" xfId="23510" xr:uid="{59CDAE2D-D6BF-42DF-AB62-AF8202F88742}"/>
    <cellStyle name="40% - Accent2 2 8 3" xfId="10852" xr:uid="{362C62BB-03AE-43C5-8E59-41A2C3F0D115}"/>
    <cellStyle name="40% - Accent2 2 8 4" xfId="19293" xr:uid="{FA0AFAC8-B50B-4705-8C61-99FBA7F19AFC}"/>
    <cellStyle name="40% - Accent2 2 9" xfId="4562" xr:uid="{00000000-0005-0000-0000-0000B1040000}"/>
    <cellStyle name="40% - Accent2 2 9 2" xfId="13004" xr:uid="{1DCBF021-3F4F-4CE1-AE4A-52228D32A49D}"/>
    <cellStyle name="40% - Accent2 2 9 3" xfId="21444" xr:uid="{5F609148-3B32-43E2-B32A-8C06D9CF3D39}"/>
    <cellStyle name="40% - Accent2 3" xfId="62" xr:uid="{00000000-0005-0000-0000-0000B2040000}"/>
    <cellStyle name="40% - Accent2 3 10" xfId="17231" xr:uid="{8C16D38F-5854-4866-9FF2-342387EE5B1D}"/>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15568" xr:uid="{EF75EC58-8423-402A-A794-3DB78CB6B319}"/>
    <cellStyle name="40% - Accent2 3 2 2 2 2 3" xfId="24008" xr:uid="{5FEF20AE-ED8C-4A82-B200-1B9406F134DE}"/>
    <cellStyle name="40% - Accent2 3 2 2 2 3" xfId="11350" xr:uid="{FEB3937D-504A-4BAF-B615-D57E5E5B2082}"/>
    <cellStyle name="40% - Accent2 3 2 2 2 4" xfId="19791" xr:uid="{AECCFBF9-3BC1-40DD-88E1-EDA882B43DC5}"/>
    <cellStyle name="40% - Accent2 3 2 2 3" xfId="4981" xr:uid="{00000000-0005-0000-0000-0000B7040000}"/>
    <cellStyle name="40% - Accent2 3 2 2 3 2" xfId="13423" xr:uid="{8D60AED1-87F5-416C-A4B4-C6F9127959BE}"/>
    <cellStyle name="40% - Accent2 3 2 2 3 3" xfId="21863" xr:uid="{5DDE8F2F-9202-41B1-924D-53CD778BD0EE}"/>
    <cellStyle name="40% - Accent2 3 2 2 4" xfId="9205" xr:uid="{482A27DD-4DA1-429E-80E7-88401ABF1749}"/>
    <cellStyle name="40% - Accent2 3 2 2 5" xfId="17646" xr:uid="{32863E07-CD3D-442E-9690-73EE94948978}"/>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15981" xr:uid="{2D60AFAC-9CB3-4780-B974-83FB1D0E3C17}"/>
    <cellStyle name="40% - Accent2 3 2 3 2 2 3" xfId="24421" xr:uid="{25A56C7F-C608-4F9D-9DF0-410180F095B3}"/>
    <cellStyle name="40% - Accent2 3 2 3 2 3" xfId="11763" xr:uid="{6B2882CA-21B3-44FA-8E9A-B58E9E1E10DD}"/>
    <cellStyle name="40% - Accent2 3 2 3 2 4" xfId="20204" xr:uid="{6FDDAD90-339E-41B2-BD45-5BE77755E9CF}"/>
    <cellStyle name="40% - Accent2 3 2 3 3" xfId="5394" xr:uid="{00000000-0005-0000-0000-0000BB040000}"/>
    <cellStyle name="40% - Accent2 3 2 3 3 2" xfId="13836" xr:uid="{0D333CA3-CB5E-4C8D-9F06-84F4718154B5}"/>
    <cellStyle name="40% - Accent2 3 2 3 3 3" xfId="22276" xr:uid="{D0FD9483-435B-4E55-8245-E618E67A71E7}"/>
    <cellStyle name="40% - Accent2 3 2 3 4" xfId="9618" xr:uid="{5C37311C-8D1F-4210-BA60-C30E4B1AF3B6}"/>
    <cellStyle name="40% - Accent2 3 2 3 5" xfId="18059" xr:uid="{DB4A8C9F-C6A2-4FC0-9A5D-60D85ECAF10F}"/>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16394" xr:uid="{35AF363D-2782-4269-95BC-F31CE0E8FDC5}"/>
    <cellStyle name="40% - Accent2 3 2 4 2 2 3" xfId="24834" xr:uid="{B50217E6-A9DF-4023-9919-B5DDBD801782}"/>
    <cellStyle name="40% - Accent2 3 2 4 2 3" xfId="12176" xr:uid="{67966B5F-F784-4793-B139-94ADDA53B92B}"/>
    <cellStyle name="40% - Accent2 3 2 4 2 4" xfId="20617" xr:uid="{04FF890A-C9A7-444C-91C4-BE8A1FBFE5D5}"/>
    <cellStyle name="40% - Accent2 3 2 4 3" xfId="5807" xr:uid="{00000000-0005-0000-0000-0000BF040000}"/>
    <cellStyle name="40% - Accent2 3 2 4 3 2" xfId="14249" xr:uid="{54CBC309-CA5F-4273-9599-30F66857DB6E}"/>
    <cellStyle name="40% - Accent2 3 2 4 3 3" xfId="22689" xr:uid="{C89724C1-A045-43D6-B923-7CD158655E50}"/>
    <cellStyle name="40% - Accent2 3 2 4 4" xfId="10031" xr:uid="{CE416BA5-B543-47C9-B187-FB0860760FFD}"/>
    <cellStyle name="40% - Accent2 3 2 4 5" xfId="18472" xr:uid="{86784B1F-5194-476A-9DBB-54D59B178CEB}"/>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16807" xr:uid="{DC393C02-12C6-4946-BC76-E4DD6AD64662}"/>
    <cellStyle name="40% - Accent2 3 2 5 2 2 3" xfId="25247" xr:uid="{9409B48A-9708-4EC6-8B91-EF81EC15407F}"/>
    <cellStyle name="40% - Accent2 3 2 5 2 3" xfId="12589" xr:uid="{58101A39-E73A-402B-90A9-EB824924DF80}"/>
    <cellStyle name="40% - Accent2 3 2 5 2 4" xfId="21030" xr:uid="{30B3AC7A-FD3B-445A-BAAB-097F4469488B}"/>
    <cellStyle name="40% - Accent2 3 2 5 3" xfId="6220" xr:uid="{00000000-0005-0000-0000-0000C3040000}"/>
    <cellStyle name="40% - Accent2 3 2 5 3 2" xfId="14662" xr:uid="{472FCAF6-9A97-48E1-933A-4366ED0019E3}"/>
    <cellStyle name="40% - Accent2 3 2 5 3 3" xfId="23102" xr:uid="{87A1A9C5-1DB9-41FA-924F-679D3C5D10E9}"/>
    <cellStyle name="40% - Accent2 3 2 5 4" xfId="10444" xr:uid="{D69DF302-5868-4626-9019-69308C8983F3}"/>
    <cellStyle name="40% - Accent2 3 2 5 5" xfId="18885" xr:uid="{8E854B11-F290-4078-BFD4-D15AF33FC09C}"/>
    <cellStyle name="40% - Accent2 3 2 6" xfId="2326" xr:uid="{00000000-0005-0000-0000-0000C4040000}"/>
    <cellStyle name="40% - Accent2 3 2 6 2" xfId="6633" xr:uid="{00000000-0005-0000-0000-0000C5040000}"/>
    <cellStyle name="40% - Accent2 3 2 6 2 2" xfId="15075" xr:uid="{6BA6E9FF-726B-417C-8BC5-87BF1B98003C}"/>
    <cellStyle name="40% - Accent2 3 2 6 2 3" xfId="23515" xr:uid="{4E90C2F8-B97D-4A90-B7CB-8CAD16C3614C}"/>
    <cellStyle name="40% - Accent2 3 2 6 3" xfId="10857" xr:uid="{BAFA3933-F2B5-4D32-A8ED-F11A61D09116}"/>
    <cellStyle name="40% - Accent2 3 2 6 4" xfId="19298" xr:uid="{B0C94673-B87F-4057-89E6-3FF19101F6E5}"/>
    <cellStyle name="40% - Accent2 3 2 7" xfId="4567" xr:uid="{00000000-0005-0000-0000-0000C6040000}"/>
    <cellStyle name="40% - Accent2 3 2 7 2" xfId="13009" xr:uid="{4FA71349-7E04-4B5A-8635-53C72EFE749F}"/>
    <cellStyle name="40% - Accent2 3 2 7 3" xfId="21449" xr:uid="{BC4BC8D8-55E1-4CCF-BE89-FDBECC5F0728}"/>
    <cellStyle name="40% - Accent2 3 2 8" xfId="8791" xr:uid="{1A18CA8B-CBF9-447C-AE11-37A280109364}"/>
    <cellStyle name="40% - Accent2 3 2 9" xfId="17232" xr:uid="{D57632E2-81A7-48B3-BE49-022E0F916FF8}"/>
    <cellStyle name="40% - Accent2 3 3" xfId="631" xr:uid="{00000000-0005-0000-0000-0000C7040000}"/>
    <cellStyle name="40% - Accent2 3 3 2" xfId="2902" xr:uid="{00000000-0005-0000-0000-0000C8040000}"/>
    <cellStyle name="40% - Accent2 3 3 2 2" xfId="7125" xr:uid="{00000000-0005-0000-0000-0000C9040000}"/>
    <cellStyle name="40% - Accent2 3 3 2 2 2" xfId="15567" xr:uid="{7989B059-3B0D-4C07-AEB8-B126EF6C705A}"/>
    <cellStyle name="40% - Accent2 3 3 2 2 3" xfId="24007" xr:uid="{F68635A0-8643-4CA9-BEBD-06FEDD05E16A}"/>
    <cellStyle name="40% - Accent2 3 3 2 3" xfId="11349" xr:uid="{1724B81A-CAD3-4D0E-ACBB-F4746281CFBB}"/>
    <cellStyle name="40% - Accent2 3 3 2 4" xfId="19790" xr:uid="{18E1A398-0FF3-4CC0-80D2-F547773469A9}"/>
    <cellStyle name="40% - Accent2 3 3 3" xfId="4980" xr:uid="{00000000-0005-0000-0000-0000CA040000}"/>
    <cellStyle name="40% - Accent2 3 3 3 2" xfId="13422" xr:uid="{5AA6708B-B47A-4F5D-82A2-D25EB2910F22}"/>
    <cellStyle name="40% - Accent2 3 3 3 3" xfId="21862" xr:uid="{FA420CBF-7884-4CA7-8B85-B9612924F244}"/>
    <cellStyle name="40% - Accent2 3 3 4" xfId="9204" xr:uid="{D658762B-2D3D-478C-AF0B-73F49C4D7372}"/>
    <cellStyle name="40% - Accent2 3 3 5" xfId="17645" xr:uid="{2347DD10-C342-49D5-8E8B-5A8DDC4302FA}"/>
    <cellStyle name="40% - Accent2 3 4" xfId="1084" xr:uid="{00000000-0005-0000-0000-0000CB040000}"/>
    <cellStyle name="40% - Accent2 3 4 2" xfId="3315" xr:uid="{00000000-0005-0000-0000-0000CC040000}"/>
    <cellStyle name="40% - Accent2 3 4 2 2" xfId="7538" xr:uid="{00000000-0005-0000-0000-0000CD040000}"/>
    <cellStyle name="40% - Accent2 3 4 2 2 2" xfId="15980" xr:uid="{38B7054D-6500-4AAA-B490-A3176EF8E09F}"/>
    <cellStyle name="40% - Accent2 3 4 2 2 3" xfId="24420" xr:uid="{B3298CE6-33AA-411F-93D7-573DDA556417}"/>
    <cellStyle name="40% - Accent2 3 4 2 3" xfId="11762" xr:uid="{AE0D8D22-C72D-42DE-8FEC-1735BAE4ED63}"/>
    <cellStyle name="40% - Accent2 3 4 2 4" xfId="20203" xr:uid="{2438A367-95B7-4CE4-B566-6BCFD2AAA5C0}"/>
    <cellStyle name="40% - Accent2 3 4 3" xfId="5393" xr:uid="{00000000-0005-0000-0000-0000CE040000}"/>
    <cellStyle name="40% - Accent2 3 4 3 2" xfId="13835" xr:uid="{D7D1DF29-457F-4F96-903E-7445E2BE4ACB}"/>
    <cellStyle name="40% - Accent2 3 4 3 3" xfId="22275" xr:uid="{525110CA-B581-497C-96BC-ED4E74290896}"/>
    <cellStyle name="40% - Accent2 3 4 4" xfId="9617" xr:uid="{53DDA17A-3B13-42BC-8D0F-C84A9C0BCB10}"/>
    <cellStyle name="40% - Accent2 3 4 5" xfId="18058" xr:uid="{DE18B12F-AEC0-4068-9765-CD423CB65694}"/>
    <cellStyle name="40% - Accent2 3 5" xfId="1498" xr:uid="{00000000-0005-0000-0000-0000CF040000}"/>
    <cellStyle name="40% - Accent2 3 5 2" xfId="3728" xr:uid="{00000000-0005-0000-0000-0000D0040000}"/>
    <cellStyle name="40% - Accent2 3 5 2 2" xfId="7951" xr:uid="{00000000-0005-0000-0000-0000D1040000}"/>
    <cellStyle name="40% - Accent2 3 5 2 2 2" xfId="16393" xr:uid="{B19DF4C2-BDB8-44D8-BE0E-C38509F936E7}"/>
    <cellStyle name="40% - Accent2 3 5 2 2 3" xfId="24833" xr:uid="{7A134237-0133-4296-B242-81C836D000C9}"/>
    <cellStyle name="40% - Accent2 3 5 2 3" xfId="12175" xr:uid="{92907FB1-6A4E-4ECC-8FE7-F34180B11ECE}"/>
    <cellStyle name="40% - Accent2 3 5 2 4" xfId="20616" xr:uid="{8E4A7C6D-619C-450E-B3A6-4196266F0389}"/>
    <cellStyle name="40% - Accent2 3 5 3" xfId="5806" xr:uid="{00000000-0005-0000-0000-0000D2040000}"/>
    <cellStyle name="40% - Accent2 3 5 3 2" xfId="14248" xr:uid="{C738226E-270C-451D-97FC-2F1D753EE9C1}"/>
    <cellStyle name="40% - Accent2 3 5 3 3" xfId="22688" xr:uid="{5E68F33F-49DD-4DB5-BDAA-59676484A5DB}"/>
    <cellStyle name="40% - Accent2 3 5 4" xfId="10030" xr:uid="{4801F67F-752B-4EE9-85F5-F72A9DCCC866}"/>
    <cellStyle name="40% - Accent2 3 5 5" xfId="18471" xr:uid="{7493A51E-5AC7-45B6-9658-65673055C5F2}"/>
    <cellStyle name="40% - Accent2 3 6" xfId="1912" xr:uid="{00000000-0005-0000-0000-0000D3040000}"/>
    <cellStyle name="40% - Accent2 3 6 2" xfId="4141" xr:uid="{00000000-0005-0000-0000-0000D4040000}"/>
    <cellStyle name="40% - Accent2 3 6 2 2" xfId="8364" xr:uid="{00000000-0005-0000-0000-0000D5040000}"/>
    <cellStyle name="40% - Accent2 3 6 2 2 2" xfId="16806" xr:uid="{EC83C83A-26FE-47EA-819F-630BFD29638A}"/>
    <cellStyle name="40% - Accent2 3 6 2 2 3" xfId="25246" xr:uid="{47C1A354-3A35-4FA5-9243-E4E76FD97F1C}"/>
    <cellStyle name="40% - Accent2 3 6 2 3" xfId="12588" xr:uid="{518AF3DF-BFA2-42DB-AB5B-36324B1DEE39}"/>
    <cellStyle name="40% - Accent2 3 6 2 4" xfId="21029" xr:uid="{8788FEFA-908D-48DE-91F6-DE7E74991DA6}"/>
    <cellStyle name="40% - Accent2 3 6 3" xfId="6219" xr:uid="{00000000-0005-0000-0000-0000D6040000}"/>
    <cellStyle name="40% - Accent2 3 6 3 2" xfId="14661" xr:uid="{D4C76EE2-3AB2-4353-BD69-848BB7168F1F}"/>
    <cellStyle name="40% - Accent2 3 6 3 3" xfId="23101" xr:uid="{9803AB0D-5558-42B8-BE3F-71AD74672E44}"/>
    <cellStyle name="40% - Accent2 3 6 4" xfId="10443" xr:uid="{24C2E288-1892-4882-AE34-FAAB238C6767}"/>
    <cellStyle name="40% - Accent2 3 6 5" xfId="18884" xr:uid="{DB486CBB-9ED2-427C-9849-962BD2521954}"/>
    <cellStyle name="40% - Accent2 3 7" xfId="2325" xr:uid="{00000000-0005-0000-0000-0000D7040000}"/>
    <cellStyle name="40% - Accent2 3 7 2" xfId="6632" xr:uid="{00000000-0005-0000-0000-0000D8040000}"/>
    <cellStyle name="40% - Accent2 3 7 2 2" xfId="15074" xr:uid="{AD1BAE18-5883-4A94-8A43-75F4E68B411F}"/>
    <cellStyle name="40% - Accent2 3 7 2 3" xfId="23514" xr:uid="{6628EAB6-EC1D-40DF-B83E-8C094CC2B849}"/>
    <cellStyle name="40% - Accent2 3 7 3" xfId="10856" xr:uid="{CF1FA48B-EFE7-4996-A6CB-B800AC1C07DC}"/>
    <cellStyle name="40% - Accent2 3 7 4" xfId="19297" xr:uid="{BFB070D6-1E3F-448C-B4E5-934D1A4A9AB8}"/>
    <cellStyle name="40% - Accent2 3 8" xfId="4566" xr:uid="{00000000-0005-0000-0000-0000D9040000}"/>
    <cellStyle name="40% - Accent2 3 8 2" xfId="13008" xr:uid="{92C7B9A3-5607-4C08-9FEB-BD49F45711E2}"/>
    <cellStyle name="40% - Accent2 3 8 3" xfId="21448" xr:uid="{C35403E9-520F-4F08-A1F0-48C5F84BA2AE}"/>
    <cellStyle name="40% - Accent2 3 9" xfId="8790" xr:uid="{9573D5DF-F171-424E-8B2D-80FBBDA4F7A9}"/>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2 2 2" xfId="15569" xr:uid="{1EC0272B-56BF-4A04-B1D4-725B9E6E9AA1}"/>
    <cellStyle name="40% - Accent2 4 2 2 2 3" xfId="24009" xr:uid="{0ED12434-1BB6-4985-B728-F7B6C31A1798}"/>
    <cellStyle name="40% - Accent2 4 2 2 3" xfId="11351" xr:uid="{145C1A02-0D25-4C7B-AEC5-258B4C2D1E9A}"/>
    <cellStyle name="40% - Accent2 4 2 2 4" xfId="19792" xr:uid="{88F29FE4-DFD6-4ADA-BA84-1079F9BB131F}"/>
    <cellStyle name="40% - Accent2 4 2 3" xfId="4982" xr:uid="{00000000-0005-0000-0000-0000DE040000}"/>
    <cellStyle name="40% - Accent2 4 2 3 2" xfId="13424" xr:uid="{209D1E51-D0E0-40AA-BC7F-01CA6C6D73FA}"/>
    <cellStyle name="40% - Accent2 4 2 3 3" xfId="21864" xr:uid="{87D841D7-E7FA-4AA6-B4BD-5DB368BB8042}"/>
    <cellStyle name="40% - Accent2 4 2 4" xfId="9206" xr:uid="{8E4E1F6B-1459-4364-9A9D-3FCAEF146319}"/>
    <cellStyle name="40% - Accent2 4 2 5" xfId="17647" xr:uid="{F8F9194B-1749-475B-B0D4-D655F6C06DF5}"/>
    <cellStyle name="40% - Accent2 4 3" xfId="1086" xr:uid="{00000000-0005-0000-0000-0000DF040000}"/>
    <cellStyle name="40% - Accent2 4 3 2" xfId="3317" xr:uid="{00000000-0005-0000-0000-0000E0040000}"/>
    <cellStyle name="40% - Accent2 4 3 2 2" xfId="7540" xr:uid="{00000000-0005-0000-0000-0000E1040000}"/>
    <cellStyle name="40% - Accent2 4 3 2 2 2" xfId="15982" xr:uid="{E8F43F0A-6DFA-4878-821D-960CF0AF3B1C}"/>
    <cellStyle name="40% - Accent2 4 3 2 2 3" xfId="24422" xr:uid="{9DCDA1DD-6E41-4128-A59F-D24577B21569}"/>
    <cellStyle name="40% - Accent2 4 3 2 3" xfId="11764" xr:uid="{EF4A4F6F-7F29-42EE-8930-4E36BE685B9D}"/>
    <cellStyle name="40% - Accent2 4 3 2 4" xfId="20205" xr:uid="{80FBA5BE-80BE-4A78-BF53-A1D667196C49}"/>
    <cellStyle name="40% - Accent2 4 3 3" xfId="5395" xr:uid="{00000000-0005-0000-0000-0000E2040000}"/>
    <cellStyle name="40% - Accent2 4 3 3 2" xfId="13837" xr:uid="{F0E4D186-076F-4B99-8455-24BCB534E1EA}"/>
    <cellStyle name="40% - Accent2 4 3 3 3" xfId="22277" xr:uid="{B4517F13-EF6D-4615-91D2-105AEEA80802}"/>
    <cellStyle name="40% - Accent2 4 3 4" xfId="9619" xr:uid="{4AD870A9-EED7-4CF4-8A4A-24B518080060}"/>
    <cellStyle name="40% - Accent2 4 3 5" xfId="18060" xr:uid="{41583BA0-7D24-45D1-AE3E-008F4AE9CE9F}"/>
    <cellStyle name="40% - Accent2 4 4" xfId="1500" xr:uid="{00000000-0005-0000-0000-0000E3040000}"/>
    <cellStyle name="40% - Accent2 4 4 2" xfId="3730" xr:uid="{00000000-0005-0000-0000-0000E4040000}"/>
    <cellStyle name="40% - Accent2 4 4 2 2" xfId="7953" xr:uid="{00000000-0005-0000-0000-0000E5040000}"/>
    <cellStyle name="40% - Accent2 4 4 2 2 2" xfId="16395" xr:uid="{94EF0FFF-F79E-48E3-918D-5F09E6F2DAE3}"/>
    <cellStyle name="40% - Accent2 4 4 2 2 3" xfId="24835" xr:uid="{C99F1C81-1274-42A7-A6D8-2FBC24031CC5}"/>
    <cellStyle name="40% - Accent2 4 4 2 3" xfId="12177" xr:uid="{73444B95-E530-4E97-A52E-C2D2F574A210}"/>
    <cellStyle name="40% - Accent2 4 4 2 4" xfId="20618" xr:uid="{3727DDBA-0E60-4F69-8C93-65307C39CC81}"/>
    <cellStyle name="40% - Accent2 4 4 3" xfId="5808" xr:uid="{00000000-0005-0000-0000-0000E6040000}"/>
    <cellStyle name="40% - Accent2 4 4 3 2" xfId="14250" xr:uid="{7CF1FAD5-8E1E-4A98-BE3D-6183E9A15DB6}"/>
    <cellStyle name="40% - Accent2 4 4 3 3" xfId="22690" xr:uid="{684B5540-05C2-4ED8-AE22-348B28DF75CC}"/>
    <cellStyle name="40% - Accent2 4 4 4" xfId="10032" xr:uid="{94F9A8AB-78BE-461A-AE0F-C9751EC79CA5}"/>
    <cellStyle name="40% - Accent2 4 4 5" xfId="18473" xr:uid="{456AF52A-1628-4070-895A-1A186FB66B00}"/>
    <cellStyle name="40% - Accent2 4 5" xfId="1914" xr:uid="{00000000-0005-0000-0000-0000E7040000}"/>
    <cellStyle name="40% - Accent2 4 5 2" xfId="4143" xr:uid="{00000000-0005-0000-0000-0000E8040000}"/>
    <cellStyle name="40% - Accent2 4 5 2 2" xfId="8366" xr:uid="{00000000-0005-0000-0000-0000E9040000}"/>
    <cellStyle name="40% - Accent2 4 5 2 2 2" xfId="16808" xr:uid="{E191214E-6037-4638-856D-26013D978F38}"/>
    <cellStyle name="40% - Accent2 4 5 2 2 3" xfId="25248" xr:uid="{6D8A342D-A9E1-4445-BCA4-BE214FE46BA2}"/>
    <cellStyle name="40% - Accent2 4 5 2 3" xfId="12590" xr:uid="{3C467C99-669D-4C83-AC93-27E4D4D5F55E}"/>
    <cellStyle name="40% - Accent2 4 5 2 4" xfId="21031" xr:uid="{69B5FC67-3A0D-4046-8DD6-3A8A2B56541D}"/>
    <cellStyle name="40% - Accent2 4 5 3" xfId="6221" xr:uid="{00000000-0005-0000-0000-0000EA040000}"/>
    <cellStyle name="40% - Accent2 4 5 3 2" xfId="14663" xr:uid="{A361CAFD-7197-46BE-A85F-C6F8FAE190F5}"/>
    <cellStyle name="40% - Accent2 4 5 3 3" xfId="23103" xr:uid="{8B6141A1-B24A-4C4F-931B-FF988A664F27}"/>
    <cellStyle name="40% - Accent2 4 5 4" xfId="10445" xr:uid="{39E918EF-4310-4B11-A5A2-F3E24A552911}"/>
    <cellStyle name="40% - Accent2 4 5 5" xfId="18886" xr:uid="{5255207F-6679-4335-ACD5-63147FD3EEBF}"/>
    <cellStyle name="40% - Accent2 4 6" xfId="2327" xr:uid="{00000000-0005-0000-0000-0000EB040000}"/>
    <cellStyle name="40% - Accent2 4 6 2" xfId="6634" xr:uid="{00000000-0005-0000-0000-0000EC040000}"/>
    <cellStyle name="40% - Accent2 4 6 2 2" xfId="15076" xr:uid="{2296E150-7A06-4995-8339-0804C670E6B6}"/>
    <cellStyle name="40% - Accent2 4 6 2 3" xfId="23516" xr:uid="{FDF02480-4E36-4FC5-9618-7C406AB34104}"/>
    <cellStyle name="40% - Accent2 4 6 3" xfId="10858" xr:uid="{91307E86-4017-4325-933C-E762AF84FD49}"/>
    <cellStyle name="40% - Accent2 4 6 4" xfId="19299" xr:uid="{2F6BABC9-A4C0-431B-8F22-EF463A3354DA}"/>
    <cellStyle name="40% - Accent2 4 7" xfId="4568" xr:uid="{00000000-0005-0000-0000-0000ED040000}"/>
    <cellStyle name="40% - Accent2 4 7 2" xfId="13010" xr:uid="{B9015190-5D03-45EF-9EB5-C22B5D9BA528}"/>
    <cellStyle name="40% - Accent2 4 7 3" xfId="21450" xr:uid="{1736AD33-4092-4E2F-8FED-1561028A7A76}"/>
    <cellStyle name="40% - Accent2 4 8" xfId="8792" xr:uid="{D10E5173-378F-40C4-A584-C62024E9130D}"/>
    <cellStyle name="40% - Accent2 4 9" xfId="17233" xr:uid="{8AE9180D-F7F2-498C-BF08-EF12DC499235}"/>
    <cellStyle name="40% - Accent2 5" xfId="626" xr:uid="{00000000-0005-0000-0000-0000EE040000}"/>
    <cellStyle name="40% - Accent2 5 2" xfId="2897" xr:uid="{00000000-0005-0000-0000-0000EF040000}"/>
    <cellStyle name="40% - Accent2 5 2 2" xfId="7120" xr:uid="{00000000-0005-0000-0000-0000F0040000}"/>
    <cellStyle name="40% - Accent2 5 2 2 2" xfId="15562" xr:uid="{C82C2051-D914-4A33-9851-754E726F4D47}"/>
    <cellStyle name="40% - Accent2 5 2 2 3" xfId="24002" xr:uid="{2856F26F-66AA-4612-90FF-BFE9D697F4B8}"/>
    <cellStyle name="40% - Accent2 5 2 3" xfId="11344" xr:uid="{CE7F0EED-2BCC-415E-91A1-1BB620EE454B}"/>
    <cellStyle name="40% - Accent2 5 2 4" xfId="19785" xr:uid="{B96D7877-0AA3-41EA-A0DE-77F98B1F23A2}"/>
    <cellStyle name="40% - Accent2 5 3" xfId="4975" xr:uid="{00000000-0005-0000-0000-0000F1040000}"/>
    <cellStyle name="40% - Accent2 5 3 2" xfId="13417" xr:uid="{C6FE0044-53E0-4D12-A257-AF30C6824340}"/>
    <cellStyle name="40% - Accent2 5 3 3" xfId="21857" xr:uid="{163BB6FC-48F1-46AB-9FDB-8352842D2795}"/>
    <cellStyle name="40% - Accent2 5 4" xfId="9199" xr:uid="{D8A8ED63-341A-4F2E-9B8F-A30F01EFED05}"/>
    <cellStyle name="40% - Accent2 5 5" xfId="17640" xr:uid="{30D14F76-204B-4D17-8142-7A8A46E84B0A}"/>
    <cellStyle name="40% - Accent2 6" xfId="1079" xr:uid="{00000000-0005-0000-0000-0000F2040000}"/>
    <cellStyle name="40% - Accent2 6 2" xfId="3310" xr:uid="{00000000-0005-0000-0000-0000F3040000}"/>
    <cellStyle name="40% - Accent2 6 2 2" xfId="7533" xr:uid="{00000000-0005-0000-0000-0000F4040000}"/>
    <cellStyle name="40% - Accent2 6 2 2 2" xfId="15975" xr:uid="{A8CE27B0-ECE5-40C3-814A-2333F941F262}"/>
    <cellStyle name="40% - Accent2 6 2 2 3" xfId="24415" xr:uid="{6A5113D7-B703-4953-9380-1FB948816D5D}"/>
    <cellStyle name="40% - Accent2 6 2 3" xfId="11757" xr:uid="{00A46C7C-F3CD-4A81-BACB-92CD65807B68}"/>
    <cellStyle name="40% - Accent2 6 2 4" xfId="20198" xr:uid="{6FB69602-6EC4-4972-AF59-3D3A2F4E67F4}"/>
    <cellStyle name="40% - Accent2 6 3" xfId="5388" xr:uid="{00000000-0005-0000-0000-0000F5040000}"/>
    <cellStyle name="40% - Accent2 6 3 2" xfId="13830" xr:uid="{C25CC39D-814F-42C4-A4CC-E8581E52D78A}"/>
    <cellStyle name="40% - Accent2 6 3 3" xfId="22270" xr:uid="{6B62AB2D-1E46-4EF3-BDFE-13765EAE6257}"/>
    <cellStyle name="40% - Accent2 6 4" xfId="9612" xr:uid="{B43A7069-D151-4F89-A84D-900277013333}"/>
    <cellStyle name="40% - Accent2 6 5" xfId="18053" xr:uid="{C2E35A7B-68FC-4B4F-8A54-5209A81A0F67}"/>
    <cellStyle name="40% - Accent2 7" xfId="1493" xr:uid="{00000000-0005-0000-0000-0000F6040000}"/>
    <cellStyle name="40% - Accent2 7 2" xfId="3723" xr:uid="{00000000-0005-0000-0000-0000F7040000}"/>
    <cellStyle name="40% - Accent2 7 2 2" xfId="7946" xr:uid="{00000000-0005-0000-0000-0000F8040000}"/>
    <cellStyle name="40% - Accent2 7 2 2 2" xfId="16388" xr:uid="{B616F818-6C73-4670-AB07-C24510FCE642}"/>
    <cellStyle name="40% - Accent2 7 2 2 3" xfId="24828" xr:uid="{DC532951-9613-4B66-9E6D-309DABAF0533}"/>
    <cellStyle name="40% - Accent2 7 2 3" xfId="12170" xr:uid="{6FD82443-9A7D-41A9-A55B-F9B4EA38977C}"/>
    <cellStyle name="40% - Accent2 7 2 4" xfId="20611" xr:uid="{34038D78-01D5-4320-9362-CD86C95355E3}"/>
    <cellStyle name="40% - Accent2 7 3" xfId="5801" xr:uid="{00000000-0005-0000-0000-0000F9040000}"/>
    <cellStyle name="40% - Accent2 7 3 2" xfId="14243" xr:uid="{E4ACF83F-E9E1-40CC-A555-210BA1ADF2EF}"/>
    <cellStyle name="40% - Accent2 7 3 3" xfId="22683" xr:uid="{E7A8BEE4-3163-4467-94C1-D0E380E25F8D}"/>
    <cellStyle name="40% - Accent2 7 4" xfId="10025" xr:uid="{7A5CBB3B-DCA8-4D41-9F8C-8EE2D3F7DBFB}"/>
    <cellStyle name="40% - Accent2 7 5" xfId="18466" xr:uid="{62CC81F3-CD90-4DA7-8E54-4DA0F86E9ED0}"/>
    <cellStyle name="40% - Accent2 8" xfId="1907" xr:uid="{00000000-0005-0000-0000-0000FA040000}"/>
    <cellStyle name="40% - Accent2 8 2" xfId="4136" xr:uid="{00000000-0005-0000-0000-0000FB040000}"/>
    <cellStyle name="40% - Accent2 8 2 2" xfId="8359" xr:uid="{00000000-0005-0000-0000-0000FC040000}"/>
    <cellStyle name="40% - Accent2 8 2 2 2" xfId="16801" xr:uid="{3138F0D6-11E4-48FF-87B1-C561D342A398}"/>
    <cellStyle name="40% - Accent2 8 2 2 3" xfId="25241" xr:uid="{B1C8B9BD-FC92-4207-B1A6-795B27CDD2E6}"/>
    <cellStyle name="40% - Accent2 8 2 3" xfId="12583" xr:uid="{F9024611-13A4-4023-B8B9-C3B30DCCC369}"/>
    <cellStyle name="40% - Accent2 8 2 4" xfId="21024" xr:uid="{40F62C45-36C6-4940-97AF-7D27C2FC98C7}"/>
    <cellStyle name="40% - Accent2 8 3" xfId="6214" xr:uid="{00000000-0005-0000-0000-0000FD040000}"/>
    <cellStyle name="40% - Accent2 8 3 2" xfId="14656" xr:uid="{8E6E034A-9026-4E32-B1C2-670CE2B7A292}"/>
    <cellStyle name="40% - Accent2 8 3 3" xfId="23096" xr:uid="{E07C3882-377A-4A49-A83F-1FC9209AE0F1}"/>
    <cellStyle name="40% - Accent2 8 4" xfId="10438" xr:uid="{B2E07A5C-2806-48AF-894B-A1F8AD8DEE2B}"/>
    <cellStyle name="40% - Accent2 8 5" xfId="18879" xr:uid="{31C05C24-4FEE-45EC-87E8-B43CE2FE9054}"/>
    <cellStyle name="40% - Accent2 9" xfId="2320" xr:uid="{00000000-0005-0000-0000-0000FE040000}"/>
    <cellStyle name="40% - Accent2 9 2" xfId="6627" xr:uid="{00000000-0005-0000-0000-0000FF040000}"/>
    <cellStyle name="40% - Accent2 9 2 2" xfId="15069" xr:uid="{1928D81C-F2A4-4A31-B3DF-923C30BCEFD7}"/>
    <cellStyle name="40% - Accent2 9 2 3" xfId="23509" xr:uid="{AC95CA5D-9C27-42FA-9F3C-4B5D8D6D64B2}"/>
    <cellStyle name="40% - Accent2 9 3" xfId="10851" xr:uid="{90ABDA89-B5D3-44EE-937C-9D3217636347}"/>
    <cellStyle name="40% - Accent2 9 4" xfId="19292" xr:uid="{1D64E7A2-5462-4E5B-B962-C77157BB8853}"/>
    <cellStyle name="40% - Accent3" xfId="65" builtinId="39" customBuiltin="1"/>
    <cellStyle name="40% - Accent3 10" xfId="4569" xr:uid="{00000000-0005-0000-0000-000001050000}"/>
    <cellStyle name="40% - Accent3 10 2" xfId="13011" xr:uid="{E0B74A28-11E9-45E5-818D-EE730A825331}"/>
    <cellStyle name="40% - Accent3 10 3" xfId="21451" xr:uid="{9FAA0DF5-9FA6-4B08-9E3C-DD0EAD5DB7FA}"/>
    <cellStyle name="40% - Accent3 11" xfId="8793" xr:uid="{2486D656-1ACD-4DEE-B849-563EE80D18C1}"/>
    <cellStyle name="40% - Accent3 12" xfId="17234" xr:uid="{63853463-2B51-4EC4-8CC1-5E3AF0EC740F}"/>
    <cellStyle name="40% - Accent3 2" xfId="66" xr:uid="{00000000-0005-0000-0000-000002050000}"/>
    <cellStyle name="40% - Accent3 2 10" xfId="8794" xr:uid="{83E49D13-F4F1-4049-AA47-C5564FA8010C}"/>
    <cellStyle name="40% - Accent3 2 11" xfId="17235" xr:uid="{BE1FFB9B-CF20-4847-8E9B-2A1E082F9F05}"/>
    <cellStyle name="40% - Accent3 2 2" xfId="67" xr:uid="{00000000-0005-0000-0000-000003050000}"/>
    <cellStyle name="40% - Accent3 2 2 10" xfId="17236" xr:uid="{409CDF13-3E11-4A33-BD32-98160C10CBA4}"/>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15573" xr:uid="{05EAB7C4-2DB3-4820-B68C-ED6110A48F03}"/>
    <cellStyle name="40% - Accent3 2 2 2 2 2 2 3" xfId="24013" xr:uid="{14CB3B35-8807-4263-BA6D-47EAB004232C}"/>
    <cellStyle name="40% - Accent3 2 2 2 2 2 3" xfId="11355" xr:uid="{FA8A0C89-1187-4613-95C4-DB3213FE9BD5}"/>
    <cellStyle name="40% - Accent3 2 2 2 2 2 4" xfId="19796" xr:uid="{18156194-9BC8-4005-8272-E7BD23FBDA33}"/>
    <cellStyle name="40% - Accent3 2 2 2 2 3" xfId="4986" xr:uid="{00000000-0005-0000-0000-000008050000}"/>
    <cellStyle name="40% - Accent3 2 2 2 2 3 2" xfId="13428" xr:uid="{E525F12B-4D0B-48BF-BE50-29F2AC8B98D4}"/>
    <cellStyle name="40% - Accent3 2 2 2 2 3 3" xfId="21868" xr:uid="{40162CE0-C5FD-4A60-BC03-20B362C87CA7}"/>
    <cellStyle name="40% - Accent3 2 2 2 2 4" xfId="9210" xr:uid="{913B18B3-B78C-4A2F-AB34-5DA6117B7A26}"/>
    <cellStyle name="40% - Accent3 2 2 2 2 5" xfId="17651" xr:uid="{1C680D33-E98E-4D38-8952-D6402A6C40A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15986" xr:uid="{8F630709-2B44-486C-9138-36BAE121B68A}"/>
    <cellStyle name="40% - Accent3 2 2 2 3 2 2 3" xfId="24426" xr:uid="{8C0B7900-A445-4562-B820-D2A0C003E815}"/>
    <cellStyle name="40% - Accent3 2 2 2 3 2 3" xfId="11768" xr:uid="{B0A2D740-A465-4AAC-A890-9B5D8103BD4D}"/>
    <cellStyle name="40% - Accent3 2 2 2 3 2 4" xfId="20209" xr:uid="{9AF2D5B9-713C-4236-ABC3-BE15C59359EA}"/>
    <cellStyle name="40% - Accent3 2 2 2 3 3" xfId="5399" xr:uid="{00000000-0005-0000-0000-00000C050000}"/>
    <cellStyle name="40% - Accent3 2 2 2 3 3 2" xfId="13841" xr:uid="{15335218-2DE6-44E9-9A1C-39F41DC75CB4}"/>
    <cellStyle name="40% - Accent3 2 2 2 3 3 3" xfId="22281" xr:uid="{81B547CA-0226-4D22-8F1C-896BD09CFA75}"/>
    <cellStyle name="40% - Accent3 2 2 2 3 4" xfId="9623" xr:uid="{554E3321-4F36-47EB-8A95-BC61B02A1754}"/>
    <cellStyle name="40% - Accent3 2 2 2 3 5" xfId="18064" xr:uid="{766F5072-A7D0-4174-99C8-C7B978C487AF}"/>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16399" xr:uid="{8EB028C6-F6E0-4B82-A68A-4AC694D9D260}"/>
    <cellStyle name="40% - Accent3 2 2 2 4 2 2 3" xfId="24839" xr:uid="{702A5630-3A05-445D-A8EA-6EDCA0A8B5D3}"/>
    <cellStyle name="40% - Accent3 2 2 2 4 2 3" xfId="12181" xr:uid="{F1D5BD70-F2E0-4C0E-9D9F-86BA8EAB3924}"/>
    <cellStyle name="40% - Accent3 2 2 2 4 2 4" xfId="20622" xr:uid="{76725184-B130-4283-B5E6-EC04BC8C6E75}"/>
    <cellStyle name="40% - Accent3 2 2 2 4 3" xfId="5812" xr:uid="{00000000-0005-0000-0000-000010050000}"/>
    <cellStyle name="40% - Accent3 2 2 2 4 3 2" xfId="14254" xr:uid="{EC02ADB5-CE51-4E51-BE12-52F634F4B97D}"/>
    <cellStyle name="40% - Accent3 2 2 2 4 3 3" xfId="22694" xr:uid="{1BE934D2-A0EF-49C2-A44F-C378F628FC38}"/>
    <cellStyle name="40% - Accent3 2 2 2 4 4" xfId="10036" xr:uid="{DE73D39B-D6EF-490E-BDD8-8BF5B9851189}"/>
    <cellStyle name="40% - Accent3 2 2 2 4 5" xfId="18477" xr:uid="{813D546A-4DC8-4DA9-9502-8447B5816599}"/>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16812" xr:uid="{A4BEC683-87C8-4678-A625-17E2D70ECA43}"/>
    <cellStyle name="40% - Accent3 2 2 2 5 2 2 3" xfId="25252" xr:uid="{B723435F-B51B-4F7E-BC36-3CE603EEC7A4}"/>
    <cellStyle name="40% - Accent3 2 2 2 5 2 3" xfId="12594" xr:uid="{12EBC0FE-DCBD-441F-91D8-AD05A8D1C2C8}"/>
    <cellStyle name="40% - Accent3 2 2 2 5 2 4" xfId="21035" xr:uid="{81CCF545-4A10-4330-9C09-268FB0747EDE}"/>
    <cellStyle name="40% - Accent3 2 2 2 5 3" xfId="6225" xr:uid="{00000000-0005-0000-0000-000014050000}"/>
    <cellStyle name="40% - Accent3 2 2 2 5 3 2" xfId="14667" xr:uid="{D864A495-662E-4BDC-B8E9-6FE22FC02C19}"/>
    <cellStyle name="40% - Accent3 2 2 2 5 3 3" xfId="23107" xr:uid="{500A469D-055F-4C9B-8AD1-2828F7C0CD12}"/>
    <cellStyle name="40% - Accent3 2 2 2 5 4" xfId="10449" xr:uid="{270CE335-EBAC-48FE-86BF-F12B3C0EEE8B}"/>
    <cellStyle name="40% - Accent3 2 2 2 5 5" xfId="18890" xr:uid="{193043A2-BB4C-48F0-8C2E-69DB56EF2727}"/>
    <cellStyle name="40% - Accent3 2 2 2 6" xfId="2331" xr:uid="{00000000-0005-0000-0000-000015050000}"/>
    <cellStyle name="40% - Accent3 2 2 2 6 2" xfId="6638" xr:uid="{00000000-0005-0000-0000-000016050000}"/>
    <cellStyle name="40% - Accent3 2 2 2 6 2 2" xfId="15080" xr:uid="{AC610D31-2BBF-4621-BC29-E05FE6ACA358}"/>
    <cellStyle name="40% - Accent3 2 2 2 6 2 3" xfId="23520" xr:uid="{FE478BF6-936F-48C3-BF42-2451F692E190}"/>
    <cellStyle name="40% - Accent3 2 2 2 6 3" xfId="10862" xr:uid="{EC4B8699-62D0-4E30-B5DE-0A7670ED5D4D}"/>
    <cellStyle name="40% - Accent3 2 2 2 6 4" xfId="19303" xr:uid="{58116C0C-E98B-4493-9813-167376B8C1C0}"/>
    <cellStyle name="40% - Accent3 2 2 2 7" xfId="4572" xr:uid="{00000000-0005-0000-0000-000017050000}"/>
    <cellStyle name="40% - Accent3 2 2 2 7 2" xfId="13014" xr:uid="{FD315D5E-CDDC-4772-A1F0-FFABFA15BB25}"/>
    <cellStyle name="40% - Accent3 2 2 2 7 3" xfId="21454" xr:uid="{16A355F2-CAEA-4419-8E03-47E1EB4F1B6E}"/>
    <cellStyle name="40% - Accent3 2 2 2 8" xfId="8796" xr:uid="{E2BE6CA2-EA12-4D5C-8EC7-A95203246D8F}"/>
    <cellStyle name="40% - Accent3 2 2 2 9" xfId="17237" xr:uid="{09D78E41-D72D-4D7C-96B7-DC28EC5C3278}"/>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15572" xr:uid="{C6700CE6-E91C-4ECF-8CBC-E9A7B54396D4}"/>
    <cellStyle name="40% - Accent3 2 2 3 2 2 3" xfId="24012" xr:uid="{92782568-09A4-45D5-9B7B-3EF03D39B35C}"/>
    <cellStyle name="40% - Accent3 2 2 3 2 3" xfId="11354" xr:uid="{B96ED4E8-72BF-4299-8F15-F83B10B1B51F}"/>
    <cellStyle name="40% - Accent3 2 2 3 2 4" xfId="19795" xr:uid="{451593DB-A2A7-4A38-B352-7BB16BEB5B5E}"/>
    <cellStyle name="40% - Accent3 2 2 3 3" xfId="4985" xr:uid="{00000000-0005-0000-0000-00001B050000}"/>
    <cellStyle name="40% - Accent3 2 2 3 3 2" xfId="13427" xr:uid="{D7D2BB1E-85D9-435B-A1D8-1CFB2D00282D}"/>
    <cellStyle name="40% - Accent3 2 2 3 3 3" xfId="21867" xr:uid="{61852F9A-DA9C-43B9-A1B0-9FD859FA2D10}"/>
    <cellStyle name="40% - Accent3 2 2 3 4" xfId="9209" xr:uid="{6CB84343-1DDA-4D70-B31E-100DD3B65CCD}"/>
    <cellStyle name="40% - Accent3 2 2 3 5" xfId="17650" xr:uid="{12CBA1CA-CAE3-4BC8-9EDC-3FBF1E7F69BD}"/>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15985" xr:uid="{109C2970-396B-4888-8A91-30E2BA62740C}"/>
    <cellStyle name="40% - Accent3 2 2 4 2 2 3" xfId="24425" xr:uid="{6067F153-1BDB-4976-93AD-8B295BBE75C0}"/>
    <cellStyle name="40% - Accent3 2 2 4 2 3" xfId="11767" xr:uid="{FEBD51A1-53AB-468F-9F29-C43996C8DBA1}"/>
    <cellStyle name="40% - Accent3 2 2 4 2 4" xfId="20208" xr:uid="{CA7397A0-910B-4BA0-A822-217BF9D22033}"/>
    <cellStyle name="40% - Accent3 2 2 4 3" xfId="5398" xr:uid="{00000000-0005-0000-0000-00001F050000}"/>
    <cellStyle name="40% - Accent3 2 2 4 3 2" xfId="13840" xr:uid="{8E2AAF6D-EBBC-430D-82F0-97160E694D3D}"/>
    <cellStyle name="40% - Accent3 2 2 4 3 3" xfId="22280" xr:uid="{C88CC7AD-D911-4909-9DD3-375E7FE93703}"/>
    <cellStyle name="40% - Accent3 2 2 4 4" xfId="9622" xr:uid="{2BD34A2B-72BE-48BE-9B42-6DC967CE5368}"/>
    <cellStyle name="40% - Accent3 2 2 4 5" xfId="18063" xr:uid="{3917D413-D39D-4285-8668-DAB7A32B092E}"/>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16398" xr:uid="{89AB25E4-C5EA-4946-BFA9-F81097EE8F56}"/>
    <cellStyle name="40% - Accent3 2 2 5 2 2 3" xfId="24838" xr:uid="{1401671C-EFEB-4235-A70E-5AB5638BAEC3}"/>
    <cellStyle name="40% - Accent3 2 2 5 2 3" xfId="12180" xr:uid="{5882FCAA-0B3F-4CB1-A1A7-7B5A57AE9B2D}"/>
    <cellStyle name="40% - Accent3 2 2 5 2 4" xfId="20621" xr:uid="{53156D04-ABD4-4B65-99EB-63FC4B3C3C14}"/>
    <cellStyle name="40% - Accent3 2 2 5 3" xfId="5811" xr:uid="{00000000-0005-0000-0000-000023050000}"/>
    <cellStyle name="40% - Accent3 2 2 5 3 2" xfId="14253" xr:uid="{D56CC112-0F21-4679-B0B1-27D8F4577C69}"/>
    <cellStyle name="40% - Accent3 2 2 5 3 3" xfId="22693" xr:uid="{DC14B045-3435-4C04-B4EE-2894EBE27A76}"/>
    <cellStyle name="40% - Accent3 2 2 5 4" xfId="10035" xr:uid="{595743AC-3599-4295-81C5-A8250B1B644B}"/>
    <cellStyle name="40% - Accent3 2 2 5 5" xfId="18476" xr:uid="{01CB894C-A638-42BF-BFE3-B1BEE9CB721D}"/>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16811" xr:uid="{E53D7BE8-C031-4895-B44D-5C2321095B7A}"/>
    <cellStyle name="40% - Accent3 2 2 6 2 2 3" xfId="25251" xr:uid="{12927FC1-42C9-4452-BB25-1E965F59AF4F}"/>
    <cellStyle name="40% - Accent3 2 2 6 2 3" xfId="12593" xr:uid="{D4294F15-BE4A-4099-BB98-17F53A7B5727}"/>
    <cellStyle name="40% - Accent3 2 2 6 2 4" xfId="21034" xr:uid="{8A652930-9A58-4103-9CCC-5DA3B7BF0494}"/>
    <cellStyle name="40% - Accent3 2 2 6 3" xfId="6224" xr:uid="{00000000-0005-0000-0000-000027050000}"/>
    <cellStyle name="40% - Accent3 2 2 6 3 2" xfId="14666" xr:uid="{E79852E7-B5B0-420D-8CEA-7C56BD7C279A}"/>
    <cellStyle name="40% - Accent3 2 2 6 3 3" xfId="23106" xr:uid="{939ACF01-72F4-4462-BC2C-BBC88CC18309}"/>
    <cellStyle name="40% - Accent3 2 2 6 4" xfId="10448" xr:uid="{DCD1EA05-7CAC-4E45-8F16-DB6683A8626A}"/>
    <cellStyle name="40% - Accent3 2 2 6 5" xfId="18889" xr:uid="{EFDAECCE-0483-4372-B188-464D1397A096}"/>
    <cellStyle name="40% - Accent3 2 2 7" xfId="2330" xr:uid="{00000000-0005-0000-0000-000028050000}"/>
    <cellStyle name="40% - Accent3 2 2 7 2" xfId="6637" xr:uid="{00000000-0005-0000-0000-000029050000}"/>
    <cellStyle name="40% - Accent3 2 2 7 2 2" xfId="15079" xr:uid="{A8F53D2C-1426-4B8F-A0DA-ED10C17E9011}"/>
    <cellStyle name="40% - Accent3 2 2 7 2 3" xfId="23519" xr:uid="{6AA729F9-5DC0-46D0-ACE4-885F84574CB0}"/>
    <cellStyle name="40% - Accent3 2 2 7 3" xfId="10861" xr:uid="{E0775270-FCCE-4C9B-8D38-BE1CE486C69D}"/>
    <cellStyle name="40% - Accent3 2 2 7 4" xfId="19302" xr:uid="{B58C95C1-43BD-4712-931D-99200EEF240B}"/>
    <cellStyle name="40% - Accent3 2 2 8" xfId="4571" xr:uid="{00000000-0005-0000-0000-00002A050000}"/>
    <cellStyle name="40% - Accent3 2 2 8 2" xfId="13013" xr:uid="{7C1E2E02-D217-4BCB-9949-FAC4546EA67B}"/>
    <cellStyle name="40% - Accent3 2 2 8 3" xfId="21453" xr:uid="{A31588DC-F332-47B1-A0CF-AF9755A67D4B}"/>
    <cellStyle name="40% - Accent3 2 2 9" xfId="8795" xr:uid="{C06F1BC6-98EB-4948-9BA5-ABCB4D8D9683}"/>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15574" xr:uid="{CD2C388D-2301-45EB-9AD2-C2E78775E5F8}"/>
    <cellStyle name="40% - Accent3 2 3 2 2 2 3" xfId="24014" xr:uid="{8C4C0BFB-2B88-49DB-B1FB-9CB565C68ECA}"/>
    <cellStyle name="40% - Accent3 2 3 2 2 3" xfId="11356" xr:uid="{3AF0D95A-0BFC-4817-BBC2-5D640FCC10C4}"/>
    <cellStyle name="40% - Accent3 2 3 2 2 4" xfId="19797" xr:uid="{F74416EE-9769-49EA-9766-5A045AC630D1}"/>
    <cellStyle name="40% - Accent3 2 3 2 3" xfId="4987" xr:uid="{00000000-0005-0000-0000-00002F050000}"/>
    <cellStyle name="40% - Accent3 2 3 2 3 2" xfId="13429" xr:uid="{46699C95-0D4F-4DB9-9234-9B70CFF9F470}"/>
    <cellStyle name="40% - Accent3 2 3 2 3 3" xfId="21869" xr:uid="{4C570EE7-1B63-4DFB-8D1C-4ECA623B9D6B}"/>
    <cellStyle name="40% - Accent3 2 3 2 4" xfId="9211" xr:uid="{D9CD155A-F789-4D14-B7E7-A2F7A1C6D693}"/>
    <cellStyle name="40% - Accent3 2 3 2 5" xfId="17652" xr:uid="{2250C903-F71F-4EBB-8C3C-BD060DBD2B6F}"/>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15987" xr:uid="{FCB302B9-99F7-41E9-BEFA-0CBE030BF089}"/>
    <cellStyle name="40% - Accent3 2 3 3 2 2 3" xfId="24427" xr:uid="{94CD573C-783A-4098-AE4D-38A20121ACDC}"/>
    <cellStyle name="40% - Accent3 2 3 3 2 3" xfId="11769" xr:uid="{262138B7-B021-4847-81C0-2435CEB5762E}"/>
    <cellStyle name="40% - Accent3 2 3 3 2 4" xfId="20210" xr:uid="{34A0364E-6EBF-4722-ACB9-F72612962C9B}"/>
    <cellStyle name="40% - Accent3 2 3 3 3" xfId="5400" xr:uid="{00000000-0005-0000-0000-000033050000}"/>
    <cellStyle name="40% - Accent3 2 3 3 3 2" xfId="13842" xr:uid="{7203643E-FD53-49EE-A663-7773123B9B60}"/>
    <cellStyle name="40% - Accent3 2 3 3 3 3" xfId="22282" xr:uid="{61A17789-93F7-4257-AE7F-83A98EFFC608}"/>
    <cellStyle name="40% - Accent3 2 3 3 4" xfId="9624" xr:uid="{51874E63-EB4F-415F-9478-7D45A7EB925C}"/>
    <cellStyle name="40% - Accent3 2 3 3 5" xfId="18065" xr:uid="{75DD1B90-E690-4D6C-9CB1-362AF2AF601B}"/>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16400" xr:uid="{2E45F044-9692-4582-9465-74907A5C3B1B}"/>
    <cellStyle name="40% - Accent3 2 3 4 2 2 3" xfId="24840" xr:uid="{DCAEF2EC-9904-4C75-9D08-421B440C44AF}"/>
    <cellStyle name="40% - Accent3 2 3 4 2 3" xfId="12182" xr:uid="{AC303C39-5393-4BE4-B3F3-8F983C86EE91}"/>
    <cellStyle name="40% - Accent3 2 3 4 2 4" xfId="20623" xr:uid="{6D3C67A9-96CA-4FF6-A566-7E21521D8AA3}"/>
    <cellStyle name="40% - Accent3 2 3 4 3" xfId="5813" xr:uid="{00000000-0005-0000-0000-000037050000}"/>
    <cellStyle name="40% - Accent3 2 3 4 3 2" xfId="14255" xr:uid="{7AF74DCC-D3A3-428D-BF34-278DEFEAD086}"/>
    <cellStyle name="40% - Accent3 2 3 4 3 3" xfId="22695" xr:uid="{CC9CB039-AC04-4F91-B500-C2B6A37D5467}"/>
    <cellStyle name="40% - Accent3 2 3 4 4" xfId="10037" xr:uid="{D499DB33-FDDC-485E-B048-9BFB14476502}"/>
    <cellStyle name="40% - Accent3 2 3 4 5" xfId="18478" xr:uid="{2EB7FBD5-DB9D-4429-A5F8-6B4AABFA275A}"/>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16813" xr:uid="{3EFD1FF9-4933-4327-B795-3E3C5CEDEEB5}"/>
    <cellStyle name="40% - Accent3 2 3 5 2 2 3" xfId="25253" xr:uid="{6166964A-C562-4DB2-AD09-5A46419F2DDF}"/>
    <cellStyle name="40% - Accent3 2 3 5 2 3" xfId="12595" xr:uid="{9A02E3AD-170D-4031-8C67-0BF0948D52AC}"/>
    <cellStyle name="40% - Accent3 2 3 5 2 4" xfId="21036" xr:uid="{907E4995-6B0A-4125-9472-6828AA21C765}"/>
    <cellStyle name="40% - Accent3 2 3 5 3" xfId="6226" xr:uid="{00000000-0005-0000-0000-00003B050000}"/>
    <cellStyle name="40% - Accent3 2 3 5 3 2" xfId="14668" xr:uid="{6AC42129-76B5-46D9-AA51-8C8956ABA72D}"/>
    <cellStyle name="40% - Accent3 2 3 5 3 3" xfId="23108" xr:uid="{2C043323-D80C-4562-A4C2-A8CA76AF6C20}"/>
    <cellStyle name="40% - Accent3 2 3 5 4" xfId="10450" xr:uid="{B0AD0D46-6AA8-4764-9DAF-8A69F151AAF9}"/>
    <cellStyle name="40% - Accent3 2 3 5 5" xfId="18891" xr:uid="{A2F29778-56F8-49E5-8130-43FAC5040B19}"/>
    <cellStyle name="40% - Accent3 2 3 6" xfId="2332" xr:uid="{00000000-0005-0000-0000-00003C050000}"/>
    <cellStyle name="40% - Accent3 2 3 6 2" xfId="6639" xr:uid="{00000000-0005-0000-0000-00003D050000}"/>
    <cellStyle name="40% - Accent3 2 3 6 2 2" xfId="15081" xr:uid="{F264BA26-7B95-40FC-8BBC-13B7E7ADA173}"/>
    <cellStyle name="40% - Accent3 2 3 6 2 3" xfId="23521" xr:uid="{B0785ACB-0B61-450C-B3A5-21962A539DCD}"/>
    <cellStyle name="40% - Accent3 2 3 6 3" xfId="10863" xr:uid="{667DE3EA-8F62-44D5-9FF8-8008781E8AE1}"/>
    <cellStyle name="40% - Accent3 2 3 6 4" xfId="19304" xr:uid="{D13888B5-F681-4A63-BCF9-24386A78561E}"/>
    <cellStyle name="40% - Accent3 2 3 7" xfId="4573" xr:uid="{00000000-0005-0000-0000-00003E050000}"/>
    <cellStyle name="40% - Accent3 2 3 7 2" xfId="13015" xr:uid="{D089E7B0-4E8E-410D-9A34-7AD21051AB7A}"/>
    <cellStyle name="40% - Accent3 2 3 7 3" xfId="21455" xr:uid="{755CB3C3-82E8-4E2B-9A2A-268FCB2EECFE}"/>
    <cellStyle name="40% - Accent3 2 3 8" xfId="8797" xr:uid="{0933DAE0-CB11-400A-928F-BCF6D4A9B4AB}"/>
    <cellStyle name="40% - Accent3 2 3 9" xfId="17238" xr:uid="{3310C08F-69E0-44BA-AC12-D60E0DF57DB6}"/>
    <cellStyle name="40% - Accent3 2 4" xfId="635" xr:uid="{00000000-0005-0000-0000-00003F050000}"/>
    <cellStyle name="40% - Accent3 2 4 2" xfId="2906" xr:uid="{00000000-0005-0000-0000-000040050000}"/>
    <cellStyle name="40% - Accent3 2 4 2 2" xfId="7129" xr:uid="{00000000-0005-0000-0000-000041050000}"/>
    <cellStyle name="40% - Accent3 2 4 2 2 2" xfId="15571" xr:uid="{AD0CC383-8350-435E-8A8D-999BEC6A9B9C}"/>
    <cellStyle name="40% - Accent3 2 4 2 2 3" xfId="24011" xr:uid="{1BAD32C2-FDD2-4959-A528-7CCEB6D63D4E}"/>
    <cellStyle name="40% - Accent3 2 4 2 3" xfId="11353" xr:uid="{CB842E68-02AD-493D-9583-FE95C07E8238}"/>
    <cellStyle name="40% - Accent3 2 4 2 4" xfId="19794" xr:uid="{6B9C59C5-4261-4E7A-B669-2F4A5E4BB31A}"/>
    <cellStyle name="40% - Accent3 2 4 3" xfId="4984" xr:uid="{00000000-0005-0000-0000-000042050000}"/>
    <cellStyle name="40% - Accent3 2 4 3 2" xfId="13426" xr:uid="{01BFAB6E-381C-4838-8DF2-533909A60A4F}"/>
    <cellStyle name="40% - Accent3 2 4 3 3" xfId="21866" xr:uid="{DE32F881-D345-4667-BC86-5568AAECB7B4}"/>
    <cellStyle name="40% - Accent3 2 4 4" xfId="9208" xr:uid="{295F7A75-2608-42E7-95FD-D0A10EDD23EE}"/>
    <cellStyle name="40% - Accent3 2 4 5" xfId="17649" xr:uid="{625B2002-B454-4BDA-927A-8FD5FBDA3D8F}"/>
    <cellStyle name="40% - Accent3 2 5" xfId="1088" xr:uid="{00000000-0005-0000-0000-000043050000}"/>
    <cellStyle name="40% - Accent3 2 5 2" xfId="3319" xr:uid="{00000000-0005-0000-0000-000044050000}"/>
    <cellStyle name="40% - Accent3 2 5 2 2" xfId="7542" xr:uid="{00000000-0005-0000-0000-000045050000}"/>
    <cellStyle name="40% - Accent3 2 5 2 2 2" xfId="15984" xr:uid="{3582BC7E-FF91-4FC2-9D1F-83BC9A5AEAAA}"/>
    <cellStyle name="40% - Accent3 2 5 2 2 3" xfId="24424" xr:uid="{C869B2FD-3ACD-445F-B127-AB647B935E1E}"/>
    <cellStyle name="40% - Accent3 2 5 2 3" xfId="11766" xr:uid="{E72CB58E-33BB-4E07-9BCE-10EBEC8DEF81}"/>
    <cellStyle name="40% - Accent3 2 5 2 4" xfId="20207" xr:uid="{CA036275-637A-4CB9-9F51-D0164E3EF864}"/>
    <cellStyle name="40% - Accent3 2 5 3" xfId="5397" xr:uid="{00000000-0005-0000-0000-000046050000}"/>
    <cellStyle name="40% - Accent3 2 5 3 2" xfId="13839" xr:uid="{2E8E6140-4354-4304-8A46-9E155B0081FA}"/>
    <cellStyle name="40% - Accent3 2 5 3 3" xfId="22279" xr:uid="{AEA8F2D8-B1B6-4CDB-B332-CE17447D3F4E}"/>
    <cellStyle name="40% - Accent3 2 5 4" xfId="9621" xr:uid="{43008BCF-0042-4023-98D5-F1D14C047301}"/>
    <cellStyle name="40% - Accent3 2 5 5" xfId="18062" xr:uid="{752C448F-4EAD-401A-9436-310EBE118FFB}"/>
    <cellStyle name="40% - Accent3 2 6" xfId="1502" xr:uid="{00000000-0005-0000-0000-000047050000}"/>
    <cellStyle name="40% - Accent3 2 6 2" xfId="3732" xr:uid="{00000000-0005-0000-0000-000048050000}"/>
    <cellStyle name="40% - Accent3 2 6 2 2" xfId="7955" xr:uid="{00000000-0005-0000-0000-000049050000}"/>
    <cellStyle name="40% - Accent3 2 6 2 2 2" xfId="16397" xr:uid="{55307DB1-3AE4-4457-8C04-90EDED2294E1}"/>
    <cellStyle name="40% - Accent3 2 6 2 2 3" xfId="24837" xr:uid="{A7A6C3C7-749A-4AB3-89AC-58EF464FBF72}"/>
    <cellStyle name="40% - Accent3 2 6 2 3" xfId="12179" xr:uid="{E46EC10E-298E-4C6A-8A49-09C167AD5116}"/>
    <cellStyle name="40% - Accent3 2 6 2 4" xfId="20620" xr:uid="{4CB6F6BF-D55C-4A1C-AF35-CA3C224E51C2}"/>
    <cellStyle name="40% - Accent3 2 6 3" xfId="5810" xr:uid="{00000000-0005-0000-0000-00004A050000}"/>
    <cellStyle name="40% - Accent3 2 6 3 2" xfId="14252" xr:uid="{C74046D3-3DF1-4EE7-9B35-00C23166529A}"/>
    <cellStyle name="40% - Accent3 2 6 3 3" xfId="22692" xr:uid="{AC0FC459-3425-4166-8ED5-1A7F0CFD1382}"/>
    <cellStyle name="40% - Accent3 2 6 4" xfId="10034" xr:uid="{15E7CA50-4FFA-4080-A32D-A676348EE005}"/>
    <cellStyle name="40% - Accent3 2 6 5" xfId="18475" xr:uid="{6B105B83-CAD5-4B3D-8D9F-E4168D02EBFE}"/>
    <cellStyle name="40% - Accent3 2 7" xfId="1916" xr:uid="{00000000-0005-0000-0000-00004B050000}"/>
    <cellStyle name="40% - Accent3 2 7 2" xfId="4145" xr:uid="{00000000-0005-0000-0000-00004C050000}"/>
    <cellStyle name="40% - Accent3 2 7 2 2" xfId="8368" xr:uid="{00000000-0005-0000-0000-00004D050000}"/>
    <cellStyle name="40% - Accent3 2 7 2 2 2" xfId="16810" xr:uid="{7C079052-BA87-4F1E-8B13-170F5BBB0886}"/>
    <cellStyle name="40% - Accent3 2 7 2 2 3" xfId="25250" xr:uid="{063F276E-1D38-4A5B-9DC6-9B47B46C5D90}"/>
    <cellStyle name="40% - Accent3 2 7 2 3" xfId="12592" xr:uid="{42C334E0-E998-4710-B276-68A77E1414EA}"/>
    <cellStyle name="40% - Accent3 2 7 2 4" xfId="21033" xr:uid="{88BBD772-CECC-44CB-8697-32C8D34F4301}"/>
    <cellStyle name="40% - Accent3 2 7 3" xfId="6223" xr:uid="{00000000-0005-0000-0000-00004E050000}"/>
    <cellStyle name="40% - Accent3 2 7 3 2" xfId="14665" xr:uid="{9A60EC93-F338-4052-B9AF-07D47AEE074E}"/>
    <cellStyle name="40% - Accent3 2 7 3 3" xfId="23105" xr:uid="{D5508C01-CF77-4C51-B0C4-F0B0F80B89E5}"/>
    <cellStyle name="40% - Accent3 2 7 4" xfId="10447" xr:uid="{E2A84023-FB4D-4CEF-9A88-8B396B2C33FD}"/>
    <cellStyle name="40% - Accent3 2 7 5" xfId="18888" xr:uid="{0F075B56-67C1-4363-844C-DED83449E5EA}"/>
    <cellStyle name="40% - Accent3 2 8" xfId="2329" xr:uid="{00000000-0005-0000-0000-00004F050000}"/>
    <cellStyle name="40% - Accent3 2 8 2" xfId="6636" xr:uid="{00000000-0005-0000-0000-000050050000}"/>
    <cellStyle name="40% - Accent3 2 8 2 2" xfId="15078" xr:uid="{5BCB35CF-2DA1-46D1-BCF3-DB03ACF45C21}"/>
    <cellStyle name="40% - Accent3 2 8 2 3" xfId="23518" xr:uid="{B125DC57-0616-4032-A07A-14DDCCEED8C2}"/>
    <cellStyle name="40% - Accent3 2 8 3" xfId="10860" xr:uid="{A22925CE-B8F1-4D64-A5C4-0BDBA68932D8}"/>
    <cellStyle name="40% - Accent3 2 8 4" xfId="19301" xr:uid="{C6F3961A-9C12-4692-B8E4-5405EF80C1FD}"/>
    <cellStyle name="40% - Accent3 2 9" xfId="4570" xr:uid="{00000000-0005-0000-0000-000051050000}"/>
    <cellStyle name="40% - Accent3 2 9 2" xfId="13012" xr:uid="{B01D1EE0-9CB2-4B67-AFAB-F75F4CC97736}"/>
    <cellStyle name="40% - Accent3 2 9 3" xfId="21452" xr:uid="{FCF4FFA8-6BB8-4988-BE9B-18EBC9B3041D}"/>
    <cellStyle name="40% - Accent3 3" xfId="70" xr:uid="{00000000-0005-0000-0000-000052050000}"/>
    <cellStyle name="40% - Accent3 3 10" xfId="17239" xr:uid="{B5329FF7-6A4C-4172-A6F7-3957C471FACB}"/>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15576" xr:uid="{CA594D80-CF67-451D-AF55-CF5E6A33AEF9}"/>
    <cellStyle name="40% - Accent3 3 2 2 2 2 3" xfId="24016" xr:uid="{DA6B3C5F-A593-4D9A-B525-23D1331ACD0A}"/>
    <cellStyle name="40% - Accent3 3 2 2 2 3" xfId="11358" xr:uid="{61C01FFE-B9D2-455A-AEEB-32554D60389E}"/>
    <cellStyle name="40% - Accent3 3 2 2 2 4" xfId="19799" xr:uid="{71FA6073-9CB6-4B5E-9499-08F60B9C7A26}"/>
    <cellStyle name="40% - Accent3 3 2 2 3" xfId="4989" xr:uid="{00000000-0005-0000-0000-000057050000}"/>
    <cellStyle name="40% - Accent3 3 2 2 3 2" xfId="13431" xr:uid="{9A9B8565-5205-46CD-BACA-46886D9B5F01}"/>
    <cellStyle name="40% - Accent3 3 2 2 3 3" xfId="21871" xr:uid="{389C63A1-01E6-4C2C-9318-A679F05708B2}"/>
    <cellStyle name="40% - Accent3 3 2 2 4" xfId="9213" xr:uid="{86E56280-46D5-4926-B917-1691837CE8E1}"/>
    <cellStyle name="40% - Accent3 3 2 2 5" xfId="17654" xr:uid="{A7FE2232-729F-4FE1-9375-F6C206F85594}"/>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15989" xr:uid="{F2F94054-3922-4FF2-8610-8E229167F1FB}"/>
    <cellStyle name="40% - Accent3 3 2 3 2 2 3" xfId="24429" xr:uid="{0D081B5F-9D6C-4A2E-BE9E-A5308968C205}"/>
    <cellStyle name="40% - Accent3 3 2 3 2 3" xfId="11771" xr:uid="{3C978AF7-D974-4958-AB84-CC9A1CE52D20}"/>
    <cellStyle name="40% - Accent3 3 2 3 2 4" xfId="20212" xr:uid="{B328F613-77B1-4DEF-9EFB-17E59888EA14}"/>
    <cellStyle name="40% - Accent3 3 2 3 3" xfId="5402" xr:uid="{00000000-0005-0000-0000-00005B050000}"/>
    <cellStyle name="40% - Accent3 3 2 3 3 2" xfId="13844" xr:uid="{8357B429-DE1D-42DA-A38D-E748F56D12F7}"/>
    <cellStyle name="40% - Accent3 3 2 3 3 3" xfId="22284" xr:uid="{35A5A975-1190-46A0-9BE8-7628EE82DADC}"/>
    <cellStyle name="40% - Accent3 3 2 3 4" xfId="9626" xr:uid="{393334F3-5EFC-47DC-90C1-8F267F62BAF2}"/>
    <cellStyle name="40% - Accent3 3 2 3 5" xfId="18067" xr:uid="{B48E705E-FBE8-4398-853B-59E8E4E4173A}"/>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16402" xr:uid="{B43952F0-3C6B-4545-8F09-745EF9DD5E56}"/>
    <cellStyle name="40% - Accent3 3 2 4 2 2 3" xfId="24842" xr:uid="{452322FC-8B3A-4091-9BCB-2E5320DD50FA}"/>
    <cellStyle name="40% - Accent3 3 2 4 2 3" xfId="12184" xr:uid="{B60E86FD-A1C1-44ED-9DAD-F86038E89587}"/>
    <cellStyle name="40% - Accent3 3 2 4 2 4" xfId="20625" xr:uid="{E394BD61-17A3-4951-A831-618E5504035C}"/>
    <cellStyle name="40% - Accent3 3 2 4 3" xfId="5815" xr:uid="{00000000-0005-0000-0000-00005F050000}"/>
    <cellStyle name="40% - Accent3 3 2 4 3 2" xfId="14257" xr:uid="{0F0594D8-D3A0-4A2C-91CE-56B37746B002}"/>
    <cellStyle name="40% - Accent3 3 2 4 3 3" xfId="22697" xr:uid="{83375B15-9A89-447B-8F6D-19EE4C3E2EE6}"/>
    <cellStyle name="40% - Accent3 3 2 4 4" xfId="10039" xr:uid="{42EFE8B7-5DD3-48F9-90CF-14456501D21E}"/>
    <cellStyle name="40% - Accent3 3 2 4 5" xfId="18480" xr:uid="{CEA4D428-02A7-4A27-BE69-93BB7FFC584D}"/>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16815" xr:uid="{3B93B6D7-7FFB-4818-80A5-13EB88ED895E}"/>
    <cellStyle name="40% - Accent3 3 2 5 2 2 3" xfId="25255" xr:uid="{140D3667-A999-4C48-9865-BF691E438102}"/>
    <cellStyle name="40% - Accent3 3 2 5 2 3" xfId="12597" xr:uid="{C7F992E1-F665-4E1F-804C-DD352B9FA468}"/>
    <cellStyle name="40% - Accent3 3 2 5 2 4" xfId="21038" xr:uid="{2431E437-DD37-4F6E-B4A4-503AD84E389E}"/>
    <cellStyle name="40% - Accent3 3 2 5 3" xfId="6228" xr:uid="{00000000-0005-0000-0000-000063050000}"/>
    <cellStyle name="40% - Accent3 3 2 5 3 2" xfId="14670" xr:uid="{65D852CF-FF27-48B6-82A2-3C10ABF67144}"/>
    <cellStyle name="40% - Accent3 3 2 5 3 3" xfId="23110" xr:uid="{139FB5A4-B275-427C-9339-42A581D53EF3}"/>
    <cellStyle name="40% - Accent3 3 2 5 4" xfId="10452" xr:uid="{B6A65378-1817-439E-96E1-437CCF960E0C}"/>
    <cellStyle name="40% - Accent3 3 2 5 5" xfId="18893" xr:uid="{AA641CF0-4498-42A3-B45E-0C298DBAFDC6}"/>
    <cellStyle name="40% - Accent3 3 2 6" xfId="2334" xr:uid="{00000000-0005-0000-0000-000064050000}"/>
    <cellStyle name="40% - Accent3 3 2 6 2" xfId="6641" xr:uid="{00000000-0005-0000-0000-000065050000}"/>
    <cellStyle name="40% - Accent3 3 2 6 2 2" xfId="15083" xr:uid="{84CE9C2A-6B2F-456D-9CB4-B9618793D725}"/>
    <cellStyle name="40% - Accent3 3 2 6 2 3" xfId="23523" xr:uid="{3F5F4265-0E1D-4392-AF4F-19E103D563F3}"/>
    <cellStyle name="40% - Accent3 3 2 6 3" xfId="10865" xr:uid="{76EC0D4B-1D3B-4638-82BF-FD34167D3784}"/>
    <cellStyle name="40% - Accent3 3 2 6 4" xfId="19306" xr:uid="{4B65281E-5E05-4E66-876F-0EBD3F357160}"/>
    <cellStyle name="40% - Accent3 3 2 7" xfId="4575" xr:uid="{00000000-0005-0000-0000-000066050000}"/>
    <cellStyle name="40% - Accent3 3 2 7 2" xfId="13017" xr:uid="{CA94DB47-ACDB-4B68-B646-CC0D8B6D4901}"/>
    <cellStyle name="40% - Accent3 3 2 7 3" xfId="21457" xr:uid="{2E1E1A84-B812-4BB8-8059-1BC329485A5F}"/>
    <cellStyle name="40% - Accent3 3 2 8" xfId="8799" xr:uid="{D50C62C0-305F-4740-A980-FE3DC4AED025}"/>
    <cellStyle name="40% - Accent3 3 2 9" xfId="17240" xr:uid="{F4D631B8-DEFC-4B51-A5C7-390B8EE0D547}"/>
    <cellStyle name="40% - Accent3 3 3" xfId="639" xr:uid="{00000000-0005-0000-0000-000067050000}"/>
    <cellStyle name="40% - Accent3 3 3 2" xfId="2910" xr:uid="{00000000-0005-0000-0000-000068050000}"/>
    <cellStyle name="40% - Accent3 3 3 2 2" xfId="7133" xr:uid="{00000000-0005-0000-0000-000069050000}"/>
    <cellStyle name="40% - Accent3 3 3 2 2 2" xfId="15575" xr:uid="{C972EF97-7FC5-4055-8579-A45ACBC51771}"/>
    <cellStyle name="40% - Accent3 3 3 2 2 3" xfId="24015" xr:uid="{0C1ED5CD-D7E4-4D26-8355-244F54899E44}"/>
    <cellStyle name="40% - Accent3 3 3 2 3" xfId="11357" xr:uid="{3A914802-0532-4C44-AE7A-1348DA490391}"/>
    <cellStyle name="40% - Accent3 3 3 2 4" xfId="19798" xr:uid="{C3895362-5FF6-4B6E-BE30-F5BBD70F57A7}"/>
    <cellStyle name="40% - Accent3 3 3 3" xfId="4988" xr:uid="{00000000-0005-0000-0000-00006A050000}"/>
    <cellStyle name="40% - Accent3 3 3 3 2" xfId="13430" xr:uid="{3B3D97B7-58D5-4EEE-9911-BE32115E025E}"/>
    <cellStyle name="40% - Accent3 3 3 3 3" xfId="21870" xr:uid="{F4D0E8E9-5FB1-4D80-B965-BBDF42AA5021}"/>
    <cellStyle name="40% - Accent3 3 3 4" xfId="9212" xr:uid="{A425B15D-8C4B-43A1-8E4C-1423E6FEE744}"/>
    <cellStyle name="40% - Accent3 3 3 5" xfId="17653" xr:uid="{7DC1EC83-2C4E-44B9-B8CD-66DEC4C993DA}"/>
    <cellStyle name="40% - Accent3 3 4" xfId="1092" xr:uid="{00000000-0005-0000-0000-00006B050000}"/>
    <cellStyle name="40% - Accent3 3 4 2" xfId="3323" xr:uid="{00000000-0005-0000-0000-00006C050000}"/>
    <cellStyle name="40% - Accent3 3 4 2 2" xfId="7546" xr:uid="{00000000-0005-0000-0000-00006D050000}"/>
    <cellStyle name="40% - Accent3 3 4 2 2 2" xfId="15988" xr:uid="{0ED1AD55-16F3-4D08-A74D-4ED5A0C1B82A}"/>
    <cellStyle name="40% - Accent3 3 4 2 2 3" xfId="24428" xr:uid="{72184B25-C079-4324-AEB8-23913C73B2F6}"/>
    <cellStyle name="40% - Accent3 3 4 2 3" xfId="11770" xr:uid="{89B9921C-CAB1-495F-9FF3-1B652EDA36B6}"/>
    <cellStyle name="40% - Accent3 3 4 2 4" xfId="20211" xr:uid="{8EC6DAE7-7367-4477-BFE4-E1540E6896EE}"/>
    <cellStyle name="40% - Accent3 3 4 3" xfId="5401" xr:uid="{00000000-0005-0000-0000-00006E050000}"/>
    <cellStyle name="40% - Accent3 3 4 3 2" xfId="13843" xr:uid="{B7FD06E8-9E86-418C-854B-60544FAB15F8}"/>
    <cellStyle name="40% - Accent3 3 4 3 3" xfId="22283" xr:uid="{BC174AA3-B5FF-4904-943C-9656AC871A4C}"/>
    <cellStyle name="40% - Accent3 3 4 4" xfId="9625" xr:uid="{688503A1-3B4A-43D4-8BCF-0EC2B444775F}"/>
    <cellStyle name="40% - Accent3 3 4 5" xfId="18066" xr:uid="{CCDA9BB3-A6C8-47E4-B6B8-C1DD1F4A0CC9}"/>
    <cellStyle name="40% - Accent3 3 5" xfId="1506" xr:uid="{00000000-0005-0000-0000-00006F050000}"/>
    <cellStyle name="40% - Accent3 3 5 2" xfId="3736" xr:uid="{00000000-0005-0000-0000-000070050000}"/>
    <cellStyle name="40% - Accent3 3 5 2 2" xfId="7959" xr:uid="{00000000-0005-0000-0000-000071050000}"/>
    <cellStyle name="40% - Accent3 3 5 2 2 2" xfId="16401" xr:uid="{2FC945AF-6352-4E82-B144-7CDB5AAB82A4}"/>
    <cellStyle name="40% - Accent3 3 5 2 2 3" xfId="24841" xr:uid="{79D74568-7956-4E12-8AFD-86EB4D7F2EE4}"/>
    <cellStyle name="40% - Accent3 3 5 2 3" xfId="12183" xr:uid="{29753B73-AA5E-4456-823F-13910DF3A2FE}"/>
    <cellStyle name="40% - Accent3 3 5 2 4" xfId="20624" xr:uid="{38DA9DE8-CACF-4EA2-B456-39C10248EA48}"/>
    <cellStyle name="40% - Accent3 3 5 3" xfId="5814" xr:uid="{00000000-0005-0000-0000-000072050000}"/>
    <cellStyle name="40% - Accent3 3 5 3 2" xfId="14256" xr:uid="{8D21DF18-B02C-4192-A6BA-52F067AFDD48}"/>
    <cellStyle name="40% - Accent3 3 5 3 3" xfId="22696" xr:uid="{011166B5-32B6-4A91-8753-F6E12BF92420}"/>
    <cellStyle name="40% - Accent3 3 5 4" xfId="10038" xr:uid="{DAF8D290-71BB-43C5-89B4-C12DD22CF8A9}"/>
    <cellStyle name="40% - Accent3 3 5 5" xfId="18479" xr:uid="{FD7DAB0B-762B-4FED-9A67-9FA9D8754EBA}"/>
    <cellStyle name="40% - Accent3 3 6" xfId="1920" xr:uid="{00000000-0005-0000-0000-000073050000}"/>
    <cellStyle name="40% - Accent3 3 6 2" xfId="4149" xr:uid="{00000000-0005-0000-0000-000074050000}"/>
    <cellStyle name="40% - Accent3 3 6 2 2" xfId="8372" xr:uid="{00000000-0005-0000-0000-000075050000}"/>
    <cellStyle name="40% - Accent3 3 6 2 2 2" xfId="16814" xr:uid="{80ADF124-4692-46EC-A389-A42C8D74F27A}"/>
    <cellStyle name="40% - Accent3 3 6 2 2 3" xfId="25254" xr:uid="{9402A9DD-F229-44EE-A96D-921B0D659B6B}"/>
    <cellStyle name="40% - Accent3 3 6 2 3" xfId="12596" xr:uid="{AB0BBF2E-9540-4B94-927B-26A385BF1673}"/>
    <cellStyle name="40% - Accent3 3 6 2 4" xfId="21037" xr:uid="{83BBF403-A607-4E50-A7E6-820A705F170C}"/>
    <cellStyle name="40% - Accent3 3 6 3" xfId="6227" xr:uid="{00000000-0005-0000-0000-000076050000}"/>
    <cellStyle name="40% - Accent3 3 6 3 2" xfId="14669" xr:uid="{12580064-6A66-4C60-A71A-A77371F63064}"/>
    <cellStyle name="40% - Accent3 3 6 3 3" xfId="23109" xr:uid="{C03A8646-C8E9-46B9-A6EE-4EA73B9864EB}"/>
    <cellStyle name="40% - Accent3 3 6 4" xfId="10451" xr:uid="{BCC0061E-6956-4A75-8AB3-C2E444FF275B}"/>
    <cellStyle name="40% - Accent3 3 6 5" xfId="18892" xr:uid="{D60D856B-CD0F-434A-A226-738E0A68E327}"/>
    <cellStyle name="40% - Accent3 3 7" xfId="2333" xr:uid="{00000000-0005-0000-0000-000077050000}"/>
    <cellStyle name="40% - Accent3 3 7 2" xfId="6640" xr:uid="{00000000-0005-0000-0000-000078050000}"/>
    <cellStyle name="40% - Accent3 3 7 2 2" xfId="15082" xr:uid="{914F661A-7398-4A65-8177-7E6B022EA4AA}"/>
    <cellStyle name="40% - Accent3 3 7 2 3" xfId="23522" xr:uid="{808D786C-4766-4C8E-840E-61CA3283596C}"/>
    <cellStyle name="40% - Accent3 3 7 3" xfId="10864" xr:uid="{EBE06438-FD05-4F08-A440-50A038759D22}"/>
    <cellStyle name="40% - Accent3 3 7 4" xfId="19305" xr:uid="{924D35EA-7830-4166-B4F9-ACDECE990807}"/>
    <cellStyle name="40% - Accent3 3 8" xfId="4574" xr:uid="{00000000-0005-0000-0000-000079050000}"/>
    <cellStyle name="40% - Accent3 3 8 2" xfId="13016" xr:uid="{BE140BC6-093E-4399-A42B-1D25DE9565D0}"/>
    <cellStyle name="40% - Accent3 3 8 3" xfId="21456" xr:uid="{E54A1C57-6709-42FB-AB63-227B6D0FF7CF}"/>
    <cellStyle name="40% - Accent3 3 9" xfId="8798" xr:uid="{4C5DDB58-20C1-403F-9BBA-5DCA9D098856}"/>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2 2 2" xfId="15577" xr:uid="{54AFD2E4-BD5C-43F4-9673-1C4534D82529}"/>
    <cellStyle name="40% - Accent3 4 2 2 2 3" xfId="24017" xr:uid="{5D82AD9C-F116-47DD-B9FE-ADA10FE73ECF}"/>
    <cellStyle name="40% - Accent3 4 2 2 3" xfId="11359" xr:uid="{B8B893A2-7F8D-4EBA-8234-369243E782D0}"/>
    <cellStyle name="40% - Accent3 4 2 2 4" xfId="19800" xr:uid="{41AE45A1-2D35-4C3D-9CF6-12ACB7AAC745}"/>
    <cellStyle name="40% - Accent3 4 2 3" xfId="4990" xr:uid="{00000000-0005-0000-0000-00007E050000}"/>
    <cellStyle name="40% - Accent3 4 2 3 2" xfId="13432" xr:uid="{D46EB2FA-3BE4-44CB-9860-94E669F226C8}"/>
    <cellStyle name="40% - Accent3 4 2 3 3" xfId="21872" xr:uid="{1116574A-65FF-4527-B449-2F131F2EDC7F}"/>
    <cellStyle name="40% - Accent3 4 2 4" xfId="9214" xr:uid="{C3930521-5D58-4353-9D0E-FBA641F4D3BF}"/>
    <cellStyle name="40% - Accent3 4 2 5" xfId="17655" xr:uid="{4FBC8E8E-3843-4ACE-93FE-4ECD3EF7CC23}"/>
    <cellStyle name="40% - Accent3 4 3" xfId="1094" xr:uid="{00000000-0005-0000-0000-00007F050000}"/>
    <cellStyle name="40% - Accent3 4 3 2" xfId="3325" xr:uid="{00000000-0005-0000-0000-000080050000}"/>
    <cellStyle name="40% - Accent3 4 3 2 2" xfId="7548" xr:uid="{00000000-0005-0000-0000-000081050000}"/>
    <cellStyle name="40% - Accent3 4 3 2 2 2" xfId="15990" xr:uid="{26FF0CB5-30EA-4F25-8FEB-C70849B6DB25}"/>
    <cellStyle name="40% - Accent3 4 3 2 2 3" xfId="24430" xr:uid="{770B1BD1-8B67-47F1-90D7-614CDDF28397}"/>
    <cellStyle name="40% - Accent3 4 3 2 3" xfId="11772" xr:uid="{F53EA34E-3026-4AC0-9F33-C795D8CB44DF}"/>
    <cellStyle name="40% - Accent3 4 3 2 4" xfId="20213" xr:uid="{EE68607B-F63F-4A61-9D42-A4791759195F}"/>
    <cellStyle name="40% - Accent3 4 3 3" xfId="5403" xr:uid="{00000000-0005-0000-0000-000082050000}"/>
    <cellStyle name="40% - Accent3 4 3 3 2" xfId="13845" xr:uid="{AC0AE93F-5D76-44E6-8B32-33EA47BDA4DB}"/>
    <cellStyle name="40% - Accent3 4 3 3 3" xfId="22285" xr:uid="{7CB33EB3-ABCD-4306-BF04-0022C9737C24}"/>
    <cellStyle name="40% - Accent3 4 3 4" xfId="9627" xr:uid="{80757183-36F7-4093-BB07-2323501F4D1B}"/>
    <cellStyle name="40% - Accent3 4 3 5" xfId="18068" xr:uid="{04418EFB-D442-43D8-97AE-6BCAB5DA802B}"/>
    <cellStyle name="40% - Accent3 4 4" xfId="1508" xr:uid="{00000000-0005-0000-0000-000083050000}"/>
    <cellStyle name="40% - Accent3 4 4 2" xfId="3738" xr:uid="{00000000-0005-0000-0000-000084050000}"/>
    <cellStyle name="40% - Accent3 4 4 2 2" xfId="7961" xr:uid="{00000000-0005-0000-0000-000085050000}"/>
    <cellStyle name="40% - Accent3 4 4 2 2 2" xfId="16403" xr:uid="{2F3DC281-A48B-4DAB-9CE9-58584191B2CF}"/>
    <cellStyle name="40% - Accent3 4 4 2 2 3" xfId="24843" xr:uid="{80756E16-4EF2-49D2-BAB1-8B7B53798819}"/>
    <cellStyle name="40% - Accent3 4 4 2 3" xfId="12185" xr:uid="{6B505208-FFD1-421B-A7EB-107EE0E063B2}"/>
    <cellStyle name="40% - Accent3 4 4 2 4" xfId="20626" xr:uid="{494FB725-4B73-4CD6-8A76-AFF8FAEEC192}"/>
    <cellStyle name="40% - Accent3 4 4 3" xfId="5816" xr:uid="{00000000-0005-0000-0000-000086050000}"/>
    <cellStyle name="40% - Accent3 4 4 3 2" xfId="14258" xr:uid="{E0F44948-6B89-468B-AF32-4F9775CFFBCF}"/>
    <cellStyle name="40% - Accent3 4 4 3 3" xfId="22698" xr:uid="{E5436DE9-C094-4DCE-9E3F-2DE93B771CA2}"/>
    <cellStyle name="40% - Accent3 4 4 4" xfId="10040" xr:uid="{30806164-05F9-4295-86A6-4DF4F7B0A56F}"/>
    <cellStyle name="40% - Accent3 4 4 5" xfId="18481" xr:uid="{C2E96D9C-B2A0-42BE-B075-3F055525A63E}"/>
    <cellStyle name="40% - Accent3 4 5" xfId="1922" xr:uid="{00000000-0005-0000-0000-000087050000}"/>
    <cellStyle name="40% - Accent3 4 5 2" xfId="4151" xr:uid="{00000000-0005-0000-0000-000088050000}"/>
    <cellStyle name="40% - Accent3 4 5 2 2" xfId="8374" xr:uid="{00000000-0005-0000-0000-000089050000}"/>
    <cellStyle name="40% - Accent3 4 5 2 2 2" xfId="16816" xr:uid="{AC42332C-B44D-4D4B-99F9-0FB191AD34D9}"/>
    <cellStyle name="40% - Accent3 4 5 2 2 3" xfId="25256" xr:uid="{C87C5CA5-B95D-46DF-9947-BEE6E4EB51A2}"/>
    <cellStyle name="40% - Accent3 4 5 2 3" xfId="12598" xr:uid="{37D83835-C012-4364-8001-BA30BDB28549}"/>
    <cellStyle name="40% - Accent3 4 5 2 4" xfId="21039" xr:uid="{F2ACEBAA-B686-4608-8562-973C7A946380}"/>
    <cellStyle name="40% - Accent3 4 5 3" xfId="6229" xr:uid="{00000000-0005-0000-0000-00008A050000}"/>
    <cellStyle name="40% - Accent3 4 5 3 2" xfId="14671" xr:uid="{56C5DB98-1938-4AA9-AD22-80BB3CE84F51}"/>
    <cellStyle name="40% - Accent3 4 5 3 3" xfId="23111" xr:uid="{EAA3F69D-95DB-402D-BCB2-B8A3B9CF542F}"/>
    <cellStyle name="40% - Accent3 4 5 4" xfId="10453" xr:uid="{E60C4A0C-AD8E-4080-84C6-E7A5CCA8D90F}"/>
    <cellStyle name="40% - Accent3 4 5 5" xfId="18894" xr:uid="{1C22417C-367B-44E6-8FA7-8F661D773552}"/>
    <cellStyle name="40% - Accent3 4 6" xfId="2335" xr:uid="{00000000-0005-0000-0000-00008B050000}"/>
    <cellStyle name="40% - Accent3 4 6 2" xfId="6642" xr:uid="{00000000-0005-0000-0000-00008C050000}"/>
    <cellStyle name="40% - Accent3 4 6 2 2" xfId="15084" xr:uid="{147C98C0-4B6C-4E25-980E-70955A1E3C6D}"/>
    <cellStyle name="40% - Accent3 4 6 2 3" xfId="23524" xr:uid="{0BD85ABB-11E4-42E0-AE89-F1E91BB03C60}"/>
    <cellStyle name="40% - Accent3 4 6 3" xfId="10866" xr:uid="{96948BB1-0D95-47D4-A810-86043C259816}"/>
    <cellStyle name="40% - Accent3 4 6 4" xfId="19307" xr:uid="{CDA65241-05DA-4590-B844-D6F2CDD3AD99}"/>
    <cellStyle name="40% - Accent3 4 7" xfId="4576" xr:uid="{00000000-0005-0000-0000-00008D050000}"/>
    <cellStyle name="40% - Accent3 4 7 2" xfId="13018" xr:uid="{5797F387-EB2E-4BBB-AFA3-0DA366733915}"/>
    <cellStyle name="40% - Accent3 4 7 3" xfId="21458" xr:uid="{F4E73803-5984-46DA-B95D-317DFA9505A3}"/>
    <cellStyle name="40% - Accent3 4 8" xfId="8800" xr:uid="{E163E26D-5471-4473-8C52-ADA12B2BE7D8}"/>
    <cellStyle name="40% - Accent3 4 9" xfId="17241" xr:uid="{F1420C13-66EE-485E-B973-554B1C3F4C58}"/>
    <cellStyle name="40% - Accent3 5" xfId="634" xr:uid="{00000000-0005-0000-0000-00008E050000}"/>
    <cellStyle name="40% - Accent3 5 2" xfId="2905" xr:uid="{00000000-0005-0000-0000-00008F050000}"/>
    <cellStyle name="40% - Accent3 5 2 2" xfId="7128" xr:uid="{00000000-0005-0000-0000-000090050000}"/>
    <cellStyle name="40% - Accent3 5 2 2 2" xfId="15570" xr:uid="{A0CC5D82-404B-43DF-BFAD-C2D13D51CF64}"/>
    <cellStyle name="40% - Accent3 5 2 2 3" xfId="24010" xr:uid="{B685CCBE-0DE8-4C4E-8C84-16CB975194E9}"/>
    <cellStyle name="40% - Accent3 5 2 3" xfId="11352" xr:uid="{5E813964-EC56-47F7-B25C-3FEF7BBCE5F1}"/>
    <cellStyle name="40% - Accent3 5 2 4" xfId="19793" xr:uid="{7152BA1A-8C6B-407E-B056-F4FD13085478}"/>
    <cellStyle name="40% - Accent3 5 3" xfId="4983" xr:uid="{00000000-0005-0000-0000-000091050000}"/>
    <cellStyle name="40% - Accent3 5 3 2" xfId="13425" xr:uid="{82A74FB3-1618-4047-9687-04FBD2EEBC8C}"/>
    <cellStyle name="40% - Accent3 5 3 3" xfId="21865" xr:uid="{5DD7BFE7-8B26-4820-9660-C4419AAAD8CB}"/>
    <cellStyle name="40% - Accent3 5 4" xfId="9207" xr:uid="{5B308BCD-D4A8-4333-8D8B-689BEA98C90E}"/>
    <cellStyle name="40% - Accent3 5 5" xfId="17648" xr:uid="{C185421F-35AD-4E47-B373-33D22BF5D266}"/>
    <cellStyle name="40% - Accent3 6" xfId="1087" xr:uid="{00000000-0005-0000-0000-000092050000}"/>
    <cellStyle name="40% - Accent3 6 2" xfId="3318" xr:uid="{00000000-0005-0000-0000-000093050000}"/>
    <cellStyle name="40% - Accent3 6 2 2" xfId="7541" xr:uid="{00000000-0005-0000-0000-000094050000}"/>
    <cellStyle name="40% - Accent3 6 2 2 2" xfId="15983" xr:uid="{F1C61DD6-AF41-4CFB-9103-420D8A6EA1AC}"/>
    <cellStyle name="40% - Accent3 6 2 2 3" xfId="24423" xr:uid="{7187AAEC-91C4-45D3-91DE-CC9C3F291F11}"/>
    <cellStyle name="40% - Accent3 6 2 3" xfId="11765" xr:uid="{05C0B613-915D-40BB-B76B-BEAF113BED81}"/>
    <cellStyle name="40% - Accent3 6 2 4" xfId="20206" xr:uid="{76E55E8F-8772-469E-B660-98ED1C0E98F1}"/>
    <cellStyle name="40% - Accent3 6 3" xfId="5396" xr:uid="{00000000-0005-0000-0000-000095050000}"/>
    <cellStyle name="40% - Accent3 6 3 2" xfId="13838" xr:uid="{7569E1A0-B271-4529-883A-833BDC0615FC}"/>
    <cellStyle name="40% - Accent3 6 3 3" xfId="22278" xr:uid="{7A448BB1-ACC1-4E7C-AF95-7517C6DE9A9B}"/>
    <cellStyle name="40% - Accent3 6 4" xfId="9620" xr:uid="{005A3A63-3ECA-443C-9F80-123B583BE859}"/>
    <cellStyle name="40% - Accent3 6 5" xfId="18061" xr:uid="{FEA50010-1924-41C1-AA39-95FAEB56FD3F}"/>
    <cellStyle name="40% - Accent3 7" xfId="1501" xr:uid="{00000000-0005-0000-0000-000096050000}"/>
    <cellStyle name="40% - Accent3 7 2" xfId="3731" xr:uid="{00000000-0005-0000-0000-000097050000}"/>
    <cellStyle name="40% - Accent3 7 2 2" xfId="7954" xr:uid="{00000000-0005-0000-0000-000098050000}"/>
    <cellStyle name="40% - Accent3 7 2 2 2" xfId="16396" xr:uid="{2BC560C8-5DD3-480E-B410-79D67AC9EC83}"/>
    <cellStyle name="40% - Accent3 7 2 2 3" xfId="24836" xr:uid="{FC280ACC-B5AC-4067-91FD-C20891F031C1}"/>
    <cellStyle name="40% - Accent3 7 2 3" xfId="12178" xr:uid="{6DC0554C-0AF6-408B-B3B3-F7A9BD865D8A}"/>
    <cellStyle name="40% - Accent3 7 2 4" xfId="20619" xr:uid="{D2E60AC1-C8C6-4870-9DA3-CF45EC915901}"/>
    <cellStyle name="40% - Accent3 7 3" xfId="5809" xr:uid="{00000000-0005-0000-0000-000099050000}"/>
    <cellStyle name="40% - Accent3 7 3 2" xfId="14251" xr:uid="{BBE22544-BB5C-490C-AEB2-BE408D1341AE}"/>
    <cellStyle name="40% - Accent3 7 3 3" xfId="22691" xr:uid="{9BE1A47B-1776-4E7D-BB76-577E7AF279FB}"/>
    <cellStyle name="40% - Accent3 7 4" xfId="10033" xr:uid="{F80EA6CF-1C43-48C3-B959-C4372C4C5C9D}"/>
    <cellStyle name="40% - Accent3 7 5" xfId="18474" xr:uid="{CD6A8C01-0295-40DB-B66F-08B3F4D7B08C}"/>
    <cellStyle name="40% - Accent3 8" xfId="1915" xr:uid="{00000000-0005-0000-0000-00009A050000}"/>
    <cellStyle name="40% - Accent3 8 2" xfId="4144" xr:uid="{00000000-0005-0000-0000-00009B050000}"/>
    <cellStyle name="40% - Accent3 8 2 2" xfId="8367" xr:uid="{00000000-0005-0000-0000-00009C050000}"/>
    <cellStyle name="40% - Accent3 8 2 2 2" xfId="16809" xr:uid="{61FE6C86-27B4-491F-A66F-A76D778CDF01}"/>
    <cellStyle name="40% - Accent3 8 2 2 3" xfId="25249" xr:uid="{4403B352-9A4D-4468-8663-CD121F57E08A}"/>
    <cellStyle name="40% - Accent3 8 2 3" xfId="12591" xr:uid="{B0591BFD-FE8A-4137-BD14-C2AB6C6138B8}"/>
    <cellStyle name="40% - Accent3 8 2 4" xfId="21032" xr:uid="{819052A4-1A25-4086-8D80-22107C898001}"/>
    <cellStyle name="40% - Accent3 8 3" xfId="6222" xr:uid="{00000000-0005-0000-0000-00009D050000}"/>
    <cellStyle name="40% - Accent3 8 3 2" xfId="14664" xr:uid="{30E4A3C0-8EB9-442C-92C0-89658836D900}"/>
    <cellStyle name="40% - Accent3 8 3 3" xfId="23104" xr:uid="{06DE9AC0-9D0A-4BFB-ACCD-B3A2F1D3D20E}"/>
    <cellStyle name="40% - Accent3 8 4" xfId="10446" xr:uid="{AD159954-1DF5-4FD1-875C-AFFC900BD939}"/>
    <cellStyle name="40% - Accent3 8 5" xfId="18887" xr:uid="{803B8C9F-6C41-4149-A0AC-DDA0799055A8}"/>
    <cellStyle name="40% - Accent3 9" xfId="2328" xr:uid="{00000000-0005-0000-0000-00009E050000}"/>
    <cellStyle name="40% - Accent3 9 2" xfId="6635" xr:uid="{00000000-0005-0000-0000-00009F050000}"/>
    <cellStyle name="40% - Accent3 9 2 2" xfId="15077" xr:uid="{91DD42A8-C1DD-4E9B-A08D-38A0E0F3ED53}"/>
    <cellStyle name="40% - Accent3 9 2 3" xfId="23517" xr:uid="{B1019CFB-495D-48CB-B5FA-94A8A1786EA3}"/>
    <cellStyle name="40% - Accent3 9 3" xfId="10859" xr:uid="{B8376C30-AC2F-4A49-A95E-C9065C12BD16}"/>
    <cellStyle name="40% - Accent3 9 4" xfId="19300" xr:uid="{2C275832-1314-4DB9-A761-EDF7CCE77A45}"/>
    <cellStyle name="40% - Accent4" xfId="73" builtinId="43" customBuiltin="1"/>
    <cellStyle name="40% - Accent4 10" xfId="4577" xr:uid="{00000000-0005-0000-0000-0000A1050000}"/>
    <cellStyle name="40% - Accent4 10 2" xfId="13019" xr:uid="{22602A33-4997-4F79-BBF8-EB296CE5C11B}"/>
    <cellStyle name="40% - Accent4 10 3" xfId="21459" xr:uid="{6C853C2A-AD95-4639-BD87-0303A7458F33}"/>
    <cellStyle name="40% - Accent4 11" xfId="8801" xr:uid="{9B4AEFE2-6FED-43FB-9A73-10079921787A}"/>
    <cellStyle name="40% - Accent4 12" xfId="17242" xr:uid="{72A39B90-DD22-441F-A903-D4D726CFA80C}"/>
    <cellStyle name="40% - Accent4 2" xfId="74" xr:uid="{00000000-0005-0000-0000-0000A2050000}"/>
    <cellStyle name="40% - Accent4 2 10" xfId="8802" xr:uid="{9350E014-60AF-4500-98FA-6A3AD2E93EC8}"/>
    <cellStyle name="40% - Accent4 2 11" xfId="17243" xr:uid="{DF33A400-E4AF-4107-937A-177E97398727}"/>
    <cellStyle name="40% - Accent4 2 2" xfId="75" xr:uid="{00000000-0005-0000-0000-0000A3050000}"/>
    <cellStyle name="40% - Accent4 2 2 10" xfId="17244" xr:uid="{95293C80-0B14-4A9B-9C77-9153E87401C4}"/>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15581" xr:uid="{ED65C859-5F4F-4D69-8E8C-549F46BDBA46}"/>
    <cellStyle name="40% - Accent4 2 2 2 2 2 2 3" xfId="24021" xr:uid="{DD11476B-7D37-4035-8199-CA89E6E49271}"/>
    <cellStyle name="40% - Accent4 2 2 2 2 2 3" xfId="11363" xr:uid="{BF2440C9-2A33-4FAD-B5B8-3AEC642E8E19}"/>
    <cellStyle name="40% - Accent4 2 2 2 2 2 4" xfId="19804" xr:uid="{91D78CD4-A684-45E5-8946-D08E92406D40}"/>
    <cellStyle name="40% - Accent4 2 2 2 2 3" xfId="4994" xr:uid="{00000000-0005-0000-0000-0000A8050000}"/>
    <cellStyle name="40% - Accent4 2 2 2 2 3 2" xfId="13436" xr:uid="{7A497C54-7709-4D9C-BDFD-88F62A030E56}"/>
    <cellStyle name="40% - Accent4 2 2 2 2 3 3" xfId="21876" xr:uid="{2366D7E3-199D-4175-B36D-B61F8C0CE917}"/>
    <cellStyle name="40% - Accent4 2 2 2 2 4" xfId="9218" xr:uid="{9798EE7B-2A54-45A5-A1A2-BF5AE19F1D07}"/>
    <cellStyle name="40% - Accent4 2 2 2 2 5" xfId="17659" xr:uid="{63CBE15D-2C8A-4916-A36F-D3065DC087F2}"/>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15994" xr:uid="{2E423CEA-0E02-4BBC-9D33-B1F5C61B398E}"/>
    <cellStyle name="40% - Accent4 2 2 2 3 2 2 3" xfId="24434" xr:uid="{C2764BFE-03DE-4DFD-8CF7-F7CFE9EC0927}"/>
    <cellStyle name="40% - Accent4 2 2 2 3 2 3" xfId="11776" xr:uid="{29BE5F67-D497-4D6F-BA4E-1DC6E715FC8D}"/>
    <cellStyle name="40% - Accent4 2 2 2 3 2 4" xfId="20217" xr:uid="{D99CCEB0-B98C-420D-AF57-B695B17BE77A}"/>
    <cellStyle name="40% - Accent4 2 2 2 3 3" xfId="5407" xr:uid="{00000000-0005-0000-0000-0000AC050000}"/>
    <cellStyle name="40% - Accent4 2 2 2 3 3 2" xfId="13849" xr:uid="{2A2E0A6D-FF93-43AB-91A1-3349DC44C6C3}"/>
    <cellStyle name="40% - Accent4 2 2 2 3 3 3" xfId="22289" xr:uid="{FF59FF11-0931-462D-8DFD-4832E615BDD3}"/>
    <cellStyle name="40% - Accent4 2 2 2 3 4" xfId="9631" xr:uid="{923D35A2-05EC-4DC7-BAC9-96A03C461944}"/>
    <cellStyle name="40% - Accent4 2 2 2 3 5" xfId="18072" xr:uid="{33027A1C-1CDE-4FD3-A585-0915131A3DDE}"/>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16407" xr:uid="{075E9C1D-7A44-4849-B3CC-0F993AA6C65E}"/>
    <cellStyle name="40% - Accent4 2 2 2 4 2 2 3" xfId="24847" xr:uid="{E3386276-5490-4814-95FB-A767372C026E}"/>
    <cellStyle name="40% - Accent4 2 2 2 4 2 3" xfId="12189" xr:uid="{C596DC2A-81AB-4FA1-8DCB-BAEF0364A4CD}"/>
    <cellStyle name="40% - Accent4 2 2 2 4 2 4" xfId="20630" xr:uid="{6A1D257A-79EB-46DC-842E-7BC3D38FBA16}"/>
    <cellStyle name="40% - Accent4 2 2 2 4 3" xfId="5820" xr:uid="{00000000-0005-0000-0000-0000B0050000}"/>
    <cellStyle name="40% - Accent4 2 2 2 4 3 2" xfId="14262" xr:uid="{AB605B79-5955-40C8-A3DF-CC99A0E818E2}"/>
    <cellStyle name="40% - Accent4 2 2 2 4 3 3" xfId="22702" xr:uid="{9EF0D132-9C5A-4A28-A7C3-584F26773FFD}"/>
    <cellStyle name="40% - Accent4 2 2 2 4 4" xfId="10044" xr:uid="{3026563D-7029-4388-8520-3D96419F1FF6}"/>
    <cellStyle name="40% - Accent4 2 2 2 4 5" xfId="18485" xr:uid="{81D7E84B-18ED-4C7D-B6B8-D4C06DBD7E9F}"/>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16820" xr:uid="{A329AFE0-1037-4E96-838A-70B5465E12D5}"/>
    <cellStyle name="40% - Accent4 2 2 2 5 2 2 3" xfId="25260" xr:uid="{03ABDD25-23F9-4886-B7FB-9DF341CD0DBD}"/>
    <cellStyle name="40% - Accent4 2 2 2 5 2 3" xfId="12602" xr:uid="{B2281EBC-014D-4B8D-BF8F-180F9C58024F}"/>
    <cellStyle name="40% - Accent4 2 2 2 5 2 4" xfId="21043" xr:uid="{4CD882DC-6DCF-4FAC-BDFD-5BB1714B4E2F}"/>
    <cellStyle name="40% - Accent4 2 2 2 5 3" xfId="6233" xr:uid="{00000000-0005-0000-0000-0000B4050000}"/>
    <cellStyle name="40% - Accent4 2 2 2 5 3 2" xfId="14675" xr:uid="{47FC0544-6AB5-4ECC-83D3-C17EE1BCF7BA}"/>
    <cellStyle name="40% - Accent4 2 2 2 5 3 3" xfId="23115" xr:uid="{13061BFB-BA2E-4A9A-A8A0-F3D750FE4AB1}"/>
    <cellStyle name="40% - Accent4 2 2 2 5 4" xfId="10457" xr:uid="{0419400D-1A8E-4D90-830F-F7F4A6EC2C23}"/>
    <cellStyle name="40% - Accent4 2 2 2 5 5" xfId="18898" xr:uid="{D22ABED9-B06F-4C42-9CA7-E274BC517E6B}"/>
    <cellStyle name="40% - Accent4 2 2 2 6" xfId="2339" xr:uid="{00000000-0005-0000-0000-0000B5050000}"/>
    <cellStyle name="40% - Accent4 2 2 2 6 2" xfId="6646" xr:uid="{00000000-0005-0000-0000-0000B6050000}"/>
    <cellStyle name="40% - Accent4 2 2 2 6 2 2" xfId="15088" xr:uid="{06BC804A-3921-4514-BB43-AD172EE726E4}"/>
    <cellStyle name="40% - Accent4 2 2 2 6 2 3" xfId="23528" xr:uid="{71D4E430-7F65-411A-9B9D-462BE78F1A6E}"/>
    <cellStyle name="40% - Accent4 2 2 2 6 3" xfId="10870" xr:uid="{905782B4-40E6-4BA5-BDEB-8F83D3C0D406}"/>
    <cellStyle name="40% - Accent4 2 2 2 6 4" xfId="19311" xr:uid="{7C505723-C32E-4D0A-B35D-68A2C2897554}"/>
    <cellStyle name="40% - Accent4 2 2 2 7" xfId="4580" xr:uid="{00000000-0005-0000-0000-0000B7050000}"/>
    <cellStyle name="40% - Accent4 2 2 2 7 2" xfId="13022" xr:uid="{829B467B-592E-4F5F-88A8-BF1ACF0CD6E7}"/>
    <cellStyle name="40% - Accent4 2 2 2 7 3" xfId="21462" xr:uid="{21B132A7-3408-40FE-94E9-8710BF17EAC1}"/>
    <cellStyle name="40% - Accent4 2 2 2 8" xfId="8804" xr:uid="{DBA8DABB-AF4F-4178-94CA-7C7E7A61AB8B}"/>
    <cellStyle name="40% - Accent4 2 2 2 9" xfId="17245" xr:uid="{66ACD215-32CA-4A90-9CA2-E3A23CD813DF}"/>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15580" xr:uid="{71395E78-739B-4E6C-8225-B2AFA5B7304C}"/>
    <cellStyle name="40% - Accent4 2 2 3 2 2 3" xfId="24020" xr:uid="{09C2C29F-2FDB-4A9C-9E85-5FD4F9455823}"/>
    <cellStyle name="40% - Accent4 2 2 3 2 3" xfId="11362" xr:uid="{49C765DD-CDEE-4ADD-AB5E-507E0158C537}"/>
    <cellStyle name="40% - Accent4 2 2 3 2 4" xfId="19803" xr:uid="{86A540D4-8455-43EA-BB4B-9860EB3C5223}"/>
    <cellStyle name="40% - Accent4 2 2 3 3" xfId="4993" xr:uid="{00000000-0005-0000-0000-0000BB050000}"/>
    <cellStyle name="40% - Accent4 2 2 3 3 2" xfId="13435" xr:uid="{512947A0-B013-4AC4-AE51-6E1D1CC89A55}"/>
    <cellStyle name="40% - Accent4 2 2 3 3 3" xfId="21875" xr:uid="{B30C9DF7-B472-4FEA-9FF8-83262F868DD5}"/>
    <cellStyle name="40% - Accent4 2 2 3 4" xfId="9217" xr:uid="{D4406B7C-DA2E-4267-83CB-43C778AAF7A6}"/>
    <cellStyle name="40% - Accent4 2 2 3 5" xfId="17658" xr:uid="{834674BE-2AC1-4332-8A30-D0D429591D37}"/>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15993" xr:uid="{A3D5239F-C83C-4877-B647-6BA754BA1F87}"/>
    <cellStyle name="40% - Accent4 2 2 4 2 2 3" xfId="24433" xr:uid="{203305A5-6679-4F1A-9A64-FEAE76382DB4}"/>
    <cellStyle name="40% - Accent4 2 2 4 2 3" xfId="11775" xr:uid="{C1332460-7907-4DBA-9528-3881AA4F5BED}"/>
    <cellStyle name="40% - Accent4 2 2 4 2 4" xfId="20216" xr:uid="{5432A362-34D4-4E2C-8942-D311692B2E6A}"/>
    <cellStyle name="40% - Accent4 2 2 4 3" xfId="5406" xr:uid="{00000000-0005-0000-0000-0000BF050000}"/>
    <cellStyle name="40% - Accent4 2 2 4 3 2" xfId="13848" xr:uid="{1E2DE16F-5076-4FB3-9308-72F1FC795A7E}"/>
    <cellStyle name="40% - Accent4 2 2 4 3 3" xfId="22288" xr:uid="{C05C6A58-5E3D-4ADD-BA26-0E7CE81222D6}"/>
    <cellStyle name="40% - Accent4 2 2 4 4" xfId="9630" xr:uid="{AD3118DA-7464-4786-B3DF-604B4CFBFF3C}"/>
    <cellStyle name="40% - Accent4 2 2 4 5" xfId="18071" xr:uid="{3BCEAAE6-2E5E-49AA-AB0F-64B311DD39FF}"/>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16406" xr:uid="{FE7F03F9-AA39-40A8-BA49-CF43235C5234}"/>
    <cellStyle name="40% - Accent4 2 2 5 2 2 3" xfId="24846" xr:uid="{607C5004-5AAF-4097-89CA-A971D37D3365}"/>
    <cellStyle name="40% - Accent4 2 2 5 2 3" xfId="12188" xr:uid="{422ED2D8-4A56-4E2D-8D7A-49D60D1487FB}"/>
    <cellStyle name="40% - Accent4 2 2 5 2 4" xfId="20629" xr:uid="{5F0DB50E-84E5-4FA4-8B5D-48309B8B447E}"/>
    <cellStyle name="40% - Accent4 2 2 5 3" xfId="5819" xr:uid="{00000000-0005-0000-0000-0000C3050000}"/>
    <cellStyle name="40% - Accent4 2 2 5 3 2" xfId="14261" xr:uid="{011CF013-730A-4853-A647-E3C4D8ACAD6E}"/>
    <cellStyle name="40% - Accent4 2 2 5 3 3" xfId="22701" xr:uid="{368A1363-BD48-4214-BF15-B281131AAD76}"/>
    <cellStyle name="40% - Accent4 2 2 5 4" xfId="10043" xr:uid="{C2A4FA4E-E49A-47D3-A458-2B4A1E1CB00B}"/>
    <cellStyle name="40% - Accent4 2 2 5 5" xfId="18484" xr:uid="{3C8047DF-0F98-4662-B3C5-C0D2C7602AAD}"/>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16819" xr:uid="{4E3679B0-3CA2-4192-828B-E62C4E221AFC}"/>
    <cellStyle name="40% - Accent4 2 2 6 2 2 3" xfId="25259" xr:uid="{D220221A-F0A6-4FE6-8A8B-CE21CFB6908E}"/>
    <cellStyle name="40% - Accent4 2 2 6 2 3" xfId="12601" xr:uid="{1C01CEAA-D05F-4CEC-81C1-569CB6D66C1E}"/>
    <cellStyle name="40% - Accent4 2 2 6 2 4" xfId="21042" xr:uid="{F388B81F-E4A9-433A-BE70-CF9E7BFC8BD8}"/>
    <cellStyle name="40% - Accent4 2 2 6 3" xfId="6232" xr:uid="{00000000-0005-0000-0000-0000C7050000}"/>
    <cellStyle name="40% - Accent4 2 2 6 3 2" xfId="14674" xr:uid="{72705503-5DCA-4049-97DF-050AA88B881C}"/>
    <cellStyle name="40% - Accent4 2 2 6 3 3" xfId="23114" xr:uid="{4327B83D-27B3-4D03-9C30-062FC8F50249}"/>
    <cellStyle name="40% - Accent4 2 2 6 4" xfId="10456" xr:uid="{9B609E07-2052-4E32-8FFF-9BCEEA3ACC2C}"/>
    <cellStyle name="40% - Accent4 2 2 6 5" xfId="18897" xr:uid="{37DF21D7-6DAE-4D06-B8C1-95A7AA4A6337}"/>
    <cellStyle name="40% - Accent4 2 2 7" xfId="2338" xr:uid="{00000000-0005-0000-0000-0000C8050000}"/>
    <cellStyle name="40% - Accent4 2 2 7 2" xfId="6645" xr:uid="{00000000-0005-0000-0000-0000C9050000}"/>
    <cellStyle name="40% - Accent4 2 2 7 2 2" xfId="15087" xr:uid="{12DF33E0-CE70-41A4-B875-6801550FED21}"/>
    <cellStyle name="40% - Accent4 2 2 7 2 3" xfId="23527" xr:uid="{9D84636D-E001-421C-8B9A-4BE264226254}"/>
    <cellStyle name="40% - Accent4 2 2 7 3" xfId="10869" xr:uid="{97AEEBB4-D618-4802-8C0F-EC23C6FB0BEB}"/>
    <cellStyle name="40% - Accent4 2 2 7 4" xfId="19310" xr:uid="{52DC7C36-4376-4889-844C-0583885A062D}"/>
    <cellStyle name="40% - Accent4 2 2 8" xfId="4579" xr:uid="{00000000-0005-0000-0000-0000CA050000}"/>
    <cellStyle name="40% - Accent4 2 2 8 2" xfId="13021" xr:uid="{FF23F56E-F418-4E9E-8545-5D95114C97CE}"/>
    <cellStyle name="40% - Accent4 2 2 8 3" xfId="21461" xr:uid="{38E4571C-04F4-4FCC-B5D4-D9BA98DE4FA7}"/>
    <cellStyle name="40% - Accent4 2 2 9" xfId="8803" xr:uid="{ED908161-DDDF-4559-97C6-94A5EB643D2F}"/>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15582" xr:uid="{F6FE4EE5-50A6-407D-8404-01B407517E5A}"/>
    <cellStyle name="40% - Accent4 2 3 2 2 2 3" xfId="24022" xr:uid="{8334ADA5-CC5C-468A-8555-CD7CFA279358}"/>
    <cellStyle name="40% - Accent4 2 3 2 2 3" xfId="11364" xr:uid="{DF7DD44C-C4BC-4D24-A3EB-10E3242A49E6}"/>
    <cellStyle name="40% - Accent4 2 3 2 2 4" xfId="19805" xr:uid="{B46CA770-AF3C-41BD-A3FB-1F0F94147B10}"/>
    <cellStyle name="40% - Accent4 2 3 2 3" xfId="4995" xr:uid="{00000000-0005-0000-0000-0000CF050000}"/>
    <cellStyle name="40% - Accent4 2 3 2 3 2" xfId="13437" xr:uid="{60A6D62B-29C2-4EAD-A1D9-8A8769B94DC4}"/>
    <cellStyle name="40% - Accent4 2 3 2 3 3" xfId="21877" xr:uid="{D17DD85D-07C0-48D9-A858-B45354D614BE}"/>
    <cellStyle name="40% - Accent4 2 3 2 4" xfId="9219" xr:uid="{DB5E0F55-A653-43AD-B935-4049F223E7F9}"/>
    <cellStyle name="40% - Accent4 2 3 2 5" xfId="17660" xr:uid="{F75C8934-6532-46A9-9C59-AAD574950D6A}"/>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15995" xr:uid="{7FD511C0-DCCC-40A3-B220-EB647B64E48D}"/>
    <cellStyle name="40% - Accent4 2 3 3 2 2 3" xfId="24435" xr:uid="{CA994588-4AA5-46BB-9F61-D012D4AF42ED}"/>
    <cellStyle name="40% - Accent4 2 3 3 2 3" xfId="11777" xr:uid="{0CBB7AB6-ABF8-4313-9CF6-42331090B608}"/>
    <cellStyle name="40% - Accent4 2 3 3 2 4" xfId="20218" xr:uid="{DD4A42C6-22B3-42CA-B719-64070AE09252}"/>
    <cellStyle name="40% - Accent4 2 3 3 3" xfId="5408" xr:uid="{00000000-0005-0000-0000-0000D3050000}"/>
    <cellStyle name="40% - Accent4 2 3 3 3 2" xfId="13850" xr:uid="{A85705C3-C0DA-43D2-A20A-80F49C6C2343}"/>
    <cellStyle name="40% - Accent4 2 3 3 3 3" xfId="22290" xr:uid="{36FB0814-99F9-4798-8808-E168DA6E8B8C}"/>
    <cellStyle name="40% - Accent4 2 3 3 4" xfId="9632" xr:uid="{E2D76FDD-C855-4B9D-A612-B543A57B33C7}"/>
    <cellStyle name="40% - Accent4 2 3 3 5" xfId="18073" xr:uid="{F52D6FD5-26C2-4908-B108-2231C693560A}"/>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16408" xr:uid="{C9A552E5-CB11-4730-B77D-4259D2C3A561}"/>
    <cellStyle name="40% - Accent4 2 3 4 2 2 3" xfId="24848" xr:uid="{C2EF1615-CE4A-4511-A10B-75928198E3BB}"/>
    <cellStyle name="40% - Accent4 2 3 4 2 3" xfId="12190" xr:uid="{21DD67E4-445E-4CCB-958C-D7ECC7825D9C}"/>
    <cellStyle name="40% - Accent4 2 3 4 2 4" xfId="20631" xr:uid="{78C755F9-0EAB-440A-B8AE-3C4BC98497BE}"/>
    <cellStyle name="40% - Accent4 2 3 4 3" xfId="5821" xr:uid="{00000000-0005-0000-0000-0000D7050000}"/>
    <cellStyle name="40% - Accent4 2 3 4 3 2" xfId="14263" xr:uid="{EA2FDB6F-CC11-4DE1-9A20-DFF055D496E5}"/>
    <cellStyle name="40% - Accent4 2 3 4 3 3" xfId="22703" xr:uid="{A2D05D94-245D-40E7-A0C2-F4A54A1BC22F}"/>
    <cellStyle name="40% - Accent4 2 3 4 4" xfId="10045" xr:uid="{B5DC901F-C431-471D-8200-58C03A03C2A1}"/>
    <cellStyle name="40% - Accent4 2 3 4 5" xfId="18486" xr:uid="{02699292-8BEA-490F-80C5-5A301C504774}"/>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16821" xr:uid="{D6D3C000-2306-4084-8F9A-A51C529A0840}"/>
    <cellStyle name="40% - Accent4 2 3 5 2 2 3" xfId="25261" xr:uid="{DE42B13C-8255-41CC-8C63-C8B0D85FD54C}"/>
    <cellStyle name="40% - Accent4 2 3 5 2 3" xfId="12603" xr:uid="{0524181D-1DA8-4F79-85B4-F2CE6BDBFD2B}"/>
    <cellStyle name="40% - Accent4 2 3 5 2 4" xfId="21044" xr:uid="{A19D3A04-3B1F-4B32-A18C-182FA912CAAF}"/>
    <cellStyle name="40% - Accent4 2 3 5 3" xfId="6234" xr:uid="{00000000-0005-0000-0000-0000DB050000}"/>
    <cellStyle name="40% - Accent4 2 3 5 3 2" xfId="14676" xr:uid="{23B752B0-5465-486A-9183-409FF040E849}"/>
    <cellStyle name="40% - Accent4 2 3 5 3 3" xfId="23116" xr:uid="{D4EEDDFA-C086-479B-8461-CAA20B1BEA79}"/>
    <cellStyle name="40% - Accent4 2 3 5 4" xfId="10458" xr:uid="{ABE76835-83D5-4224-8AC9-724A927550D0}"/>
    <cellStyle name="40% - Accent4 2 3 5 5" xfId="18899" xr:uid="{38892DC2-0716-4AC6-A0C0-8CA13B71DE05}"/>
    <cellStyle name="40% - Accent4 2 3 6" xfId="2340" xr:uid="{00000000-0005-0000-0000-0000DC050000}"/>
    <cellStyle name="40% - Accent4 2 3 6 2" xfId="6647" xr:uid="{00000000-0005-0000-0000-0000DD050000}"/>
    <cellStyle name="40% - Accent4 2 3 6 2 2" xfId="15089" xr:uid="{637BC03D-59C0-41FA-A936-0E983163CF8A}"/>
    <cellStyle name="40% - Accent4 2 3 6 2 3" xfId="23529" xr:uid="{7BAF7BD4-1BB4-4554-A93D-A08D25435137}"/>
    <cellStyle name="40% - Accent4 2 3 6 3" xfId="10871" xr:uid="{B5266B90-6A65-4EF5-AA1A-C4DB4E8C7B3D}"/>
    <cellStyle name="40% - Accent4 2 3 6 4" xfId="19312" xr:uid="{74F2B160-50CB-4D53-A864-F49D453CC2F9}"/>
    <cellStyle name="40% - Accent4 2 3 7" xfId="4581" xr:uid="{00000000-0005-0000-0000-0000DE050000}"/>
    <cellStyle name="40% - Accent4 2 3 7 2" xfId="13023" xr:uid="{EDEE60CE-54AF-4728-A87A-8A97C015F165}"/>
    <cellStyle name="40% - Accent4 2 3 7 3" xfId="21463" xr:uid="{977CEB62-8250-49BC-8476-03537949CD90}"/>
    <cellStyle name="40% - Accent4 2 3 8" xfId="8805" xr:uid="{C820F8AE-98CE-4336-A45B-279B7B0DF00E}"/>
    <cellStyle name="40% - Accent4 2 3 9" xfId="17246" xr:uid="{0A61432C-1B56-4F38-AFD6-A731513AA997}"/>
    <cellStyle name="40% - Accent4 2 4" xfId="643" xr:uid="{00000000-0005-0000-0000-0000DF050000}"/>
    <cellStyle name="40% - Accent4 2 4 2" xfId="2914" xr:uid="{00000000-0005-0000-0000-0000E0050000}"/>
    <cellStyle name="40% - Accent4 2 4 2 2" xfId="7137" xr:uid="{00000000-0005-0000-0000-0000E1050000}"/>
    <cellStyle name="40% - Accent4 2 4 2 2 2" xfId="15579" xr:uid="{CF437630-837F-4B89-9015-2B18AECC7AB9}"/>
    <cellStyle name="40% - Accent4 2 4 2 2 3" xfId="24019" xr:uid="{33E2F91B-FCE2-4B31-AB61-1E09A417D237}"/>
    <cellStyle name="40% - Accent4 2 4 2 3" xfId="11361" xr:uid="{E30745EB-38C2-4E49-B5B8-D695778ECAB9}"/>
    <cellStyle name="40% - Accent4 2 4 2 4" xfId="19802" xr:uid="{1EBE6A42-9DE4-4D88-BF5D-76C178F98874}"/>
    <cellStyle name="40% - Accent4 2 4 3" xfId="4992" xr:uid="{00000000-0005-0000-0000-0000E2050000}"/>
    <cellStyle name="40% - Accent4 2 4 3 2" xfId="13434" xr:uid="{BED77C8E-2482-4AD9-AE1D-307C69B00C6E}"/>
    <cellStyle name="40% - Accent4 2 4 3 3" xfId="21874" xr:uid="{B1F2DA4C-1DC6-4E78-AB82-1CFA978B4E34}"/>
    <cellStyle name="40% - Accent4 2 4 4" xfId="9216" xr:uid="{666CC65F-2977-4EB3-817E-77052BAE1D63}"/>
    <cellStyle name="40% - Accent4 2 4 5" xfId="17657" xr:uid="{D000340B-297A-49C8-92FC-1CFCAFB3E029}"/>
    <cellStyle name="40% - Accent4 2 5" xfId="1096" xr:uid="{00000000-0005-0000-0000-0000E3050000}"/>
    <cellStyle name="40% - Accent4 2 5 2" xfId="3327" xr:uid="{00000000-0005-0000-0000-0000E4050000}"/>
    <cellStyle name="40% - Accent4 2 5 2 2" xfId="7550" xr:uid="{00000000-0005-0000-0000-0000E5050000}"/>
    <cellStyle name="40% - Accent4 2 5 2 2 2" xfId="15992" xr:uid="{C2B22B23-ED8A-4032-BD8E-1B9D9B9856DC}"/>
    <cellStyle name="40% - Accent4 2 5 2 2 3" xfId="24432" xr:uid="{6B066317-9481-41E6-A4E5-0B4275D4C7E6}"/>
    <cellStyle name="40% - Accent4 2 5 2 3" xfId="11774" xr:uid="{F45E9761-1E47-48F3-B050-2A2B92522AD0}"/>
    <cellStyle name="40% - Accent4 2 5 2 4" xfId="20215" xr:uid="{96E78A7E-58AB-45CD-9376-5BE77546FED2}"/>
    <cellStyle name="40% - Accent4 2 5 3" xfId="5405" xr:uid="{00000000-0005-0000-0000-0000E6050000}"/>
    <cellStyle name="40% - Accent4 2 5 3 2" xfId="13847" xr:uid="{6F30E15B-50B6-4C1A-BF69-523FFFB936AF}"/>
    <cellStyle name="40% - Accent4 2 5 3 3" xfId="22287" xr:uid="{4862353D-70ED-4AE6-BA4A-3AFEA6E6290A}"/>
    <cellStyle name="40% - Accent4 2 5 4" xfId="9629" xr:uid="{4391D7F7-F7D9-4809-ABD3-3559B3ADED0F}"/>
    <cellStyle name="40% - Accent4 2 5 5" xfId="18070" xr:uid="{ADFFFA5E-4DAD-4741-A4CA-7655F5A5D0E8}"/>
    <cellStyle name="40% - Accent4 2 6" xfId="1510" xr:uid="{00000000-0005-0000-0000-0000E7050000}"/>
    <cellStyle name="40% - Accent4 2 6 2" xfId="3740" xr:uid="{00000000-0005-0000-0000-0000E8050000}"/>
    <cellStyle name="40% - Accent4 2 6 2 2" xfId="7963" xr:uid="{00000000-0005-0000-0000-0000E9050000}"/>
    <cellStyle name="40% - Accent4 2 6 2 2 2" xfId="16405" xr:uid="{370683B5-95D2-4F0C-BE9A-503A51C0FED8}"/>
    <cellStyle name="40% - Accent4 2 6 2 2 3" xfId="24845" xr:uid="{D0D092AF-1A1D-4155-9813-790DB57F7517}"/>
    <cellStyle name="40% - Accent4 2 6 2 3" xfId="12187" xr:uid="{684E9F22-19FE-4919-8358-272BA27D6AF6}"/>
    <cellStyle name="40% - Accent4 2 6 2 4" xfId="20628" xr:uid="{13060F85-7D91-476F-A649-2041F4D1B258}"/>
    <cellStyle name="40% - Accent4 2 6 3" xfId="5818" xr:uid="{00000000-0005-0000-0000-0000EA050000}"/>
    <cellStyle name="40% - Accent4 2 6 3 2" xfId="14260" xr:uid="{145956DF-F8CE-4102-B6F0-ED2FD3B11303}"/>
    <cellStyle name="40% - Accent4 2 6 3 3" xfId="22700" xr:uid="{C5834BBF-60D9-42BD-9887-E5A17405A276}"/>
    <cellStyle name="40% - Accent4 2 6 4" xfId="10042" xr:uid="{2D442FE6-568A-4A3C-A2C0-2033B5CB37C6}"/>
    <cellStyle name="40% - Accent4 2 6 5" xfId="18483" xr:uid="{CF35C1A1-44A9-44B1-8CAB-EF93E7B0A55B}"/>
    <cellStyle name="40% - Accent4 2 7" xfId="1924" xr:uid="{00000000-0005-0000-0000-0000EB050000}"/>
    <cellStyle name="40% - Accent4 2 7 2" xfId="4153" xr:uid="{00000000-0005-0000-0000-0000EC050000}"/>
    <cellStyle name="40% - Accent4 2 7 2 2" xfId="8376" xr:uid="{00000000-0005-0000-0000-0000ED050000}"/>
    <cellStyle name="40% - Accent4 2 7 2 2 2" xfId="16818" xr:uid="{281EF169-45E0-4C2E-8CBB-64F7C741A69E}"/>
    <cellStyle name="40% - Accent4 2 7 2 2 3" xfId="25258" xr:uid="{10FB5908-B899-44B3-8F0E-9DF1AC01EEA8}"/>
    <cellStyle name="40% - Accent4 2 7 2 3" xfId="12600" xr:uid="{4B0A0A65-34EF-420A-AFBA-DFFE7EA0EFB4}"/>
    <cellStyle name="40% - Accent4 2 7 2 4" xfId="21041" xr:uid="{A75DD12B-2EDD-41A3-AFB2-5EFE8948E50C}"/>
    <cellStyle name="40% - Accent4 2 7 3" xfId="6231" xr:uid="{00000000-0005-0000-0000-0000EE050000}"/>
    <cellStyle name="40% - Accent4 2 7 3 2" xfId="14673" xr:uid="{A0898FE8-1C9C-44EB-9F76-A9B4202FF831}"/>
    <cellStyle name="40% - Accent4 2 7 3 3" xfId="23113" xr:uid="{BE920E68-808E-47BC-BDEC-BD011A482877}"/>
    <cellStyle name="40% - Accent4 2 7 4" xfId="10455" xr:uid="{084FB741-7744-430C-B5B1-5665A53CEE33}"/>
    <cellStyle name="40% - Accent4 2 7 5" xfId="18896" xr:uid="{DA8FAD26-FD7C-4195-97DE-E08CD5676C05}"/>
    <cellStyle name="40% - Accent4 2 8" xfId="2337" xr:uid="{00000000-0005-0000-0000-0000EF050000}"/>
    <cellStyle name="40% - Accent4 2 8 2" xfId="6644" xr:uid="{00000000-0005-0000-0000-0000F0050000}"/>
    <cellStyle name="40% - Accent4 2 8 2 2" xfId="15086" xr:uid="{0507F3F8-CF0B-4479-8B14-AA6EF67E05BA}"/>
    <cellStyle name="40% - Accent4 2 8 2 3" xfId="23526" xr:uid="{B32F0C69-B9B6-4CBA-A71A-1B9698CA5A1F}"/>
    <cellStyle name="40% - Accent4 2 8 3" xfId="10868" xr:uid="{50BB3E13-0F20-4157-B673-986892AE6218}"/>
    <cellStyle name="40% - Accent4 2 8 4" xfId="19309" xr:uid="{1A583791-2CD8-48C6-8EE2-F1620F531B87}"/>
    <cellStyle name="40% - Accent4 2 9" xfId="4578" xr:uid="{00000000-0005-0000-0000-0000F1050000}"/>
    <cellStyle name="40% - Accent4 2 9 2" xfId="13020" xr:uid="{52C7D754-165D-4785-A328-1734DDA6DFC6}"/>
    <cellStyle name="40% - Accent4 2 9 3" xfId="21460" xr:uid="{E8ED75AC-7953-451E-8FFD-36070FED873F}"/>
    <cellStyle name="40% - Accent4 3" xfId="78" xr:uid="{00000000-0005-0000-0000-0000F2050000}"/>
    <cellStyle name="40% - Accent4 3 10" xfId="17247" xr:uid="{F0A55150-E065-48DF-A409-B80E86B2B9E7}"/>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15584" xr:uid="{F9964D54-0349-4475-BA59-6310399645AB}"/>
    <cellStyle name="40% - Accent4 3 2 2 2 2 3" xfId="24024" xr:uid="{439A8998-5001-41EA-99CE-7B47ECAC2F94}"/>
    <cellStyle name="40% - Accent4 3 2 2 2 3" xfId="11366" xr:uid="{6BB9FAAD-5A37-40FF-85EC-8ACFE2820D4D}"/>
    <cellStyle name="40% - Accent4 3 2 2 2 4" xfId="19807" xr:uid="{60DE2280-7001-472E-A39D-8799DD4B2F45}"/>
    <cellStyle name="40% - Accent4 3 2 2 3" xfId="4997" xr:uid="{00000000-0005-0000-0000-0000F7050000}"/>
    <cellStyle name="40% - Accent4 3 2 2 3 2" xfId="13439" xr:uid="{09528992-78D9-4A91-BCB0-E00E220AC7DD}"/>
    <cellStyle name="40% - Accent4 3 2 2 3 3" xfId="21879" xr:uid="{BD551937-322A-455F-89B4-320C67815AD7}"/>
    <cellStyle name="40% - Accent4 3 2 2 4" xfId="9221" xr:uid="{E4009475-6195-4B80-9D57-91C01BCD4119}"/>
    <cellStyle name="40% - Accent4 3 2 2 5" xfId="17662" xr:uid="{C966D6CB-633F-4A7F-A3D3-70DB02F8639D}"/>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15997" xr:uid="{5A78F502-3738-4C80-A5F3-F77888404A43}"/>
    <cellStyle name="40% - Accent4 3 2 3 2 2 3" xfId="24437" xr:uid="{DE90E23D-23BF-40B4-9060-D9400167E63B}"/>
    <cellStyle name="40% - Accent4 3 2 3 2 3" xfId="11779" xr:uid="{22B1E6F9-9544-4E4F-AD7B-E45788F53951}"/>
    <cellStyle name="40% - Accent4 3 2 3 2 4" xfId="20220" xr:uid="{D782F327-0AA1-46E3-BB93-B51EA4C4CB59}"/>
    <cellStyle name="40% - Accent4 3 2 3 3" xfId="5410" xr:uid="{00000000-0005-0000-0000-0000FB050000}"/>
    <cellStyle name="40% - Accent4 3 2 3 3 2" xfId="13852" xr:uid="{09646501-B1ED-473F-A187-2CD94D156B54}"/>
    <cellStyle name="40% - Accent4 3 2 3 3 3" xfId="22292" xr:uid="{F1BB6E0D-F4B4-4E6C-A39C-E3A6D509C956}"/>
    <cellStyle name="40% - Accent4 3 2 3 4" xfId="9634" xr:uid="{7E459518-9666-4D41-9F17-D900FB562763}"/>
    <cellStyle name="40% - Accent4 3 2 3 5" xfId="18075" xr:uid="{B881E0BC-8943-4393-8FA0-227E5F31769D}"/>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16410" xr:uid="{CAD60937-AF39-4CBF-A1D2-87AC9EF4B315}"/>
    <cellStyle name="40% - Accent4 3 2 4 2 2 3" xfId="24850" xr:uid="{A06E29E1-619C-4EEB-A80E-B5DC45BB1B1D}"/>
    <cellStyle name="40% - Accent4 3 2 4 2 3" xfId="12192" xr:uid="{B6D51DEA-6CA1-4451-8CDF-A883D05E8C73}"/>
    <cellStyle name="40% - Accent4 3 2 4 2 4" xfId="20633" xr:uid="{FEE830FC-8996-4138-9DB2-55FCCA403888}"/>
    <cellStyle name="40% - Accent4 3 2 4 3" xfId="5823" xr:uid="{00000000-0005-0000-0000-0000FF050000}"/>
    <cellStyle name="40% - Accent4 3 2 4 3 2" xfId="14265" xr:uid="{B235E19E-3263-425D-97E3-3159103D55EF}"/>
    <cellStyle name="40% - Accent4 3 2 4 3 3" xfId="22705" xr:uid="{4DB77C64-D06E-4D5F-9872-46E3A517416E}"/>
    <cellStyle name="40% - Accent4 3 2 4 4" xfId="10047" xr:uid="{752B56D6-E72F-4A9D-8CEE-8E13E1E9F41F}"/>
    <cellStyle name="40% - Accent4 3 2 4 5" xfId="18488" xr:uid="{522B8B1A-8F2E-4AAA-A6F9-6205036A1FAE}"/>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16823" xr:uid="{BCC1B192-453C-486F-8511-57A5FA7B0AB5}"/>
    <cellStyle name="40% - Accent4 3 2 5 2 2 3" xfId="25263" xr:uid="{BC974F5D-32C0-492A-9FF7-4CBF4E2E069A}"/>
    <cellStyle name="40% - Accent4 3 2 5 2 3" xfId="12605" xr:uid="{8C90EE89-8695-409F-B459-D2DF314CE174}"/>
    <cellStyle name="40% - Accent4 3 2 5 2 4" xfId="21046" xr:uid="{5A464C95-E555-4F39-BEB8-FC7695B905B2}"/>
    <cellStyle name="40% - Accent4 3 2 5 3" xfId="6236" xr:uid="{00000000-0005-0000-0000-000003060000}"/>
    <cellStyle name="40% - Accent4 3 2 5 3 2" xfId="14678" xr:uid="{E1ED08B1-84A7-4D68-8B4A-6F2CF873B079}"/>
    <cellStyle name="40% - Accent4 3 2 5 3 3" xfId="23118" xr:uid="{A5FE612E-2AF2-4EB6-836E-7B701C55B58E}"/>
    <cellStyle name="40% - Accent4 3 2 5 4" xfId="10460" xr:uid="{C8B987DA-D571-462F-9955-2F7E70C4C1FA}"/>
    <cellStyle name="40% - Accent4 3 2 5 5" xfId="18901" xr:uid="{9F7434D3-3B6D-4347-9CD8-7749203B7BF3}"/>
    <cellStyle name="40% - Accent4 3 2 6" xfId="2342" xr:uid="{00000000-0005-0000-0000-000004060000}"/>
    <cellStyle name="40% - Accent4 3 2 6 2" xfId="6649" xr:uid="{00000000-0005-0000-0000-000005060000}"/>
    <cellStyle name="40% - Accent4 3 2 6 2 2" xfId="15091" xr:uid="{82BE95C2-29FE-4F8D-BEB2-914DD274B379}"/>
    <cellStyle name="40% - Accent4 3 2 6 2 3" xfId="23531" xr:uid="{B4F4E0B6-62F8-4C6A-BF93-0FD73DC27FAD}"/>
    <cellStyle name="40% - Accent4 3 2 6 3" xfId="10873" xr:uid="{AAE26DAF-9FED-45EE-9693-8D991C08E412}"/>
    <cellStyle name="40% - Accent4 3 2 6 4" xfId="19314" xr:uid="{AA49ED4D-35B1-4694-A256-0FC30CF5EF9E}"/>
    <cellStyle name="40% - Accent4 3 2 7" xfId="4583" xr:uid="{00000000-0005-0000-0000-000006060000}"/>
    <cellStyle name="40% - Accent4 3 2 7 2" xfId="13025" xr:uid="{92324BFA-8141-489E-A951-F56C8DA47F53}"/>
    <cellStyle name="40% - Accent4 3 2 7 3" xfId="21465" xr:uid="{CACFA1C5-E956-4DAE-8E1F-874D13AA47B5}"/>
    <cellStyle name="40% - Accent4 3 2 8" xfId="8807" xr:uid="{9BF5AAC8-8D15-4CED-9CAE-A7E78C51C99F}"/>
    <cellStyle name="40% - Accent4 3 2 9" xfId="17248" xr:uid="{AEE3E843-F404-4D9A-870B-66A3A8467252}"/>
    <cellStyle name="40% - Accent4 3 3" xfId="647" xr:uid="{00000000-0005-0000-0000-000007060000}"/>
    <cellStyle name="40% - Accent4 3 3 2" xfId="2918" xr:uid="{00000000-0005-0000-0000-000008060000}"/>
    <cellStyle name="40% - Accent4 3 3 2 2" xfId="7141" xr:uid="{00000000-0005-0000-0000-000009060000}"/>
    <cellStyle name="40% - Accent4 3 3 2 2 2" xfId="15583" xr:uid="{C34601ED-D489-4A8A-8A3B-8D70211A408A}"/>
    <cellStyle name="40% - Accent4 3 3 2 2 3" xfId="24023" xr:uid="{89454E51-355F-4F43-82D3-51788300F663}"/>
    <cellStyle name="40% - Accent4 3 3 2 3" xfId="11365" xr:uid="{8444A798-DE28-48B2-9C20-4221996F849E}"/>
    <cellStyle name="40% - Accent4 3 3 2 4" xfId="19806" xr:uid="{D6328578-6719-4A8B-A0B4-0B149D0C9ACA}"/>
    <cellStyle name="40% - Accent4 3 3 3" xfId="4996" xr:uid="{00000000-0005-0000-0000-00000A060000}"/>
    <cellStyle name="40% - Accent4 3 3 3 2" xfId="13438" xr:uid="{B23DCD5B-A25C-4C4E-B336-B1364D52DAE7}"/>
    <cellStyle name="40% - Accent4 3 3 3 3" xfId="21878" xr:uid="{8074CBCE-647E-4073-904A-9A35DEDFCC17}"/>
    <cellStyle name="40% - Accent4 3 3 4" xfId="9220" xr:uid="{452EA52C-7112-4B2D-9F2E-333E9C352D2E}"/>
    <cellStyle name="40% - Accent4 3 3 5" xfId="17661" xr:uid="{FC215FB6-C459-4796-BC5A-5592BA0C26C8}"/>
    <cellStyle name="40% - Accent4 3 4" xfId="1100" xr:uid="{00000000-0005-0000-0000-00000B060000}"/>
    <cellStyle name="40% - Accent4 3 4 2" xfId="3331" xr:uid="{00000000-0005-0000-0000-00000C060000}"/>
    <cellStyle name="40% - Accent4 3 4 2 2" xfId="7554" xr:uid="{00000000-0005-0000-0000-00000D060000}"/>
    <cellStyle name="40% - Accent4 3 4 2 2 2" xfId="15996" xr:uid="{7AB9BFBF-AD9D-4019-AC3C-CBB4F2FDC6C9}"/>
    <cellStyle name="40% - Accent4 3 4 2 2 3" xfId="24436" xr:uid="{AECFFEBD-217B-4CF9-A921-C798688AD8CE}"/>
    <cellStyle name="40% - Accent4 3 4 2 3" xfId="11778" xr:uid="{E52B1C5B-6E04-4EF0-B4CD-67447B60255C}"/>
    <cellStyle name="40% - Accent4 3 4 2 4" xfId="20219" xr:uid="{71C0A674-6860-43E8-B580-D81754EB420D}"/>
    <cellStyle name="40% - Accent4 3 4 3" xfId="5409" xr:uid="{00000000-0005-0000-0000-00000E060000}"/>
    <cellStyle name="40% - Accent4 3 4 3 2" xfId="13851" xr:uid="{5BD29866-7434-426E-A782-57B9BAC07B73}"/>
    <cellStyle name="40% - Accent4 3 4 3 3" xfId="22291" xr:uid="{102F1987-DF20-467D-8750-677358DAD147}"/>
    <cellStyle name="40% - Accent4 3 4 4" xfId="9633" xr:uid="{5FE898BD-6138-4E99-84A0-BF3850C25E51}"/>
    <cellStyle name="40% - Accent4 3 4 5" xfId="18074" xr:uid="{6DE80C62-BCEB-40A4-B7CF-08618E56F635}"/>
    <cellStyle name="40% - Accent4 3 5" xfId="1514" xr:uid="{00000000-0005-0000-0000-00000F060000}"/>
    <cellStyle name="40% - Accent4 3 5 2" xfId="3744" xr:uid="{00000000-0005-0000-0000-000010060000}"/>
    <cellStyle name="40% - Accent4 3 5 2 2" xfId="7967" xr:uid="{00000000-0005-0000-0000-000011060000}"/>
    <cellStyle name="40% - Accent4 3 5 2 2 2" xfId="16409" xr:uid="{DE0A6E21-C277-4C81-AAAD-6B0DF5D9BBAD}"/>
    <cellStyle name="40% - Accent4 3 5 2 2 3" xfId="24849" xr:uid="{1E321CE2-60EF-45FF-89A5-5706122DC056}"/>
    <cellStyle name="40% - Accent4 3 5 2 3" xfId="12191" xr:uid="{AA866522-8103-462D-BC24-37D619474230}"/>
    <cellStyle name="40% - Accent4 3 5 2 4" xfId="20632" xr:uid="{2D76DB69-EDB4-4F2B-BEA2-8E6503C7908F}"/>
    <cellStyle name="40% - Accent4 3 5 3" xfId="5822" xr:uid="{00000000-0005-0000-0000-000012060000}"/>
    <cellStyle name="40% - Accent4 3 5 3 2" xfId="14264" xr:uid="{36C5B57F-85EB-4DFC-A29B-58703A9FCA33}"/>
    <cellStyle name="40% - Accent4 3 5 3 3" xfId="22704" xr:uid="{4643C79A-F09B-4916-93E0-C90D9448F488}"/>
    <cellStyle name="40% - Accent4 3 5 4" xfId="10046" xr:uid="{E70678A4-B48A-4B6E-992A-BE589E47281E}"/>
    <cellStyle name="40% - Accent4 3 5 5" xfId="18487" xr:uid="{6FC8C0A6-FDEB-46BD-8A7E-8FFD6964C120}"/>
    <cellStyle name="40% - Accent4 3 6" xfId="1928" xr:uid="{00000000-0005-0000-0000-000013060000}"/>
    <cellStyle name="40% - Accent4 3 6 2" xfId="4157" xr:uid="{00000000-0005-0000-0000-000014060000}"/>
    <cellStyle name="40% - Accent4 3 6 2 2" xfId="8380" xr:uid="{00000000-0005-0000-0000-000015060000}"/>
    <cellStyle name="40% - Accent4 3 6 2 2 2" xfId="16822" xr:uid="{2E681FE7-DB51-4B85-899C-D374B0BC15F6}"/>
    <cellStyle name="40% - Accent4 3 6 2 2 3" xfId="25262" xr:uid="{B98F8B26-D86B-40D0-9760-6500D6BA0827}"/>
    <cellStyle name="40% - Accent4 3 6 2 3" xfId="12604" xr:uid="{7001B0B8-D5E1-48E5-A75D-10EB109DD609}"/>
    <cellStyle name="40% - Accent4 3 6 2 4" xfId="21045" xr:uid="{3493193F-C7C2-4CD3-B297-43F5C283942F}"/>
    <cellStyle name="40% - Accent4 3 6 3" xfId="6235" xr:uid="{00000000-0005-0000-0000-000016060000}"/>
    <cellStyle name="40% - Accent4 3 6 3 2" xfId="14677" xr:uid="{CBB102B4-F061-4A2B-937A-1AC18018D747}"/>
    <cellStyle name="40% - Accent4 3 6 3 3" xfId="23117" xr:uid="{D6F14354-034A-46CE-86C4-287967861702}"/>
    <cellStyle name="40% - Accent4 3 6 4" xfId="10459" xr:uid="{3F13D1E1-5636-4040-A082-43FF5872CEC8}"/>
    <cellStyle name="40% - Accent4 3 6 5" xfId="18900" xr:uid="{A4B44CB1-5FE9-418E-B19A-048391CC586B}"/>
    <cellStyle name="40% - Accent4 3 7" xfId="2341" xr:uid="{00000000-0005-0000-0000-000017060000}"/>
    <cellStyle name="40% - Accent4 3 7 2" xfId="6648" xr:uid="{00000000-0005-0000-0000-000018060000}"/>
    <cellStyle name="40% - Accent4 3 7 2 2" xfId="15090" xr:uid="{67F9BBA8-5FFD-416F-96D3-BBA91E855992}"/>
    <cellStyle name="40% - Accent4 3 7 2 3" xfId="23530" xr:uid="{5B7C3827-69EA-4669-91D1-8E984C1593D9}"/>
    <cellStyle name="40% - Accent4 3 7 3" xfId="10872" xr:uid="{2AA3A16F-9E72-4F76-9B4A-35D05C4B6B81}"/>
    <cellStyle name="40% - Accent4 3 7 4" xfId="19313" xr:uid="{3E0467F0-9B24-40CC-B47A-E1B9FC5818D1}"/>
    <cellStyle name="40% - Accent4 3 8" xfId="4582" xr:uid="{00000000-0005-0000-0000-000019060000}"/>
    <cellStyle name="40% - Accent4 3 8 2" xfId="13024" xr:uid="{BE78CE57-A634-4419-8925-4122D4A221AC}"/>
    <cellStyle name="40% - Accent4 3 8 3" xfId="21464" xr:uid="{AB7C1BB1-E700-469F-A42C-5445A416F0A9}"/>
    <cellStyle name="40% - Accent4 3 9" xfId="8806" xr:uid="{323E160F-B2EA-416E-8003-38808A1DC8A1}"/>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2 2 2" xfId="15585" xr:uid="{AB1BCF0C-B52A-49A3-90FB-31880101982A}"/>
    <cellStyle name="40% - Accent4 4 2 2 2 3" xfId="24025" xr:uid="{F0B267A1-BC44-4249-9F54-D2ACB7A62144}"/>
    <cellStyle name="40% - Accent4 4 2 2 3" xfId="11367" xr:uid="{9586981F-A5DC-4305-999A-7E9FE0E67554}"/>
    <cellStyle name="40% - Accent4 4 2 2 4" xfId="19808" xr:uid="{2F45C5DA-3545-4B41-9959-F61B35323F8D}"/>
    <cellStyle name="40% - Accent4 4 2 3" xfId="4998" xr:uid="{00000000-0005-0000-0000-00001E060000}"/>
    <cellStyle name="40% - Accent4 4 2 3 2" xfId="13440" xr:uid="{1FA94358-8497-4DB2-AB28-4DEAA9B8C498}"/>
    <cellStyle name="40% - Accent4 4 2 3 3" xfId="21880" xr:uid="{144B24A7-59EC-4CDA-A501-4FC9528F2313}"/>
    <cellStyle name="40% - Accent4 4 2 4" xfId="9222" xr:uid="{2BE1E019-1A5B-4322-9423-04F17873E225}"/>
    <cellStyle name="40% - Accent4 4 2 5" xfId="17663" xr:uid="{94B5CA99-8072-4B01-B3B9-41067352B1C7}"/>
    <cellStyle name="40% - Accent4 4 3" xfId="1102" xr:uid="{00000000-0005-0000-0000-00001F060000}"/>
    <cellStyle name="40% - Accent4 4 3 2" xfId="3333" xr:uid="{00000000-0005-0000-0000-000020060000}"/>
    <cellStyle name="40% - Accent4 4 3 2 2" xfId="7556" xr:uid="{00000000-0005-0000-0000-000021060000}"/>
    <cellStyle name="40% - Accent4 4 3 2 2 2" xfId="15998" xr:uid="{4B5A3F25-7B9B-410E-88B6-0C843F352E21}"/>
    <cellStyle name="40% - Accent4 4 3 2 2 3" xfId="24438" xr:uid="{4C1DEA92-38A5-4A2D-8C02-053B5C6FC1F1}"/>
    <cellStyle name="40% - Accent4 4 3 2 3" xfId="11780" xr:uid="{5DDD9929-3D61-428F-824A-57C3C188596E}"/>
    <cellStyle name="40% - Accent4 4 3 2 4" xfId="20221" xr:uid="{AA48DF8D-848C-458A-94A3-B05CC1604C75}"/>
    <cellStyle name="40% - Accent4 4 3 3" xfId="5411" xr:uid="{00000000-0005-0000-0000-000022060000}"/>
    <cellStyle name="40% - Accent4 4 3 3 2" xfId="13853" xr:uid="{D387C977-764D-48FA-9E9B-7BCA3AE18AA3}"/>
    <cellStyle name="40% - Accent4 4 3 3 3" xfId="22293" xr:uid="{130BE887-78EC-485A-B3C3-222A39FD2443}"/>
    <cellStyle name="40% - Accent4 4 3 4" xfId="9635" xr:uid="{DDCFDC8B-9B96-46CD-ADF2-0BA323D738C8}"/>
    <cellStyle name="40% - Accent4 4 3 5" xfId="18076" xr:uid="{7E0C7775-38B3-46C2-B42E-3D5D5B86B0AA}"/>
    <cellStyle name="40% - Accent4 4 4" xfId="1516" xr:uid="{00000000-0005-0000-0000-000023060000}"/>
    <cellStyle name="40% - Accent4 4 4 2" xfId="3746" xr:uid="{00000000-0005-0000-0000-000024060000}"/>
    <cellStyle name="40% - Accent4 4 4 2 2" xfId="7969" xr:uid="{00000000-0005-0000-0000-000025060000}"/>
    <cellStyle name="40% - Accent4 4 4 2 2 2" xfId="16411" xr:uid="{9454929F-72A2-44DB-AD1E-F5D79414ADF8}"/>
    <cellStyle name="40% - Accent4 4 4 2 2 3" xfId="24851" xr:uid="{63ABD222-D5F1-4FA0-842A-4303C95FFAD4}"/>
    <cellStyle name="40% - Accent4 4 4 2 3" xfId="12193" xr:uid="{9FEF394A-A114-4A04-A07D-1BB21122F9AC}"/>
    <cellStyle name="40% - Accent4 4 4 2 4" xfId="20634" xr:uid="{95FA5D65-2058-4A16-949A-B16138A5A75D}"/>
    <cellStyle name="40% - Accent4 4 4 3" xfId="5824" xr:uid="{00000000-0005-0000-0000-000026060000}"/>
    <cellStyle name="40% - Accent4 4 4 3 2" xfId="14266" xr:uid="{ED2D03BA-3364-498C-8317-CB2437C2001D}"/>
    <cellStyle name="40% - Accent4 4 4 3 3" xfId="22706" xr:uid="{19E50290-72E2-42B4-9909-1EF4C312160C}"/>
    <cellStyle name="40% - Accent4 4 4 4" xfId="10048" xr:uid="{C36E6564-EE1B-40D7-B1B2-58B8BA886E50}"/>
    <cellStyle name="40% - Accent4 4 4 5" xfId="18489" xr:uid="{D75C6F72-99D8-4C03-B186-960D9AAEE2F7}"/>
    <cellStyle name="40% - Accent4 4 5" xfId="1930" xr:uid="{00000000-0005-0000-0000-000027060000}"/>
    <cellStyle name="40% - Accent4 4 5 2" xfId="4159" xr:uid="{00000000-0005-0000-0000-000028060000}"/>
    <cellStyle name="40% - Accent4 4 5 2 2" xfId="8382" xr:uid="{00000000-0005-0000-0000-000029060000}"/>
    <cellStyle name="40% - Accent4 4 5 2 2 2" xfId="16824" xr:uid="{4A317B37-7E8A-4EE5-AA79-6E126146AEE8}"/>
    <cellStyle name="40% - Accent4 4 5 2 2 3" xfId="25264" xr:uid="{E24E78B0-889D-4D07-9173-D43FAA53F0EE}"/>
    <cellStyle name="40% - Accent4 4 5 2 3" xfId="12606" xr:uid="{CBCEE51F-43B1-4991-99DE-43EF2485304F}"/>
    <cellStyle name="40% - Accent4 4 5 2 4" xfId="21047" xr:uid="{6F9F98F0-18B0-4B58-8BDB-360865373B2F}"/>
    <cellStyle name="40% - Accent4 4 5 3" xfId="6237" xr:uid="{00000000-0005-0000-0000-00002A060000}"/>
    <cellStyle name="40% - Accent4 4 5 3 2" xfId="14679" xr:uid="{BB34B088-917A-4E75-ABF1-40219B76B053}"/>
    <cellStyle name="40% - Accent4 4 5 3 3" xfId="23119" xr:uid="{7FB3EF91-5CEA-4A5C-BC6B-1DF69D15E840}"/>
    <cellStyle name="40% - Accent4 4 5 4" xfId="10461" xr:uid="{57C8D2DD-5EC2-4205-A16D-470A7656BE7D}"/>
    <cellStyle name="40% - Accent4 4 5 5" xfId="18902" xr:uid="{33DEDCEE-5D87-43F9-B755-1A87A1638D5C}"/>
    <cellStyle name="40% - Accent4 4 6" xfId="2343" xr:uid="{00000000-0005-0000-0000-00002B060000}"/>
    <cellStyle name="40% - Accent4 4 6 2" xfId="6650" xr:uid="{00000000-0005-0000-0000-00002C060000}"/>
    <cellStyle name="40% - Accent4 4 6 2 2" xfId="15092" xr:uid="{6020F95C-98D7-46FC-8C58-C044B59F079A}"/>
    <cellStyle name="40% - Accent4 4 6 2 3" xfId="23532" xr:uid="{D3C6040C-7751-449E-997B-B6D383115B84}"/>
    <cellStyle name="40% - Accent4 4 6 3" xfId="10874" xr:uid="{D6C5ECFB-555D-41D1-8EFB-F7B5C494DF17}"/>
    <cellStyle name="40% - Accent4 4 6 4" xfId="19315" xr:uid="{407A16A7-AD83-4D18-92E8-49BC876CD1BB}"/>
    <cellStyle name="40% - Accent4 4 7" xfId="4584" xr:uid="{00000000-0005-0000-0000-00002D060000}"/>
    <cellStyle name="40% - Accent4 4 7 2" xfId="13026" xr:uid="{3E2B844B-ED9F-47CE-B305-63B161C5D217}"/>
    <cellStyle name="40% - Accent4 4 7 3" xfId="21466" xr:uid="{18FC5014-402E-4C46-80DE-F0B4C67A4EE3}"/>
    <cellStyle name="40% - Accent4 4 8" xfId="8808" xr:uid="{6BDEC3EB-DF8E-4EBB-8402-08EBE3CBE5AD}"/>
    <cellStyle name="40% - Accent4 4 9" xfId="17249" xr:uid="{6D8446F2-0C2C-434C-A4E3-0495FADF78B4}"/>
    <cellStyle name="40% - Accent4 5" xfId="642" xr:uid="{00000000-0005-0000-0000-00002E060000}"/>
    <cellStyle name="40% - Accent4 5 2" xfId="2913" xr:uid="{00000000-0005-0000-0000-00002F060000}"/>
    <cellStyle name="40% - Accent4 5 2 2" xfId="7136" xr:uid="{00000000-0005-0000-0000-000030060000}"/>
    <cellStyle name="40% - Accent4 5 2 2 2" xfId="15578" xr:uid="{436C20E8-1FDD-4B02-B84C-3490ED9D6441}"/>
    <cellStyle name="40% - Accent4 5 2 2 3" xfId="24018" xr:uid="{9678DED5-DBCF-4171-8F2D-638DF31C580A}"/>
    <cellStyle name="40% - Accent4 5 2 3" xfId="11360" xr:uid="{416F2CEE-D57D-4A5C-8A12-DE7633EF90C2}"/>
    <cellStyle name="40% - Accent4 5 2 4" xfId="19801" xr:uid="{11C65524-292E-4257-957F-3D52F34C166A}"/>
    <cellStyle name="40% - Accent4 5 3" xfId="4991" xr:uid="{00000000-0005-0000-0000-000031060000}"/>
    <cellStyle name="40% - Accent4 5 3 2" xfId="13433" xr:uid="{9BB96F59-3530-45B3-8D35-FD03AAAC7349}"/>
    <cellStyle name="40% - Accent4 5 3 3" xfId="21873" xr:uid="{655E140B-4807-4631-A2C0-F0E9C7230321}"/>
    <cellStyle name="40% - Accent4 5 4" xfId="9215" xr:uid="{1AC5125B-4926-4906-A2C0-A70C8B2B305A}"/>
    <cellStyle name="40% - Accent4 5 5" xfId="17656" xr:uid="{A336D8F5-B841-448C-A2CA-B1EB822C38CF}"/>
    <cellStyle name="40% - Accent4 6" xfId="1095" xr:uid="{00000000-0005-0000-0000-000032060000}"/>
    <cellStyle name="40% - Accent4 6 2" xfId="3326" xr:uid="{00000000-0005-0000-0000-000033060000}"/>
    <cellStyle name="40% - Accent4 6 2 2" xfId="7549" xr:uid="{00000000-0005-0000-0000-000034060000}"/>
    <cellStyle name="40% - Accent4 6 2 2 2" xfId="15991" xr:uid="{6106528F-E01D-47BB-8CDB-F13AEC82D58D}"/>
    <cellStyle name="40% - Accent4 6 2 2 3" xfId="24431" xr:uid="{C92EFB2A-C6E6-404C-B092-2C0F5522959C}"/>
    <cellStyle name="40% - Accent4 6 2 3" xfId="11773" xr:uid="{4A80DEDE-023A-4A70-B2D8-1092E5EBC2E9}"/>
    <cellStyle name="40% - Accent4 6 2 4" xfId="20214" xr:uid="{931642F1-5F62-4DBE-BEC4-99D74C5B8531}"/>
    <cellStyle name="40% - Accent4 6 3" xfId="5404" xr:uid="{00000000-0005-0000-0000-000035060000}"/>
    <cellStyle name="40% - Accent4 6 3 2" xfId="13846" xr:uid="{38B81595-F6B7-42C0-B3AD-11A785AEA415}"/>
    <cellStyle name="40% - Accent4 6 3 3" xfId="22286" xr:uid="{950A5AE3-9568-4764-ADB2-B5F66FB06A5C}"/>
    <cellStyle name="40% - Accent4 6 4" xfId="9628" xr:uid="{6702D9C3-6837-44B1-81FA-EB9058032732}"/>
    <cellStyle name="40% - Accent4 6 5" xfId="18069" xr:uid="{58B4F210-A099-47FB-81E5-6F3A25C0BD6E}"/>
    <cellStyle name="40% - Accent4 7" xfId="1509" xr:uid="{00000000-0005-0000-0000-000036060000}"/>
    <cellStyle name="40% - Accent4 7 2" xfId="3739" xr:uid="{00000000-0005-0000-0000-000037060000}"/>
    <cellStyle name="40% - Accent4 7 2 2" xfId="7962" xr:uid="{00000000-0005-0000-0000-000038060000}"/>
    <cellStyle name="40% - Accent4 7 2 2 2" xfId="16404" xr:uid="{215D3DD4-7058-4333-93BB-5C3A10F4516F}"/>
    <cellStyle name="40% - Accent4 7 2 2 3" xfId="24844" xr:uid="{6D955504-2B90-4639-B163-6A202E06770E}"/>
    <cellStyle name="40% - Accent4 7 2 3" xfId="12186" xr:uid="{3D888BEA-97B0-46B9-862F-78359B23391F}"/>
    <cellStyle name="40% - Accent4 7 2 4" xfId="20627" xr:uid="{AD28AF1B-0DA0-4F9B-A488-6D07EE00C470}"/>
    <cellStyle name="40% - Accent4 7 3" xfId="5817" xr:uid="{00000000-0005-0000-0000-000039060000}"/>
    <cellStyle name="40% - Accent4 7 3 2" xfId="14259" xr:uid="{C1B4B6B0-2B47-4519-85C3-5B899109F5F3}"/>
    <cellStyle name="40% - Accent4 7 3 3" xfId="22699" xr:uid="{F841A0CA-17C1-4E21-9251-C6F3E6C77BFA}"/>
    <cellStyle name="40% - Accent4 7 4" xfId="10041" xr:uid="{4AC27EF6-6631-43BD-84EE-95674856B159}"/>
    <cellStyle name="40% - Accent4 7 5" xfId="18482" xr:uid="{264AB40A-0C28-469A-ABA4-C985100DB7FA}"/>
    <cellStyle name="40% - Accent4 8" xfId="1923" xr:uid="{00000000-0005-0000-0000-00003A060000}"/>
    <cellStyle name="40% - Accent4 8 2" xfId="4152" xr:uid="{00000000-0005-0000-0000-00003B060000}"/>
    <cellStyle name="40% - Accent4 8 2 2" xfId="8375" xr:uid="{00000000-0005-0000-0000-00003C060000}"/>
    <cellStyle name="40% - Accent4 8 2 2 2" xfId="16817" xr:uid="{9A826B05-8A6E-4E65-A0B0-C7CE635B35A5}"/>
    <cellStyle name="40% - Accent4 8 2 2 3" xfId="25257" xr:uid="{6DE5FA4B-3EDD-4DE2-8667-850A18995BB8}"/>
    <cellStyle name="40% - Accent4 8 2 3" xfId="12599" xr:uid="{5C6C8CAD-5C6E-4C96-9EA0-6072BE36DFD3}"/>
    <cellStyle name="40% - Accent4 8 2 4" xfId="21040" xr:uid="{4B355068-DD58-42AB-8DE9-D963258851CE}"/>
    <cellStyle name="40% - Accent4 8 3" xfId="6230" xr:uid="{00000000-0005-0000-0000-00003D060000}"/>
    <cellStyle name="40% - Accent4 8 3 2" xfId="14672" xr:uid="{0115061C-03F7-49FB-A6E7-CFE6EEB4E673}"/>
    <cellStyle name="40% - Accent4 8 3 3" xfId="23112" xr:uid="{3D4FA0D6-FD46-4CB1-B058-6036E1A81754}"/>
    <cellStyle name="40% - Accent4 8 4" xfId="10454" xr:uid="{1074B85A-8FF7-4957-8532-DBF338DCF831}"/>
    <cellStyle name="40% - Accent4 8 5" xfId="18895" xr:uid="{DC72E22D-A048-437E-943F-7710638CF734}"/>
    <cellStyle name="40% - Accent4 9" xfId="2336" xr:uid="{00000000-0005-0000-0000-00003E060000}"/>
    <cellStyle name="40% - Accent4 9 2" xfId="6643" xr:uid="{00000000-0005-0000-0000-00003F060000}"/>
    <cellStyle name="40% - Accent4 9 2 2" xfId="15085" xr:uid="{A443D0A1-F44C-4197-8FD1-73D59C396E7E}"/>
    <cellStyle name="40% - Accent4 9 2 3" xfId="23525" xr:uid="{71C9E8A4-B1FE-40A1-AFCE-BFDEBC0C743A}"/>
    <cellStyle name="40% - Accent4 9 3" xfId="10867" xr:uid="{7A52009A-ABD7-4A0F-8820-17C13AD6D05A}"/>
    <cellStyle name="40% - Accent4 9 4" xfId="19308" xr:uid="{30A33865-AC2D-4886-BF88-E88A50FB1A48}"/>
    <cellStyle name="40% - Accent5" xfId="81" builtinId="47" customBuiltin="1"/>
    <cellStyle name="40% - Accent5 10" xfId="4585" xr:uid="{00000000-0005-0000-0000-000041060000}"/>
    <cellStyle name="40% - Accent5 10 2" xfId="13027" xr:uid="{B3C06EC3-3C95-4207-A396-4726E36450F3}"/>
    <cellStyle name="40% - Accent5 10 3" xfId="21467" xr:uid="{AC38328E-C9A4-4849-8466-DF5EB30313F7}"/>
    <cellStyle name="40% - Accent5 11" xfId="8809" xr:uid="{33DBB3FD-F99A-4FBF-B67D-99EA75C8E63F}"/>
    <cellStyle name="40% - Accent5 12" xfId="17250" xr:uid="{4B267912-16ED-4B59-9F5E-EF0B41860FD7}"/>
    <cellStyle name="40% - Accent5 2" xfId="82" xr:uid="{00000000-0005-0000-0000-000042060000}"/>
    <cellStyle name="40% - Accent5 2 10" xfId="8810" xr:uid="{76887322-7C8A-4A6D-83AE-51CBC1CCB392}"/>
    <cellStyle name="40% - Accent5 2 11" xfId="17251" xr:uid="{9EBACEA0-E96E-43A2-BB40-8FBA58270BCF}"/>
    <cellStyle name="40% - Accent5 2 2" xfId="83" xr:uid="{00000000-0005-0000-0000-000043060000}"/>
    <cellStyle name="40% - Accent5 2 2 10" xfId="17252" xr:uid="{AA6C752D-2460-4B13-BB4C-0FCCAE6CD567}"/>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15589" xr:uid="{85D4D33B-894C-4108-8E7B-F4F2061D44E3}"/>
    <cellStyle name="40% - Accent5 2 2 2 2 2 2 3" xfId="24029" xr:uid="{9D478910-8902-45DD-8C85-2F985173EC1E}"/>
    <cellStyle name="40% - Accent5 2 2 2 2 2 3" xfId="11371" xr:uid="{534A049A-06DA-40DE-AD71-4326E756412A}"/>
    <cellStyle name="40% - Accent5 2 2 2 2 2 4" xfId="19812" xr:uid="{78C15596-6070-4B6F-9022-0792A5CAE545}"/>
    <cellStyle name="40% - Accent5 2 2 2 2 3" xfId="5002" xr:uid="{00000000-0005-0000-0000-000048060000}"/>
    <cellStyle name="40% - Accent5 2 2 2 2 3 2" xfId="13444" xr:uid="{47E72F6B-3FD9-416C-8968-A70C542954E1}"/>
    <cellStyle name="40% - Accent5 2 2 2 2 3 3" xfId="21884" xr:uid="{D8EA7F87-1877-4971-A14C-FCE9BAE68BB9}"/>
    <cellStyle name="40% - Accent5 2 2 2 2 4" xfId="9226" xr:uid="{063D8E5E-C6B3-48B1-8634-6BEBC6EF58EE}"/>
    <cellStyle name="40% - Accent5 2 2 2 2 5" xfId="17667" xr:uid="{977BF28A-1175-425F-B088-E948994DA9E1}"/>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16002" xr:uid="{0B5272E3-4239-4A1D-971E-2C693B1FA3CC}"/>
    <cellStyle name="40% - Accent5 2 2 2 3 2 2 3" xfId="24442" xr:uid="{6DA17A61-7821-460E-8497-8F6D2F0952F8}"/>
    <cellStyle name="40% - Accent5 2 2 2 3 2 3" xfId="11784" xr:uid="{C8B6F9CF-30EA-47AC-A570-983E4ADF809C}"/>
    <cellStyle name="40% - Accent5 2 2 2 3 2 4" xfId="20225" xr:uid="{2D93DAAE-5825-4A06-A3ED-E33017637363}"/>
    <cellStyle name="40% - Accent5 2 2 2 3 3" xfId="5415" xr:uid="{00000000-0005-0000-0000-00004C060000}"/>
    <cellStyle name="40% - Accent5 2 2 2 3 3 2" xfId="13857" xr:uid="{47F01BCA-EE94-4AB8-927D-50C02D31711D}"/>
    <cellStyle name="40% - Accent5 2 2 2 3 3 3" xfId="22297" xr:uid="{2336293E-0A75-4C8A-8407-C82866310DBA}"/>
    <cellStyle name="40% - Accent5 2 2 2 3 4" xfId="9639" xr:uid="{72459365-0A1E-462E-967C-5AC42396353A}"/>
    <cellStyle name="40% - Accent5 2 2 2 3 5" xfId="18080" xr:uid="{18C9CAFE-E6B9-42CE-BD8E-0512578D3D46}"/>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16415" xr:uid="{7AC62EA3-14CE-4490-892F-9DF348559A74}"/>
    <cellStyle name="40% - Accent5 2 2 2 4 2 2 3" xfId="24855" xr:uid="{814AD62B-52C1-42EB-909D-7E1BF92338C9}"/>
    <cellStyle name="40% - Accent5 2 2 2 4 2 3" xfId="12197" xr:uid="{FCD4092C-E5A7-454B-834A-A80C375DDDF9}"/>
    <cellStyle name="40% - Accent5 2 2 2 4 2 4" xfId="20638" xr:uid="{ADC610E8-C3DF-4E2B-B159-2AF950645C25}"/>
    <cellStyle name="40% - Accent5 2 2 2 4 3" xfId="5828" xr:uid="{00000000-0005-0000-0000-000050060000}"/>
    <cellStyle name="40% - Accent5 2 2 2 4 3 2" xfId="14270" xr:uid="{681D1F45-4E87-42F4-95AD-7EBEC59D87AB}"/>
    <cellStyle name="40% - Accent5 2 2 2 4 3 3" xfId="22710" xr:uid="{81DE6F5B-CF47-4B09-A6F9-6CC7290E8263}"/>
    <cellStyle name="40% - Accent5 2 2 2 4 4" xfId="10052" xr:uid="{8F4F7E1A-0E23-4BB8-9D32-E1A748FC8F55}"/>
    <cellStyle name="40% - Accent5 2 2 2 4 5" xfId="18493" xr:uid="{FACDB55E-A13A-4B57-BDA8-D6E340275F19}"/>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16828" xr:uid="{1F407BED-5E88-4C87-97E4-9B7AD1FF9437}"/>
    <cellStyle name="40% - Accent5 2 2 2 5 2 2 3" xfId="25268" xr:uid="{66BCE147-BFC5-4A9F-BCEC-63344D831814}"/>
    <cellStyle name="40% - Accent5 2 2 2 5 2 3" xfId="12610" xr:uid="{8FF7DF19-26EE-4269-990F-4E8011610D61}"/>
    <cellStyle name="40% - Accent5 2 2 2 5 2 4" xfId="21051" xr:uid="{22C5D27F-BD69-4C3A-9F19-54353B54B3DD}"/>
    <cellStyle name="40% - Accent5 2 2 2 5 3" xfId="6241" xr:uid="{00000000-0005-0000-0000-000054060000}"/>
    <cellStyle name="40% - Accent5 2 2 2 5 3 2" xfId="14683" xr:uid="{2398548F-F7F8-4163-B865-B5DA5D6035E0}"/>
    <cellStyle name="40% - Accent5 2 2 2 5 3 3" xfId="23123" xr:uid="{A8521EC7-67F5-4B98-97DE-1190FD19A313}"/>
    <cellStyle name="40% - Accent5 2 2 2 5 4" xfId="10465" xr:uid="{D70B1D09-0FED-451D-9640-F6368FA9BF7B}"/>
    <cellStyle name="40% - Accent5 2 2 2 5 5" xfId="18906" xr:uid="{5137BE5D-82FB-41FE-A554-A88AD9E2961D}"/>
    <cellStyle name="40% - Accent5 2 2 2 6" xfId="2347" xr:uid="{00000000-0005-0000-0000-000055060000}"/>
    <cellStyle name="40% - Accent5 2 2 2 6 2" xfId="6654" xr:uid="{00000000-0005-0000-0000-000056060000}"/>
    <cellStyle name="40% - Accent5 2 2 2 6 2 2" xfId="15096" xr:uid="{E3EC9CAA-23CD-4648-ABB4-D1483684319D}"/>
    <cellStyle name="40% - Accent5 2 2 2 6 2 3" xfId="23536" xr:uid="{CDAD5F86-7A09-4EBD-BAC2-92CF18BFDDA4}"/>
    <cellStyle name="40% - Accent5 2 2 2 6 3" xfId="10878" xr:uid="{9E1925FD-5D95-4217-898E-F62BEB80A589}"/>
    <cellStyle name="40% - Accent5 2 2 2 6 4" xfId="19319" xr:uid="{AED99FF3-A70A-4C09-89D7-8B3F0ED4CD19}"/>
    <cellStyle name="40% - Accent5 2 2 2 7" xfId="4588" xr:uid="{00000000-0005-0000-0000-000057060000}"/>
    <cellStyle name="40% - Accent5 2 2 2 7 2" xfId="13030" xr:uid="{75E4D36F-8E38-4834-B0BB-91E099931E1A}"/>
    <cellStyle name="40% - Accent5 2 2 2 7 3" xfId="21470" xr:uid="{821BE9AA-385C-46E1-A866-48478E9C7848}"/>
    <cellStyle name="40% - Accent5 2 2 2 8" xfId="8812" xr:uid="{68941947-F415-4632-A019-4E81B9F656FD}"/>
    <cellStyle name="40% - Accent5 2 2 2 9" xfId="17253" xr:uid="{0D7A5C12-FF31-4724-9D42-E92E54C0FAD2}"/>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15588" xr:uid="{CAB13079-1591-4C17-9B3E-EDDE98D70B67}"/>
    <cellStyle name="40% - Accent5 2 2 3 2 2 3" xfId="24028" xr:uid="{B9DD90C9-7476-4C35-BD84-77B8FC3B42FE}"/>
    <cellStyle name="40% - Accent5 2 2 3 2 3" xfId="11370" xr:uid="{98FD440E-E0E1-4B84-8CBF-CF218E6B240B}"/>
    <cellStyle name="40% - Accent5 2 2 3 2 4" xfId="19811" xr:uid="{DFD281A9-B9A0-4D52-B8E5-778807AADAA5}"/>
    <cellStyle name="40% - Accent5 2 2 3 3" xfId="5001" xr:uid="{00000000-0005-0000-0000-00005B060000}"/>
    <cellStyle name="40% - Accent5 2 2 3 3 2" xfId="13443" xr:uid="{D10BB6C0-1A6C-4721-A330-B9EC1EA710E9}"/>
    <cellStyle name="40% - Accent5 2 2 3 3 3" xfId="21883" xr:uid="{10BE0742-641C-421B-9154-6AB6E36AE815}"/>
    <cellStyle name="40% - Accent5 2 2 3 4" xfId="9225" xr:uid="{F9E7160D-860E-405F-8924-4A771A1BE4B6}"/>
    <cellStyle name="40% - Accent5 2 2 3 5" xfId="17666" xr:uid="{E28D8E12-34B7-4DE7-A8DF-56D5BBA81FA3}"/>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16001" xr:uid="{31F25A27-023B-4AAF-A088-704402E6F32B}"/>
    <cellStyle name="40% - Accent5 2 2 4 2 2 3" xfId="24441" xr:uid="{79A04F40-E959-4CAA-9BB9-C4753CF4B28A}"/>
    <cellStyle name="40% - Accent5 2 2 4 2 3" xfId="11783" xr:uid="{3E62217C-981C-44B7-978A-853B7154FAE4}"/>
    <cellStyle name="40% - Accent5 2 2 4 2 4" xfId="20224" xr:uid="{A2B9C781-D30B-48F2-A23F-F5FC34F084F8}"/>
    <cellStyle name="40% - Accent5 2 2 4 3" xfId="5414" xr:uid="{00000000-0005-0000-0000-00005F060000}"/>
    <cellStyle name="40% - Accent5 2 2 4 3 2" xfId="13856" xr:uid="{A91D7DF2-1213-4283-8421-6443EDDA4439}"/>
    <cellStyle name="40% - Accent5 2 2 4 3 3" xfId="22296" xr:uid="{3E1B1B53-A7E8-4984-BACD-0B209E9E65C5}"/>
    <cellStyle name="40% - Accent5 2 2 4 4" xfId="9638" xr:uid="{08215CF7-CA22-4AD3-AB4B-A2E79EAC9BB4}"/>
    <cellStyle name="40% - Accent5 2 2 4 5" xfId="18079" xr:uid="{CC6AA1DD-1403-4C4C-AF36-C8C6AFD815AB}"/>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16414" xr:uid="{3C887F58-B75C-4D49-B1DA-CF341C4C96D8}"/>
    <cellStyle name="40% - Accent5 2 2 5 2 2 3" xfId="24854" xr:uid="{6B0A9F1A-3FDB-4538-915E-84806B1170CA}"/>
    <cellStyle name="40% - Accent5 2 2 5 2 3" xfId="12196" xr:uid="{F3C8BBED-491C-4A2E-89D4-AE70D00DD6FA}"/>
    <cellStyle name="40% - Accent5 2 2 5 2 4" xfId="20637" xr:uid="{DF22A832-FA1F-4D17-AF30-9781C0EA5A74}"/>
    <cellStyle name="40% - Accent5 2 2 5 3" xfId="5827" xr:uid="{00000000-0005-0000-0000-000063060000}"/>
    <cellStyle name="40% - Accent5 2 2 5 3 2" xfId="14269" xr:uid="{6D5A105F-1FAC-4AA4-9D72-0FE3C84E223B}"/>
    <cellStyle name="40% - Accent5 2 2 5 3 3" xfId="22709" xr:uid="{AD7D4DAB-8AD0-4C54-879C-AA73FE972C14}"/>
    <cellStyle name="40% - Accent5 2 2 5 4" xfId="10051" xr:uid="{282663E9-1326-4E53-BD55-978D0BD8835B}"/>
    <cellStyle name="40% - Accent5 2 2 5 5" xfId="18492" xr:uid="{A208CDAA-AFB2-4A76-8550-697E09A7634D}"/>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16827" xr:uid="{1876CFE4-C4C3-4351-8A95-5FC160746E8C}"/>
    <cellStyle name="40% - Accent5 2 2 6 2 2 3" xfId="25267" xr:uid="{3C04DEBF-918D-4140-A1E3-55A41F3A41C1}"/>
    <cellStyle name="40% - Accent5 2 2 6 2 3" xfId="12609" xr:uid="{187B3FFB-7B7A-472F-AF33-BFC92EC69D9B}"/>
    <cellStyle name="40% - Accent5 2 2 6 2 4" xfId="21050" xr:uid="{2194C8F2-04EA-4047-B98C-7911407AEB04}"/>
    <cellStyle name="40% - Accent5 2 2 6 3" xfId="6240" xr:uid="{00000000-0005-0000-0000-000067060000}"/>
    <cellStyle name="40% - Accent5 2 2 6 3 2" xfId="14682" xr:uid="{E483CF8D-32E0-4540-802A-EDD02AF75B3F}"/>
    <cellStyle name="40% - Accent5 2 2 6 3 3" xfId="23122" xr:uid="{06C6DA4A-8A55-49B2-9EFC-08BC2D7129FA}"/>
    <cellStyle name="40% - Accent5 2 2 6 4" xfId="10464" xr:uid="{5A526EE0-C647-4151-84F9-530F9D1C8423}"/>
    <cellStyle name="40% - Accent5 2 2 6 5" xfId="18905" xr:uid="{630FB687-FBF8-44A0-AB74-AD5B38B2F840}"/>
    <cellStyle name="40% - Accent5 2 2 7" xfId="2346" xr:uid="{00000000-0005-0000-0000-000068060000}"/>
    <cellStyle name="40% - Accent5 2 2 7 2" xfId="6653" xr:uid="{00000000-0005-0000-0000-000069060000}"/>
    <cellStyle name="40% - Accent5 2 2 7 2 2" xfId="15095" xr:uid="{C11EB1EC-341B-4012-81D9-73033D61425A}"/>
    <cellStyle name="40% - Accent5 2 2 7 2 3" xfId="23535" xr:uid="{40CE81B1-7265-40CD-88D9-599D1C128DD9}"/>
    <cellStyle name="40% - Accent5 2 2 7 3" xfId="10877" xr:uid="{B159CF92-A60B-44D1-B3CC-81A9042A7D5B}"/>
    <cellStyle name="40% - Accent5 2 2 7 4" xfId="19318" xr:uid="{8BAE2383-7281-4430-B37B-DBC010329B19}"/>
    <cellStyle name="40% - Accent5 2 2 8" xfId="4587" xr:uid="{00000000-0005-0000-0000-00006A060000}"/>
    <cellStyle name="40% - Accent5 2 2 8 2" xfId="13029" xr:uid="{32292469-8681-476E-9FE9-78ADED73667C}"/>
    <cellStyle name="40% - Accent5 2 2 8 3" xfId="21469" xr:uid="{B666C988-0B5A-40CB-9936-A6B1CD66885C}"/>
    <cellStyle name="40% - Accent5 2 2 9" xfId="8811" xr:uid="{AF315586-9B6A-4030-9F97-56EDA797D166}"/>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15590" xr:uid="{CFE52159-A636-4667-8AD7-1FCF8AE99F49}"/>
    <cellStyle name="40% - Accent5 2 3 2 2 2 3" xfId="24030" xr:uid="{5D12291C-3422-43C1-A629-AA6EFFDCC333}"/>
    <cellStyle name="40% - Accent5 2 3 2 2 3" xfId="11372" xr:uid="{952FE2E7-C313-44B2-B695-EB41DEF0A07A}"/>
    <cellStyle name="40% - Accent5 2 3 2 2 4" xfId="19813" xr:uid="{C4EAC2AF-B37A-464D-A41A-3F1F6657E4D4}"/>
    <cellStyle name="40% - Accent5 2 3 2 3" xfId="5003" xr:uid="{00000000-0005-0000-0000-00006F060000}"/>
    <cellStyle name="40% - Accent5 2 3 2 3 2" xfId="13445" xr:uid="{8F598B73-957B-4475-AD20-1EF1BD863E87}"/>
    <cellStyle name="40% - Accent5 2 3 2 3 3" xfId="21885" xr:uid="{E89B6429-FAB9-461F-9FF6-326DDBBBB177}"/>
    <cellStyle name="40% - Accent5 2 3 2 4" xfId="9227" xr:uid="{50E211AC-EF5E-4095-8F44-8C164F229F00}"/>
    <cellStyle name="40% - Accent5 2 3 2 5" xfId="17668" xr:uid="{73C17AE9-98FB-4DD0-9626-CF5C08244106}"/>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16003" xr:uid="{A43FD316-3E6E-4B2D-9136-3C87904AB655}"/>
    <cellStyle name="40% - Accent5 2 3 3 2 2 3" xfId="24443" xr:uid="{F48ECB5C-6421-42CB-9D5A-C45E64E4BA7C}"/>
    <cellStyle name="40% - Accent5 2 3 3 2 3" xfId="11785" xr:uid="{8F920868-A10F-4657-B248-8924E4AB80A9}"/>
    <cellStyle name="40% - Accent5 2 3 3 2 4" xfId="20226" xr:uid="{96B61639-1C67-4A74-B8D1-94B1A1AC3F9F}"/>
    <cellStyle name="40% - Accent5 2 3 3 3" xfId="5416" xr:uid="{00000000-0005-0000-0000-000073060000}"/>
    <cellStyle name="40% - Accent5 2 3 3 3 2" xfId="13858" xr:uid="{EEC3D1CC-60B5-4367-BC7E-8766704CECFC}"/>
    <cellStyle name="40% - Accent5 2 3 3 3 3" xfId="22298" xr:uid="{8DEA720E-745F-4653-9019-08B45E53BD35}"/>
    <cellStyle name="40% - Accent5 2 3 3 4" xfId="9640" xr:uid="{E4C13A64-9213-49F2-ACEE-1DD7E3E90606}"/>
    <cellStyle name="40% - Accent5 2 3 3 5" xfId="18081" xr:uid="{29CDD461-72D6-4F2C-9FCE-268475D0F380}"/>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16416" xr:uid="{C236BAB4-A88F-45B8-A360-381562CF42D6}"/>
    <cellStyle name="40% - Accent5 2 3 4 2 2 3" xfId="24856" xr:uid="{D396A444-B4BB-411E-A3F8-3E09813D359C}"/>
    <cellStyle name="40% - Accent5 2 3 4 2 3" xfId="12198" xr:uid="{46737D2C-BD80-4DC7-9C9D-820BE6925114}"/>
    <cellStyle name="40% - Accent5 2 3 4 2 4" xfId="20639" xr:uid="{7564D241-F6E9-4ED1-BCA0-EF85FAC66E76}"/>
    <cellStyle name="40% - Accent5 2 3 4 3" xfId="5829" xr:uid="{00000000-0005-0000-0000-000077060000}"/>
    <cellStyle name="40% - Accent5 2 3 4 3 2" xfId="14271" xr:uid="{EC661B0F-1BD3-4EE9-B082-674B92469B02}"/>
    <cellStyle name="40% - Accent5 2 3 4 3 3" xfId="22711" xr:uid="{6BE03BA0-30E2-4A26-8FD8-F2EBBB843756}"/>
    <cellStyle name="40% - Accent5 2 3 4 4" xfId="10053" xr:uid="{2A45FBD0-61BA-4C29-8E65-A7BBD29E1105}"/>
    <cellStyle name="40% - Accent5 2 3 4 5" xfId="18494" xr:uid="{A8BE204E-A6D3-434A-A9F3-5DCA3F9CDDAA}"/>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16829" xr:uid="{B6D8F0F2-5173-4E9D-BA19-F4DA04BE7AA8}"/>
    <cellStyle name="40% - Accent5 2 3 5 2 2 3" xfId="25269" xr:uid="{50BFDD08-69B5-4C8F-8CBB-7D1B433B151A}"/>
    <cellStyle name="40% - Accent5 2 3 5 2 3" xfId="12611" xr:uid="{4FA2F2F7-6F22-40C6-A7F6-59A67C1B5B97}"/>
    <cellStyle name="40% - Accent5 2 3 5 2 4" xfId="21052" xr:uid="{694683C5-78C1-4CF2-98D7-0F1353F44F16}"/>
    <cellStyle name="40% - Accent5 2 3 5 3" xfId="6242" xr:uid="{00000000-0005-0000-0000-00007B060000}"/>
    <cellStyle name="40% - Accent5 2 3 5 3 2" xfId="14684" xr:uid="{11DDD834-6450-41F8-A7F8-12FC25849B9A}"/>
    <cellStyle name="40% - Accent5 2 3 5 3 3" xfId="23124" xr:uid="{CDDF0E6A-AB96-46AA-91BF-08FCE4D4C49F}"/>
    <cellStyle name="40% - Accent5 2 3 5 4" xfId="10466" xr:uid="{E29171D3-C16D-47AC-B6F6-4CF7508CF258}"/>
    <cellStyle name="40% - Accent5 2 3 5 5" xfId="18907" xr:uid="{E797891D-6ADB-487F-B252-60EB77F09BCB}"/>
    <cellStyle name="40% - Accent5 2 3 6" xfId="2348" xr:uid="{00000000-0005-0000-0000-00007C060000}"/>
    <cellStyle name="40% - Accent5 2 3 6 2" xfId="6655" xr:uid="{00000000-0005-0000-0000-00007D060000}"/>
    <cellStyle name="40% - Accent5 2 3 6 2 2" xfId="15097" xr:uid="{E70BBBB7-88CC-4105-8A97-0BF23D48C1A5}"/>
    <cellStyle name="40% - Accent5 2 3 6 2 3" xfId="23537" xr:uid="{90D87C46-A4DA-48EB-B302-C665C24EB9AA}"/>
    <cellStyle name="40% - Accent5 2 3 6 3" xfId="10879" xr:uid="{1D7E99AE-FE7F-4C6F-84E5-857F423DDD87}"/>
    <cellStyle name="40% - Accent5 2 3 6 4" xfId="19320" xr:uid="{6445D688-8627-425A-A9A0-1F29C63C5BAF}"/>
    <cellStyle name="40% - Accent5 2 3 7" xfId="4589" xr:uid="{00000000-0005-0000-0000-00007E060000}"/>
    <cellStyle name="40% - Accent5 2 3 7 2" xfId="13031" xr:uid="{444D697C-C5B6-4482-AA61-6BB3F8D60ACB}"/>
    <cellStyle name="40% - Accent5 2 3 7 3" xfId="21471" xr:uid="{655EAA8C-91F8-40C6-9A24-F2FE6D7209B7}"/>
    <cellStyle name="40% - Accent5 2 3 8" xfId="8813" xr:uid="{A8630F14-25FD-47E6-A2C4-7077B23FFC4F}"/>
    <cellStyle name="40% - Accent5 2 3 9" xfId="17254" xr:uid="{3F6EF2FD-499A-4150-AA00-351850A5FFAF}"/>
    <cellStyle name="40% - Accent5 2 4" xfId="651" xr:uid="{00000000-0005-0000-0000-00007F060000}"/>
    <cellStyle name="40% - Accent5 2 4 2" xfId="2922" xr:uid="{00000000-0005-0000-0000-000080060000}"/>
    <cellStyle name="40% - Accent5 2 4 2 2" xfId="7145" xr:uid="{00000000-0005-0000-0000-000081060000}"/>
    <cellStyle name="40% - Accent5 2 4 2 2 2" xfId="15587" xr:uid="{15E50B07-ED88-4034-AD8A-EA195674B930}"/>
    <cellStyle name="40% - Accent5 2 4 2 2 3" xfId="24027" xr:uid="{61F80C4A-F2EA-4214-857F-A1EAA39094A3}"/>
    <cellStyle name="40% - Accent5 2 4 2 3" xfId="11369" xr:uid="{9282E80D-31E6-4EBD-83B2-277D9282453C}"/>
    <cellStyle name="40% - Accent5 2 4 2 4" xfId="19810" xr:uid="{12E63D48-0249-4C8E-BC18-0007C3BBCBBD}"/>
    <cellStyle name="40% - Accent5 2 4 3" xfId="5000" xr:uid="{00000000-0005-0000-0000-000082060000}"/>
    <cellStyle name="40% - Accent5 2 4 3 2" xfId="13442" xr:uid="{ECD89500-4DD8-4832-B941-F1F57CDB0076}"/>
    <cellStyle name="40% - Accent5 2 4 3 3" xfId="21882" xr:uid="{EDF82231-D0FF-4F6D-88FA-2D1D6FD935ED}"/>
    <cellStyle name="40% - Accent5 2 4 4" xfId="9224" xr:uid="{9E5AF329-F380-4177-9B1C-7274C9471D15}"/>
    <cellStyle name="40% - Accent5 2 4 5" xfId="17665" xr:uid="{CA71756E-F2C0-4B19-9607-E2D61A5FC490}"/>
    <cellStyle name="40% - Accent5 2 5" xfId="1104" xr:uid="{00000000-0005-0000-0000-000083060000}"/>
    <cellStyle name="40% - Accent5 2 5 2" xfId="3335" xr:uid="{00000000-0005-0000-0000-000084060000}"/>
    <cellStyle name="40% - Accent5 2 5 2 2" xfId="7558" xr:uid="{00000000-0005-0000-0000-000085060000}"/>
    <cellStyle name="40% - Accent5 2 5 2 2 2" xfId="16000" xr:uid="{4F6F4552-BCC6-4E69-BA92-28053E76ED9A}"/>
    <cellStyle name="40% - Accent5 2 5 2 2 3" xfId="24440" xr:uid="{2F2A4A4E-E250-45E9-B64E-35C835D7DDC5}"/>
    <cellStyle name="40% - Accent5 2 5 2 3" xfId="11782" xr:uid="{661ABB99-3804-4071-86A8-EDB05E0400EE}"/>
    <cellStyle name="40% - Accent5 2 5 2 4" xfId="20223" xr:uid="{D22862C9-28A3-4AF0-A2B3-A87BC2E5633C}"/>
    <cellStyle name="40% - Accent5 2 5 3" xfId="5413" xr:uid="{00000000-0005-0000-0000-000086060000}"/>
    <cellStyle name="40% - Accent5 2 5 3 2" xfId="13855" xr:uid="{712D4DE9-3D22-4F5A-8ED5-392743C6AE0F}"/>
    <cellStyle name="40% - Accent5 2 5 3 3" xfId="22295" xr:uid="{131FC460-D4BC-4ADE-BC36-A387D0EACB59}"/>
    <cellStyle name="40% - Accent5 2 5 4" xfId="9637" xr:uid="{A2E6B2BA-3E24-4BB8-AB5C-C9CEE6992815}"/>
    <cellStyle name="40% - Accent5 2 5 5" xfId="18078" xr:uid="{990A37EA-ED38-4FAD-ABE3-90323EE412C7}"/>
    <cellStyle name="40% - Accent5 2 6" xfId="1518" xr:uid="{00000000-0005-0000-0000-000087060000}"/>
    <cellStyle name="40% - Accent5 2 6 2" xfId="3748" xr:uid="{00000000-0005-0000-0000-000088060000}"/>
    <cellStyle name="40% - Accent5 2 6 2 2" xfId="7971" xr:uid="{00000000-0005-0000-0000-000089060000}"/>
    <cellStyle name="40% - Accent5 2 6 2 2 2" xfId="16413" xr:uid="{B48F8F43-9676-4981-A82B-DB379256EE3B}"/>
    <cellStyle name="40% - Accent5 2 6 2 2 3" xfId="24853" xr:uid="{59630064-D276-4C3A-B641-E41F51748090}"/>
    <cellStyle name="40% - Accent5 2 6 2 3" xfId="12195" xr:uid="{E3085AED-4711-4057-A46F-3AA56594C78A}"/>
    <cellStyle name="40% - Accent5 2 6 2 4" xfId="20636" xr:uid="{0A433A22-BACD-42B0-8795-39E2E5170F7F}"/>
    <cellStyle name="40% - Accent5 2 6 3" xfId="5826" xr:uid="{00000000-0005-0000-0000-00008A060000}"/>
    <cellStyle name="40% - Accent5 2 6 3 2" xfId="14268" xr:uid="{6C86A816-0925-4D6D-A232-A8AA847233C7}"/>
    <cellStyle name="40% - Accent5 2 6 3 3" xfId="22708" xr:uid="{AC432C2C-8504-477C-8407-7D1C93B5789C}"/>
    <cellStyle name="40% - Accent5 2 6 4" xfId="10050" xr:uid="{88F5CCF5-17A7-4451-AE08-2FAB26BBA9E6}"/>
    <cellStyle name="40% - Accent5 2 6 5" xfId="18491" xr:uid="{909FA477-A05A-41C2-88EE-33528E548FFF}"/>
    <cellStyle name="40% - Accent5 2 7" xfId="1932" xr:uid="{00000000-0005-0000-0000-00008B060000}"/>
    <cellStyle name="40% - Accent5 2 7 2" xfId="4161" xr:uid="{00000000-0005-0000-0000-00008C060000}"/>
    <cellStyle name="40% - Accent5 2 7 2 2" xfId="8384" xr:uid="{00000000-0005-0000-0000-00008D060000}"/>
    <cellStyle name="40% - Accent5 2 7 2 2 2" xfId="16826" xr:uid="{3B7BD11A-3D1F-413F-A7B3-2EF57771363E}"/>
    <cellStyle name="40% - Accent5 2 7 2 2 3" xfId="25266" xr:uid="{97A1AE32-5E27-4270-99B6-E5854B5D10AC}"/>
    <cellStyle name="40% - Accent5 2 7 2 3" xfId="12608" xr:uid="{D5157421-B18F-4C7C-B4E8-9EC5D184FE82}"/>
    <cellStyle name="40% - Accent5 2 7 2 4" xfId="21049" xr:uid="{4741664F-0AEB-40BD-8212-FA75D4731656}"/>
    <cellStyle name="40% - Accent5 2 7 3" xfId="6239" xr:uid="{00000000-0005-0000-0000-00008E060000}"/>
    <cellStyle name="40% - Accent5 2 7 3 2" xfId="14681" xr:uid="{3C63C58D-7DEE-471B-BAF6-796538302DFA}"/>
    <cellStyle name="40% - Accent5 2 7 3 3" xfId="23121" xr:uid="{3B91F762-C02D-489F-ABB3-B7D0421A2CFC}"/>
    <cellStyle name="40% - Accent5 2 7 4" xfId="10463" xr:uid="{470E69FE-1597-4177-8DB1-D5D492317C1F}"/>
    <cellStyle name="40% - Accent5 2 7 5" xfId="18904" xr:uid="{D13012B6-8B8B-4CDA-8112-D98B81D3A1E2}"/>
    <cellStyle name="40% - Accent5 2 8" xfId="2345" xr:uid="{00000000-0005-0000-0000-00008F060000}"/>
    <cellStyle name="40% - Accent5 2 8 2" xfId="6652" xr:uid="{00000000-0005-0000-0000-000090060000}"/>
    <cellStyle name="40% - Accent5 2 8 2 2" xfId="15094" xr:uid="{DCD8B269-4300-46C1-93CD-AE7789797623}"/>
    <cellStyle name="40% - Accent5 2 8 2 3" xfId="23534" xr:uid="{8A01B3B0-727E-48BC-B12F-6A3715A6F506}"/>
    <cellStyle name="40% - Accent5 2 8 3" xfId="10876" xr:uid="{FDCAE9BC-C0C8-49E0-A0E7-64A7641B435E}"/>
    <cellStyle name="40% - Accent5 2 8 4" xfId="19317" xr:uid="{289609F6-C865-4F59-96F0-38681BCD94A4}"/>
    <cellStyle name="40% - Accent5 2 9" xfId="4586" xr:uid="{00000000-0005-0000-0000-000091060000}"/>
    <cellStyle name="40% - Accent5 2 9 2" xfId="13028" xr:uid="{C16FEB82-8ED2-478A-AD0E-03969D960CAE}"/>
    <cellStyle name="40% - Accent5 2 9 3" xfId="21468" xr:uid="{8E141978-2804-43CE-8F92-BB47A9BC418E}"/>
    <cellStyle name="40% - Accent5 3" xfId="86" xr:uid="{00000000-0005-0000-0000-000092060000}"/>
    <cellStyle name="40% - Accent5 3 10" xfId="17255" xr:uid="{1FA094B7-6404-4728-AA46-8745D3D55B7A}"/>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15592" xr:uid="{05D87C2D-9AEC-4535-9E6A-F41A41DC0702}"/>
    <cellStyle name="40% - Accent5 3 2 2 2 2 3" xfId="24032" xr:uid="{478D7CDA-8890-4A92-A7D9-E7834DE4088E}"/>
    <cellStyle name="40% - Accent5 3 2 2 2 3" xfId="11374" xr:uid="{E20A4355-3733-4333-8EB6-646EE631478A}"/>
    <cellStyle name="40% - Accent5 3 2 2 2 4" xfId="19815" xr:uid="{D23D7C0C-09EF-4A1E-8088-CED4D4EFA7C3}"/>
    <cellStyle name="40% - Accent5 3 2 2 3" xfId="5005" xr:uid="{00000000-0005-0000-0000-000097060000}"/>
    <cellStyle name="40% - Accent5 3 2 2 3 2" xfId="13447" xr:uid="{39A292AA-8C1F-4FAE-8708-00211D9E4BAF}"/>
    <cellStyle name="40% - Accent5 3 2 2 3 3" xfId="21887" xr:uid="{A316142B-B28C-454B-8ABC-D89236666149}"/>
    <cellStyle name="40% - Accent5 3 2 2 4" xfId="9229" xr:uid="{5B21BD82-F878-48CE-8D58-AC2A564D59CE}"/>
    <cellStyle name="40% - Accent5 3 2 2 5" xfId="17670" xr:uid="{B1441A24-B058-4A59-9713-CC2CB7A18746}"/>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16005" xr:uid="{87A59E34-C12E-477A-967C-237EDF325C45}"/>
    <cellStyle name="40% - Accent5 3 2 3 2 2 3" xfId="24445" xr:uid="{C9328A7C-4A56-4E97-AEE9-4785C4EBD95D}"/>
    <cellStyle name="40% - Accent5 3 2 3 2 3" xfId="11787" xr:uid="{2474F3A1-84F4-4CDE-A6AD-1C3B020706F2}"/>
    <cellStyle name="40% - Accent5 3 2 3 2 4" xfId="20228" xr:uid="{85D65715-B5F8-4BE9-A79B-11274CE7E495}"/>
    <cellStyle name="40% - Accent5 3 2 3 3" xfId="5418" xr:uid="{00000000-0005-0000-0000-00009B060000}"/>
    <cellStyle name="40% - Accent5 3 2 3 3 2" xfId="13860" xr:uid="{08D825DD-0CEF-47D0-AE00-F99538DB123A}"/>
    <cellStyle name="40% - Accent5 3 2 3 3 3" xfId="22300" xr:uid="{9CE692DF-7514-468A-B0CC-9524F6C5B9C1}"/>
    <cellStyle name="40% - Accent5 3 2 3 4" xfId="9642" xr:uid="{1AC2187F-5617-4BD3-BE9E-DBAE99039189}"/>
    <cellStyle name="40% - Accent5 3 2 3 5" xfId="18083" xr:uid="{6AB80528-481B-4F2A-BEA1-5AA8A65491AD}"/>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16418" xr:uid="{D50327D0-B223-4DFC-9EC6-754E0756F10A}"/>
    <cellStyle name="40% - Accent5 3 2 4 2 2 3" xfId="24858" xr:uid="{AD5AC949-D195-4AAD-B513-AB69A9FF2B63}"/>
    <cellStyle name="40% - Accent5 3 2 4 2 3" xfId="12200" xr:uid="{61A37640-2CF5-49F7-8FA0-F66923E1C06B}"/>
    <cellStyle name="40% - Accent5 3 2 4 2 4" xfId="20641" xr:uid="{57024289-B12E-482A-B923-48BF9176A1D8}"/>
    <cellStyle name="40% - Accent5 3 2 4 3" xfId="5831" xr:uid="{00000000-0005-0000-0000-00009F060000}"/>
    <cellStyle name="40% - Accent5 3 2 4 3 2" xfId="14273" xr:uid="{DECE22D1-3DD5-41CB-A36C-344C188139E0}"/>
    <cellStyle name="40% - Accent5 3 2 4 3 3" xfId="22713" xr:uid="{EF15D78F-304C-4337-B81C-D6D5933143FC}"/>
    <cellStyle name="40% - Accent5 3 2 4 4" xfId="10055" xr:uid="{25B631EE-FAA4-4E98-934F-34CF81F94C27}"/>
    <cellStyle name="40% - Accent5 3 2 4 5" xfId="18496" xr:uid="{5782C294-F933-4C16-A66F-16770A250828}"/>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16831" xr:uid="{BDC33ECA-9A5F-4918-A930-30663312C7AE}"/>
    <cellStyle name="40% - Accent5 3 2 5 2 2 3" xfId="25271" xr:uid="{3FB02856-6A4A-4769-BAAB-1F04A73918E7}"/>
    <cellStyle name="40% - Accent5 3 2 5 2 3" xfId="12613" xr:uid="{6848D4CB-CD86-445C-A46D-9503BD73AFB3}"/>
    <cellStyle name="40% - Accent5 3 2 5 2 4" xfId="21054" xr:uid="{3597A8B8-8C01-4B51-A6D3-E8FEC8C88725}"/>
    <cellStyle name="40% - Accent5 3 2 5 3" xfId="6244" xr:uid="{00000000-0005-0000-0000-0000A3060000}"/>
    <cellStyle name="40% - Accent5 3 2 5 3 2" xfId="14686" xr:uid="{1A2200B2-8DAC-4CFE-BFC1-CCA8BB6BBE22}"/>
    <cellStyle name="40% - Accent5 3 2 5 3 3" xfId="23126" xr:uid="{B2647111-E347-4D83-8C16-5CE7E7DA4D10}"/>
    <cellStyle name="40% - Accent5 3 2 5 4" xfId="10468" xr:uid="{B51DBE70-8C3D-49F0-94E5-5FDC41C313A7}"/>
    <cellStyle name="40% - Accent5 3 2 5 5" xfId="18909" xr:uid="{F358CE0E-3452-4A4F-B82E-F6FAAB2E0F32}"/>
    <cellStyle name="40% - Accent5 3 2 6" xfId="2350" xr:uid="{00000000-0005-0000-0000-0000A4060000}"/>
    <cellStyle name="40% - Accent5 3 2 6 2" xfId="6657" xr:uid="{00000000-0005-0000-0000-0000A5060000}"/>
    <cellStyle name="40% - Accent5 3 2 6 2 2" xfId="15099" xr:uid="{A86ED6AF-A501-4255-B6F1-0E7E23BF0439}"/>
    <cellStyle name="40% - Accent5 3 2 6 2 3" xfId="23539" xr:uid="{FE8EDD27-0E11-46EF-BA92-239FB20EB44E}"/>
    <cellStyle name="40% - Accent5 3 2 6 3" xfId="10881" xr:uid="{377CED2A-21E8-46AE-86B4-46A08C19E2E4}"/>
    <cellStyle name="40% - Accent5 3 2 6 4" xfId="19322" xr:uid="{D5819475-85C9-4C47-8BE8-437666C4AA98}"/>
    <cellStyle name="40% - Accent5 3 2 7" xfId="4591" xr:uid="{00000000-0005-0000-0000-0000A6060000}"/>
    <cellStyle name="40% - Accent5 3 2 7 2" xfId="13033" xr:uid="{A5FF9071-7BF9-4491-BCCB-1B32BEF8AF57}"/>
    <cellStyle name="40% - Accent5 3 2 7 3" xfId="21473" xr:uid="{CA0A9E0E-0B9B-4540-825C-092D73B2FD4D}"/>
    <cellStyle name="40% - Accent5 3 2 8" xfId="8815" xr:uid="{C24CC5C9-F089-42CA-AC98-D51A2A7DE784}"/>
    <cellStyle name="40% - Accent5 3 2 9" xfId="17256" xr:uid="{5DAA1B1B-EDBA-48D0-B4D5-7826AB86EE07}"/>
    <cellStyle name="40% - Accent5 3 3" xfId="655" xr:uid="{00000000-0005-0000-0000-0000A7060000}"/>
    <cellStyle name="40% - Accent5 3 3 2" xfId="2926" xr:uid="{00000000-0005-0000-0000-0000A8060000}"/>
    <cellStyle name="40% - Accent5 3 3 2 2" xfId="7149" xr:uid="{00000000-0005-0000-0000-0000A9060000}"/>
    <cellStyle name="40% - Accent5 3 3 2 2 2" xfId="15591" xr:uid="{E07C9708-DAB1-4C07-A274-1161562F8164}"/>
    <cellStyle name="40% - Accent5 3 3 2 2 3" xfId="24031" xr:uid="{E61879FB-7652-4CB9-9509-9038B8032D5E}"/>
    <cellStyle name="40% - Accent5 3 3 2 3" xfId="11373" xr:uid="{F7F07BB2-7192-4150-BE79-02A498F6E0AB}"/>
    <cellStyle name="40% - Accent5 3 3 2 4" xfId="19814" xr:uid="{F0A46742-09CC-438B-9F90-08508960B1C8}"/>
    <cellStyle name="40% - Accent5 3 3 3" xfId="5004" xr:uid="{00000000-0005-0000-0000-0000AA060000}"/>
    <cellStyle name="40% - Accent5 3 3 3 2" xfId="13446" xr:uid="{1AD26B60-E920-476E-BACA-69C8EDDA2AEB}"/>
    <cellStyle name="40% - Accent5 3 3 3 3" xfId="21886" xr:uid="{4B5F4500-6152-45AD-8D10-3321C70B8B1F}"/>
    <cellStyle name="40% - Accent5 3 3 4" xfId="9228" xr:uid="{94925F50-D694-41D7-A57B-1AB9D40FEAEE}"/>
    <cellStyle name="40% - Accent5 3 3 5" xfId="17669" xr:uid="{504C23B9-2EE6-4010-96AE-719E2F9A66B5}"/>
    <cellStyle name="40% - Accent5 3 4" xfId="1108" xr:uid="{00000000-0005-0000-0000-0000AB060000}"/>
    <cellStyle name="40% - Accent5 3 4 2" xfId="3339" xr:uid="{00000000-0005-0000-0000-0000AC060000}"/>
    <cellStyle name="40% - Accent5 3 4 2 2" xfId="7562" xr:uid="{00000000-0005-0000-0000-0000AD060000}"/>
    <cellStyle name="40% - Accent5 3 4 2 2 2" xfId="16004" xr:uid="{3878FCD0-1776-42CB-B01A-D87A307009E9}"/>
    <cellStyle name="40% - Accent5 3 4 2 2 3" xfId="24444" xr:uid="{C9CD51ED-33BF-42C2-8C2A-A091C28B8DC9}"/>
    <cellStyle name="40% - Accent5 3 4 2 3" xfId="11786" xr:uid="{E52AC32C-CEB5-4B74-8DDA-77F5027FEA1A}"/>
    <cellStyle name="40% - Accent5 3 4 2 4" xfId="20227" xr:uid="{2BDEBBBD-0C5B-4D6A-937E-9DA528D7B6A0}"/>
    <cellStyle name="40% - Accent5 3 4 3" xfId="5417" xr:uid="{00000000-0005-0000-0000-0000AE060000}"/>
    <cellStyle name="40% - Accent5 3 4 3 2" xfId="13859" xr:uid="{D795A464-E1BE-4FBC-98FB-77FCF92E18E5}"/>
    <cellStyle name="40% - Accent5 3 4 3 3" xfId="22299" xr:uid="{BA153304-266D-4D33-8DDD-7118EE034954}"/>
    <cellStyle name="40% - Accent5 3 4 4" xfId="9641" xr:uid="{565D1DD4-2227-49A7-9FBF-0EF68378077E}"/>
    <cellStyle name="40% - Accent5 3 4 5" xfId="18082" xr:uid="{9BC17BB2-D1A5-4A3D-A7DA-98B9B3A434C8}"/>
    <cellStyle name="40% - Accent5 3 5" xfId="1522" xr:uid="{00000000-0005-0000-0000-0000AF060000}"/>
    <cellStyle name="40% - Accent5 3 5 2" xfId="3752" xr:uid="{00000000-0005-0000-0000-0000B0060000}"/>
    <cellStyle name="40% - Accent5 3 5 2 2" xfId="7975" xr:uid="{00000000-0005-0000-0000-0000B1060000}"/>
    <cellStyle name="40% - Accent5 3 5 2 2 2" xfId="16417" xr:uid="{9F086BAC-6D1E-44CB-9262-EF7E75234145}"/>
    <cellStyle name="40% - Accent5 3 5 2 2 3" xfId="24857" xr:uid="{FA2E213C-69FE-4351-8DBB-896D01AB9F85}"/>
    <cellStyle name="40% - Accent5 3 5 2 3" xfId="12199" xr:uid="{1328F65C-8386-49AD-B304-D81A2F98D49F}"/>
    <cellStyle name="40% - Accent5 3 5 2 4" xfId="20640" xr:uid="{A9999349-7220-480E-B21A-3507CF7B9BE7}"/>
    <cellStyle name="40% - Accent5 3 5 3" xfId="5830" xr:uid="{00000000-0005-0000-0000-0000B2060000}"/>
    <cellStyle name="40% - Accent5 3 5 3 2" xfId="14272" xr:uid="{4F0ECBC3-A14E-4E08-9AD2-DDDA0F32FC2F}"/>
    <cellStyle name="40% - Accent5 3 5 3 3" xfId="22712" xr:uid="{23C05544-D1D3-4DAF-96C7-EC77BC1B94B2}"/>
    <cellStyle name="40% - Accent5 3 5 4" xfId="10054" xr:uid="{C0C9519A-9CAD-4577-9FF0-75F740FE049C}"/>
    <cellStyle name="40% - Accent5 3 5 5" xfId="18495" xr:uid="{ACE9862A-874F-45CA-B66F-2FE4BD382E83}"/>
    <cellStyle name="40% - Accent5 3 6" xfId="1936" xr:uid="{00000000-0005-0000-0000-0000B3060000}"/>
    <cellStyle name="40% - Accent5 3 6 2" xfId="4165" xr:uid="{00000000-0005-0000-0000-0000B4060000}"/>
    <cellStyle name="40% - Accent5 3 6 2 2" xfId="8388" xr:uid="{00000000-0005-0000-0000-0000B5060000}"/>
    <cellStyle name="40% - Accent5 3 6 2 2 2" xfId="16830" xr:uid="{F1FAA012-EE75-4DB5-9049-863F7A487F9D}"/>
    <cellStyle name="40% - Accent5 3 6 2 2 3" xfId="25270" xr:uid="{F4C8D764-36F7-4FFD-9589-FB8A0A2E648C}"/>
    <cellStyle name="40% - Accent5 3 6 2 3" xfId="12612" xr:uid="{2784D8CF-14BA-4306-8AB3-BE17E697EB4A}"/>
    <cellStyle name="40% - Accent5 3 6 2 4" xfId="21053" xr:uid="{92796015-09A4-4609-9AF5-745E37D61EBF}"/>
    <cellStyle name="40% - Accent5 3 6 3" xfId="6243" xr:uid="{00000000-0005-0000-0000-0000B6060000}"/>
    <cellStyle name="40% - Accent5 3 6 3 2" xfId="14685" xr:uid="{E3AA98C2-5F9B-482E-BC3E-A232E522D167}"/>
    <cellStyle name="40% - Accent5 3 6 3 3" xfId="23125" xr:uid="{7C6E59B3-4E8C-4DC5-8C13-6590B261CA1E}"/>
    <cellStyle name="40% - Accent5 3 6 4" xfId="10467" xr:uid="{74B65F2D-8EE1-4E73-B31D-44BFEE8A49DA}"/>
    <cellStyle name="40% - Accent5 3 6 5" xfId="18908" xr:uid="{4058DB3B-0013-4297-9D41-20FDD4B2B413}"/>
    <cellStyle name="40% - Accent5 3 7" xfId="2349" xr:uid="{00000000-0005-0000-0000-0000B7060000}"/>
    <cellStyle name="40% - Accent5 3 7 2" xfId="6656" xr:uid="{00000000-0005-0000-0000-0000B8060000}"/>
    <cellStyle name="40% - Accent5 3 7 2 2" xfId="15098" xr:uid="{F52FD789-1C06-42BC-9385-8E9BE28D388C}"/>
    <cellStyle name="40% - Accent5 3 7 2 3" xfId="23538" xr:uid="{D615B862-B05D-4B94-A5DC-016903439335}"/>
    <cellStyle name="40% - Accent5 3 7 3" xfId="10880" xr:uid="{CDA38947-2314-469D-A4E9-430729431747}"/>
    <cellStyle name="40% - Accent5 3 7 4" xfId="19321" xr:uid="{F557B6B0-373D-4D02-A3CB-2FEBF99E8182}"/>
    <cellStyle name="40% - Accent5 3 8" xfId="4590" xr:uid="{00000000-0005-0000-0000-0000B9060000}"/>
    <cellStyle name="40% - Accent5 3 8 2" xfId="13032" xr:uid="{E3D63499-FEE3-43B4-B90C-97EF7393802F}"/>
    <cellStyle name="40% - Accent5 3 8 3" xfId="21472" xr:uid="{D7055606-3321-48F0-95ED-FA0826DF69EF}"/>
    <cellStyle name="40% - Accent5 3 9" xfId="8814" xr:uid="{718EC3BD-3586-4A4E-BF1B-15B33F4BF41C}"/>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2 2 2" xfId="15593" xr:uid="{43BF5882-878C-4AC2-8E91-3F0BAD21D0A6}"/>
    <cellStyle name="40% - Accent5 4 2 2 2 3" xfId="24033" xr:uid="{0AB2111D-792A-4D21-A57C-DF48AD87B48B}"/>
    <cellStyle name="40% - Accent5 4 2 2 3" xfId="11375" xr:uid="{B23CC648-912A-47A7-9965-F6A2E60541F4}"/>
    <cellStyle name="40% - Accent5 4 2 2 4" xfId="19816" xr:uid="{270BB716-5B8E-421F-BE2F-2E3D186C3A3F}"/>
    <cellStyle name="40% - Accent5 4 2 3" xfId="5006" xr:uid="{00000000-0005-0000-0000-0000BE060000}"/>
    <cellStyle name="40% - Accent5 4 2 3 2" xfId="13448" xr:uid="{D7D1EAB9-B61B-4B85-8A4D-E905F73E1289}"/>
    <cellStyle name="40% - Accent5 4 2 3 3" xfId="21888" xr:uid="{2D8CECDC-FFBC-4F97-BAA5-8D575F7BDEA6}"/>
    <cellStyle name="40% - Accent5 4 2 4" xfId="9230" xr:uid="{419E31A3-E0A6-4A1B-B5F1-24699CFEB6F2}"/>
    <cellStyle name="40% - Accent5 4 2 5" xfId="17671" xr:uid="{ECFB04A2-6CFF-46B4-A537-CD49EEC771DD}"/>
    <cellStyle name="40% - Accent5 4 3" xfId="1110" xr:uid="{00000000-0005-0000-0000-0000BF060000}"/>
    <cellStyle name="40% - Accent5 4 3 2" xfId="3341" xr:uid="{00000000-0005-0000-0000-0000C0060000}"/>
    <cellStyle name="40% - Accent5 4 3 2 2" xfId="7564" xr:uid="{00000000-0005-0000-0000-0000C1060000}"/>
    <cellStyle name="40% - Accent5 4 3 2 2 2" xfId="16006" xr:uid="{C057A41C-43BF-41ED-B798-EDA8F11540AB}"/>
    <cellStyle name="40% - Accent5 4 3 2 2 3" xfId="24446" xr:uid="{2D2FC3F9-7D6E-4414-9B25-D3F581A10362}"/>
    <cellStyle name="40% - Accent5 4 3 2 3" xfId="11788" xr:uid="{8AEDFFC4-0427-485A-A621-81647BD2C2D4}"/>
    <cellStyle name="40% - Accent5 4 3 2 4" xfId="20229" xr:uid="{F06AE05C-BC1F-4C48-84B5-71E72F2BB96A}"/>
    <cellStyle name="40% - Accent5 4 3 3" xfId="5419" xr:uid="{00000000-0005-0000-0000-0000C2060000}"/>
    <cellStyle name="40% - Accent5 4 3 3 2" xfId="13861" xr:uid="{EF72DCBF-5F6C-494D-9A65-50D965C03EF4}"/>
    <cellStyle name="40% - Accent5 4 3 3 3" xfId="22301" xr:uid="{240B281F-431A-4D10-95A2-CF9BC9128970}"/>
    <cellStyle name="40% - Accent5 4 3 4" xfId="9643" xr:uid="{0B05280C-A09A-422E-8ED5-0984671757AB}"/>
    <cellStyle name="40% - Accent5 4 3 5" xfId="18084" xr:uid="{85BB927A-82FA-447F-BE15-FB74EF433F93}"/>
    <cellStyle name="40% - Accent5 4 4" xfId="1524" xr:uid="{00000000-0005-0000-0000-0000C3060000}"/>
    <cellStyle name="40% - Accent5 4 4 2" xfId="3754" xr:uid="{00000000-0005-0000-0000-0000C4060000}"/>
    <cellStyle name="40% - Accent5 4 4 2 2" xfId="7977" xr:uid="{00000000-0005-0000-0000-0000C5060000}"/>
    <cellStyle name="40% - Accent5 4 4 2 2 2" xfId="16419" xr:uid="{046F4422-6FB7-487F-AFE9-F73755157860}"/>
    <cellStyle name="40% - Accent5 4 4 2 2 3" xfId="24859" xr:uid="{EF353639-BE18-4FCA-91D7-E3F2334A99FB}"/>
    <cellStyle name="40% - Accent5 4 4 2 3" xfId="12201" xr:uid="{F2D4059D-978E-4F4D-8E9B-7930B4F6EF73}"/>
    <cellStyle name="40% - Accent5 4 4 2 4" xfId="20642" xr:uid="{221AEFD1-976B-47A2-8258-652227FF0038}"/>
    <cellStyle name="40% - Accent5 4 4 3" xfId="5832" xr:uid="{00000000-0005-0000-0000-0000C6060000}"/>
    <cellStyle name="40% - Accent5 4 4 3 2" xfId="14274" xr:uid="{92FEBCC2-225D-4829-8C84-70D3079F1C86}"/>
    <cellStyle name="40% - Accent5 4 4 3 3" xfId="22714" xr:uid="{3D2FB19A-6CFF-4983-A72E-72558A65F3D7}"/>
    <cellStyle name="40% - Accent5 4 4 4" xfId="10056" xr:uid="{8CFE9BC6-A4D9-44A3-BC62-56011CEBE033}"/>
    <cellStyle name="40% - Accent5 4 4 5" xfId="18497" xr:uid="{3576FD9A-9ED8-461C-BC4B-D0041CBFF4DF}"/>
    <cellStyle name="40% - Accent5 4 5" xfId="1938" xr:uid="{00000000-0005-0000-0000-0000C7060000}"/>
    <cellStyle name="40% - Accent5 4 5 2" xfId="4167" xr:uid="{00000000-0005-0000-0000-0000C8060000}"/>
    <cellStyle name="40% - Accent5 4 5 2 2" xfId="8390" xr:uid="{00000000-0005-0000-0000-0000C9060000}"/>
    <cellStyle name="40% - Accent5 4 5 2 2 2" xfId="16832" xr:uid="{178155EB-4D32-4D94-A105-A92F3001EAC9}"/>
    <cellStyle name="40% - Accent5 4 5 2 2 3" xfId="25272" xr:uid="{E6BC4AB3-F2F5-421F-91B9-FAFD750D7884}"/>
    <cellStyle name="40% - Accent5 4 5 2 3" xfId="12614" xr:uid="{1E9D5317-C943-4EAA-A439-9A503C5614C0}"/>
    <cellStyle name="40% - Accent5 4 5 2 4" xfId="21055" xr:uid="{5FB4FB46-B459-42FD-822E-1ADD6FBBEE49}"/>
    <cellStyle name="40% - Accent5 4 5 3" xfId="6245" xr:uid="{00000000-0005-0000-0000-0000CA060000}"/>
    <cellStyle name="40% - Accent5 4 5 3 2" xfId="14687" xr:uid="{567E2CE3-A302-440A-8EEA-C75D48F737D1}"/>
    <cellStyle name="40% - Accent5 4 5 3 3" xfId="23127" xr:uid="{66C08E9D-7EAB-4B8B-B193-F78323279395}"/>
    <cellStyle name="40% - Accent5 4 5 4" xfId="10469" xr:uid="{5A362943-5F4F-43F2-BE01-C090E99A41F8}"/>
    <cellStyle name="40% - Accent5 4 5 5" xfId="18910" xr:uid="{28FA4FDE-1AC8-4920-952B-BCE21073735A}"/>
    <cellStyle name="40% - Accent5 4 6" xfId="2351" xr:uid="{00000000-0005-0000-0000-0000CB060000}"/>
    <cellStyle name="40% - Accent5 4 6 2" xfId="6658" xr:uid="{00000000-0005-0000-0000-0000CC060000}"/>
    <cellStyle name="40% - Accent5 4 6 2 2" xfId="15100" xr:uid="{C2EE2C0F-6430-4AAF-A0C5-5258608D8770}"/>
    <cellStyle name="40% - Accent5 4 6 2 3" xfId="23540" xr:uid="{596E7827-96AC-4165-800B-2B5CE15BC40B}"/>
    <cellStyle name="40% - Accent5 4 6 3" xfId="10882" xr:uid="{C5A6DE81-57C7-42C0-A547-2A6DD88925D0}"/>
    <cellStyle name="40% - Accent5 4 6 4" xfId="19323" xr:uid="{FF00CDAC-A9FE-4649-81C7-DBEE4B0D2E6A}"/>
    <cellStyle name="40% - Accent5 4 7" xfId="4592" xr:uid="{00000000-0005-0000-0000-0000CD060000}"/>
    <cellStyle name="40% - Accent5 4 7 2" xfId="13034" xr:uid="{B366AA94-B601-4690-B8C9-053956EFE4B9}"/>
    <cellStyle name="40% - Accent5 4 7 3" xfId="21474" xr:uid="{71B8FCC1-3B65-4E0A-A94D-C1027A5C7783}"/>
    <cellStyle name="40% - Accent5 4 8" xfId="8816" xr:uid="{425BEB0F-A7E0-4E12-8890-B341873B8EF7}"/>
    <cellStyle name="40% - Accent5 4 9" xfId="17257" xr:uid="{968269F4-FC26-4618-B7CD-DB7C29AAD2E8}"/>
    <cellStyle name="40% - Accent5 5" xfId="650" xr:uid="{00000000-0005-0000-0000-0000CE060000}"/>
    <cellStyle name="40% - Accent5 5 2" xfId="2921" xr:uid="{00000000-0005-0000-0000-0000CF060000}"/>
    <cellStyle name="40% - Accent5 5 2 2" xfId="7144" xr:uid="{00000000-0005-0000-0000-0000D0060000}"/>
    <cellStyle name="40% - Accent5 5 2 2 2" xfId="15586" xr:uid="{5924AC24-08BA-499A-8726-B34196E6A7AA}"/>
    <cellStyle name="40% - Accent5 5 2 2 3" xfId="24026" xr:uid="{E297FE51-CA41-4F83-A4FD-380D9BC4C5D6}"/>
    <cellStyle name="40% - Accent5 5 2 3" xfId="11368" xr:uid="{F6AD9D51-DF38-498E-B4B0-63B85A7B6FD5}"/>
    <cellStyle name="40% - Accent5 5 2 4" xfId="19809" xr:uid="{5EE5A7FA-825E-44C4-A3F2-45D1258A3EF5}"/>
    <cellStyle name="40% - Accent5 5 3" xfId="4999" xr:uid="{00000000-0005-0000-0000-0000D1060000}"/>
    <cellStyle name="40% - Accent5 5 3 2" xfId="13441" xr:uid="{0485FC17-96DF-4EC1-90C3-2A785B598758}"/>
    <cellStyle name="40% - Accent5 5 3 3" xfId="21881" xr:uid="{4B4500A9-3A1F-4C54-97DD-31400922CA23}"/>
    <cellStyle name="40% - Accent5 5 4" xfId="9223" xr:uid="{1CF80840-3364-44A7-812D-8C5F6E80D0A6}"/>
    <cellStyle name="40% - Accent5 5 5" xfId="17664" xr:uid="{FD6FF02C-BCA8-483F-9C52-8917CC2238A7}"/>
    <cellStyle name="40% - Accent5 6" xfId="1103" xr:uid="{00000000-0005-0000-0000-0000D2060000}"/>
    <cellStyle name="40% - Accent5 6 2" xfId="3334" xr:uid="{00000000-0005-0000-0000-0000D3060000}"/>
    <cellStyle name="40% - Accent5 6 2 2" xfId="7557" xr:uid="{00000000-0005-0000-0000-0000D4060000}"/>
    <cellStyle name="40% - Accent5 6 2 2 2" xfId="15999" xr:uid="{A2E6C530-3881-4CBC-A8DE-D0187D6C4311}"/>
    <cellStyle name="40% - Accent5 6 2 2 3" xfId="24439" xr:uid="{15D24C2C-95EF-4427-BD4D-0BBD859715B4}"/>
    <cellStyle name="40% - Accent5 6 2 3" xfId="11781" xr:uid="{03CB2655-E3CD-4701-A3A4-3B86E2BE3C39}"/>
    <cellStyle name="40% - Accent5 6 2 4" xfId="20222" xr:uid="{D38FFE59-821C-4CA5-B1B2-86BE18B65AA9}"/>
    <cellStyle name="40% - Accent5 6 3" xfId="5412" xr:uid="{00000000-0005-0000-0000-0000D5060000}"/>
    <cellStyle name="40% - Accent5 6 3 2" xfId="13854" xr:uid="{5DB882A1-B0CD-4894-A7E0-34841936E760}"/>
    <cellStyle name="40% - Accent5 6 3 3" xfId="22294" xr:uid="{26580DD7-F2A4-47FF-8B4B-9DAE649826B7}"/>
    <cellStyle name="40% - Accent5 6 4" xfId="9636" xr:uid="{EFF8FE2C-2C1C-41B0-9CEA-DB59E1B735DA}"/>
    <cellStyle name="40% - Accent5 6 5" xfId="18077" xr:uid="{900F89EC-E3F4-411B-A85A-49D5DA0CA03B}"/>
    <cellStyle name="40% - Accent5 7" xfId="1517" xr:uid="{00000000-0005-0000-0000-0000D6060000}"/>
    <cellStyle name="40% - Accent5 7 2" xfId="3747" xr:uid="{00000000-0005-0000-0000-0000D7060000}"/>
    <cellStyle name="40% - Accent5 7 2 2" xfId="7970" xr:uid="{00000000-0005-0000-0000-0000D8060000}"/>
    <cellStyle name="40% - Accent5 7 2 2 2" xfId="16412" xr:uid="{82A63EB5-6250-4B6A-BC49-4E1A29ED3AB4}"/>
    <cellStyle name="40% - Accent5 7 2 2 3" xfId="24852" xr:uid="{E021D22D-00A4-4C9A-9AB9-8164B08069E2}"/>
    <cellStyle name="40% - Accent5 7 2 3" xfId="12194" xr:uid="{46E343D2-6065-44B9-92E7-79E83B01802E}"/>
    <cellStyle name="40% - Accent5 7 2 4" xfId="20635" xr:uid="{8095F7E9-8B8A-4A62-A198-C72C6124B70A}"/>
    <cellStyle name="40% - Accent5 7 3" xfId="5825" xr:uid="{00000000-0005-0000-0000-0000D9060000}"/>
    <cellStyle name="40% - Accent5 7 3 2" xfId="14267" xr:uid="{35086C77-7093-490E-9E0D-F1704CF6851F}"/>
    <cellStyle name="40% - Accent5 7 3 3" xfId="22707" xr:uid="{FECCE61E-755B-4F8A-910F-F3A6306A1BD2}"/>
    <cellStyle name="40% - Accent5 7 4" xfId="10049" xr:uid="{1486C8E9-618C-4B19-BCCA-97B427735230}"/>
    <cellStyle name="40% - Accent5 7 5" xfId="18490" xr:uid="{254FDF11-2F3F-4EBC-91FD-C9690DA5F035}"/>
    <cellStyle name="40% - Accent5 8" xfId="1931" xr:uid="{00000000-0005-0000-0000-0000DA060000}"/>
    <cellStyle name="40% - Accent5 8 2" xfId="4160" xr:uid="{00000000-0005-0000-0000-0000DB060000}"/>
    <cellStyle name="40% - Accent5 8 2 2" xfId="8383" xr:uid="{00000000-0005-0000-0000-0000DC060000}"/>
    <cellStyle name="40% - Accent5 8 2 2 2" xfId="16825" xr:uid="{2D7AF48B-9328-47C6-B6DB-8BCEB1549C68}"/>
    <cellStyle name="40% - Accent5 8 2 2 3" xfId="25265" xr:uid="{8E83F18D-888F-4553-B758-D68381C35555}"/>
    <cellStyle name="40% - Accent5 8 2 3" xfId="12607" xr:uid="{DA933A45-5287-4630-9628-08B157A8987B}"/>
    <cellStyle name="40% - Accent5 8 2 4" xfId="21048" xr:uid="{E3F514A9-18BE-430E-9CF2-4F5E83FD4F09}"/>
    <cellStyle name="40% - Accent5 8 3" xfId="6238" xr:uid="{00000000-0005-0000-0000-0000DD060000}"/>
    <cellStyle name="40% - Accent5 8 3 2" xfId="14680" xr:uid="{04B537D9-3B0D-4EAE-A7D2-06F367CE7E27}"/>
    <cellStyle name="40% - Accent5 8 3 3" xfId="23120" xr:uid="{09D747C4-CAC0-4626-BF74-710DA7AFB969}"/>
    <cellStyle name="40% - Accent5 8 4" xfId="10462" xr:uid="{F62BC12A-FBFB-4EE2-B64A-64953005FD2B}"/>
    <cellStyle name="40% - Accent5 8 5" xfId="18903" xr:uid="{6724A0F2-AA70-4FD0-81E4-4DB4B1617B64}"/>
    <cellStyle name="40% - Accent5 9" xfId="2344" xr:uid="{00000000-0005-0000-0000-0000DE060000}"/>
    <cellStyle name="40% - Accent5 9 2" xfId="6651" xr:uid="{00000000-0005-0000-0000-0000DF060000}"/>
    <cellStyle name="40% - Accent5 9 2 2" xfId="15093" xr:uid="{5E81683F-315D-43F2-BFBD-67A4CE896F7B}"/>
    <cellStyle name="40% - Accent5 9 2 3" xfId="23533" xr:uid="{D36F2E1F-95B2-4948-B418-500541477A90}"/>
    <cellStyle name="40% - Accent5 9 3" xfId="10875" xr:uid="{735A6F6F-7E88-4D63-9D44-E26C2D12BC7A}"/>
    <cellStyle name="40% - Accent5 9 4" xfId="19316" xr:uid="{24A79823-3445-4BA0-B6B4-3E85A1220974}"/>
    <cellStyle name="40% - Accent6" xfId="89" builtinId="51" customBuiltin="1"/>
    <cellStyle name="40% - Accent6 10" xfId="4593" xr:uid="{00000000-0005-0000-0000-0000E1060000}"/>
    <cellStyle name="40% - Accent6 10 2" xfId="13035" xr:uid="{D59C638A-7FCF-4782-A5AD-ACBC8A197A4C}"/>
    <cellStyle name="40% - Accent6 10 3" xfId="21475" xr:uid="{E0AEC78A-0277-4AAA-9561-9D1D05627C77}"/>
    <cellStyle name="40% - Accent6 11" xfId="8817" xr:uid="{F142EABC-AE49-4B53-B299-09A9D3DB3622}"/>
    <cellStyle name="40% - Accent6 12" xfId="17258" xr:uid="{3A5748E3-F1D3-4AE5-8ADA-76F2292FC557}"/>
    <cellStyle name="40% - Accent6 2" xfId="90" xr:uid="{00000000-0005-0000-0000-0000E2060000}"/>
    <cellStyle name="40% - Accent6 2 10" xfId="8818" xr:uid="{F1960134-7124-4FD7-A199-51E094FB26F3}"/>
    <cellStyle name="40% - Accent6 2 11" xfId="17259" xr:uid="{06BB56C2-38FA-4F7C-8CC4-FE441B9B194C}"/>
    <cellStyle name="40% - Accent6 2 2" xfId="91" xr:uid="{00000000-0005-0000-0000-0000E3060000}"/>
    <cellStyle name="40% - Accent6 2 2 10" xfId="17260" xr:uid="{B8B1094B-A6D2-47DC-A125-ED6FBAB5CED2}"/>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15597" xr:uid="{5A1A5402-8E77-46AE-8E64-EBC0AE20EBCB}"/>
    <cellStyle name="40% - Accent6 2 2 2 2 2 2 3" xfId="24037" xr:uid="{73E50A28-DC0A-4C81-AF94-086A60E23A1D}"/>
    <cellStyle name="40% - Accent6 2 2 2 2 2 3" xfId="11379" xr:uid="{89CDDB96-3EF1-420A-A090-7CCA7EEB480A}"/>
    <cellStyle name="40% - Accent6 2 2 2 2 2 4" xfId="19820" xr:uid="{B7153158-9838-4B0C-8E9E-6EDE43596A08}"/>
    <cellStyle name="40% - Accent6 2 2 2 2 3" xfId="5010" xr:uid="{00000000-0005-0000-0000-0000E8060000}"/>
    <cellStyle name="40% - Accent6 2 2 2 2 3 2" xfId="13452" xr:uid="{88F9C6B4-7C5B-4F7B-90E3-5E79B9FCFDFD}"/>
    <cellStyle name="40% - Accent6 2 2 2 2 3 3" xfId="21892" xr:uid="{2A469686-B50C-499C-9D84-AFF5266A085C}"/>
    <cellStyle name="40% - Accent6 2 2 2 2 4" xfId="9234" xr:uid="{9EF9F10A-67A4-4AC0-A94A-D8033A69EF6E}"/>
    <cellStyle name="40% - Accent6 2 2 2 2 5" xfId="17675" xr:uid="{2AC633E1-43B7-4417-ACBC-67D214459564}"/>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16010" xr:uid="{69C6844F-A258-4458-B0BA-CD2150BB6DA9}"/>
    <cellStyle name="40% - Accent6 2 2 2 3 2 2 3" xfId="24450" xr:uid="{2A2E4162-F625-4741-BB3A-CE4CF2F7CDE7}"/>
    <cellStyle name="40% - Accent6 2 2 2 3 2 3" xfId="11792" xr:uid="{017F1233-5813-487A-A436-E635D0A82E49}"/>
    <cellStyle name="40% - Accent6 2 2 2 3 2 4" xfId="20233" xr:uid="{E514916E-09FE-4EF9-8D82-551B5A559AB3}"/>
    <cellStyle name="40% - Accent6 2 2 2 3 3" xfId="5423" xr:uid="{00000000-0005-0000-0000-0000EC060000}"/>
    <cellStyle name="40% - Accent6 2 2 2 3 3 2" xfId="13865" xr:uid="{9EBEF867-0B9C-4B11-B064-7F7831D963B6}"/>
    <cellStyle name="40% - Accent6 2 2 2 3 3 3" xfId="22305" xr:uid="{C41B8334-9A0D-44F6-83C1-BEF245B718B3}"/>
    <cellStyle name="40% - Accent6 2 2 2 3 4" xfId="9647" xr:uid="{77B4B680-9777-487E-8CF2-709B5C2797C9}"/>
    <cellStyle name="40% - Accent6 2 2 2 3 5" xfId="18088" xr:uid="{BBC8563D-123D-4AC0-B523-BF23AAADD5CF}"/>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16423" xr:uid="{66AAD3F9-8E84-422C-B72D-38F25F295B21}"/>
    <cellStyle name="40% - Accent6 2 2 2 4 2 2 3" xfId="24863" xr:uid="{02724C79-B772-4C62-A629-FC14AEEB6F48}"/>
    <cellStyle name="40% - Accent6 2 2 2 4 2 3" xfId="12205" xr:uid="{B572F668-D5BD-435D-8ADC-8CC511EF93F3}"/>
    <cellStyle name="40% - Accent6 2 2 2 4 2 4" xfId="20646" xr:uid="{BEE06610-7F95-4E18-BDF6-9680A4FC1736}"/>
    <cellStyle name="40% - Accent6 2 2 2 4 3" xfId="5836" xr:uid="{00000000-0005-0000-0000-0000F0060000}"/>
    <cellStyle name="40% - Accent6 2 2 2 4 3 2" xfId="14278" xr:uid="{AE501CDB-3112-4551-A41B-DCBC33E6010B}"/>
    <cellStyle name="40% - Accent6 2 2 2 4 3 3" xfId="22718" xr:uid="{AB5DF544-DD3F-487E-AD44-0D7D31313DE1}"/>
    <cellStyle name="40% - Accent6 2 2 2 4 4" xfId="10060" xr:uid="{A4E01840-B427-4037-9D1B-E368C977970A}"/>
    <cellStyle name="40% - Accent6 2 2 2 4 5" xfId="18501" xr:uid="{3FBAAE88-53DC-4323-B29E-A80FF4629CF4}"/>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16836" xr:uid="{22DC90D3-B873-43CF-B191-595424E3CEF9}"/>
    <cellStyle name="40% - Accent6 2 2 2 5 2 2 3" xfId="25276" xr:uid="{91F17F85-DE81-423B-B867-8A9E549E2E06}"/>
    <cellStyle name="40% - Accent6 2 2 2 5 2 3" xfId="12618" xr:uid="{A3A611E6-B6B4-4170-8A0F-2C26FBC3BF3F}"/>
    <cellStyle name="40% - Accent6 2 2 2 5 2 4" xfId="21059" xr:uid="{4E63796B-E1A7-4A4F-95E2-0DBAB08F3588}"/>
    <cellStyle name="40% - Accent6 2 2 2 5 3" xfId="6249" xr:uid="{00000000-0005-0000-0000-0000F4060000}"/>
    <cellStyle name="40% - Accent6 2 2 2 5 3 2" xfId="14691" xr:uid="{F165A781-C5E7-463C-8FB8-759288B2C5B7}"/>
    <cellStyle name="40% - Accent6 2 2 2 5 3 3" xfId="23131" xr:uid="{3CECD2EF-DD15-4861-BDF0-D9571F8E4FF2}"/>
    <cellStyle name="40% - Accent6 2 2 2 5 4" xfId="10473" xr:uid="{E06B9281-E08C-4C20-B910-5A9DC614927D}"/>
    <cellStyle name="40% - Accent6 2 2 2 5 5" xfId="18914" xr:uid="{1E15EEBA-1ABD-4E9B-88E1-AB6EF0FB2738}"/>
    <cellStyle name="40% - Accent6 2 2 2 6" xfId="2355" xr:uid="{00000000-0005-0000-0000-0000F5060000}"/>
    <cellStyle name="40% - Accent6 2 2 2 6 2" xfId="6662" xr:uid="{00000000-0005-0000-0000-0000F6060000}"/>
    <cellStyle name="40% - Accent6 2 2 2 6 2 2" xfId="15104" xr:uid="{10F1574F-017D-468A-80A4-B7D1EA8F47C0}"/>
    <cellStyle name="40% - Accent6 2 2 2 6 2 3" xfId="23544" xr:uid="{3A729C72-F541-4EA6-9A41-862B93343A12}"/>
    <cellStyle name="40% - Accent6 2 2 2 6 3" xfId="10886" xr:uid="{E2F0B0B3-79B2-4C17-8649-574D28DE2949}"/>
    <cellStyle name="40% - Accent6 2 2 2 6 4" xfId="19327" xr:uid="{29F434B9-414E-4890-BAB2-08A8C67F4486}"/>
    <cellStyle name="40% - Accent6 2 2 2 7" xfId="4596" xr:uid="{00000000-0005-0000-0000-0000F7060000}"/>
    <cellStyle name="40% - Accent6 2 2 2 7 2" xfId="13038" xr:uid="{24C9E5E4-BA85-4555-A7E7-086C6B57DCAA}"/>
    <cellStyle name="40% - Accent6 2 2 2 7 3" xfId="21478" xr:uid="{5F57BB92-D526-44FB-BCEE-6A0EA0917C9F}"/>
    <cellStyle name="40% - Accent6 2 2 2 8" xfId="8820" xr:uid="{6A775C69-51A3-4EE5-980F-DBD00662F681}"/>
    <cellStyle name="40% - Accent6 2 2 2 9" xfId="17261" xr:uid="{211CF0B2-D1F6-40FE-9DB1-271131925507}"/>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15596" xr:uid="{A027710E-D49D-4D44-8AFB-D5336F39C4E8}"/>
    <cellStyle name="40% - Accent6 2 2 3 2 2 3" xfId="24036" xr:uid="{BBD300E2-6953-4A5B-9ABB-CB22FF76637E}"/>
    <cellStyle name="40% - Accent6 2 2 3 2 3" xfId="11378" xr:uid="{1E46098E-BEA6-478E-94C7-10CA0AAD0D09}"/>
    <cellStyle name="40% - Accent6 2 2 3 2 4" xfId="19819" xr:uid="{511ECDEC-D682-4B5F-83DF-0DD31705785F}"/>
    <cellStyle name="40% - Accent6 2 2 3 3" xfId="5009" xr:uid="{00000000-0005-0000-0000-0000FB060000}"/>
    <cellStyle name="40% - Accent6 2 2 3 3 2" xfId="13451" xr:uid="{03DAEEDB-92F0-4CB3-809C-E4F154D209D7}"/>
    <cellStyle name="40% - Accent6 2 2 3 3 3" xfId="21891" xr:uid="{AB6523A9-31B3-40A4-A018-5671368408F8}"/>
    <cellStyle name="40% - Accent6 2 2 3 4" xfId="9233" xr:uid="{AD116163-A114-47AA-B71D-A4610DE497A5}"/>
    <cellStyle name="40% - Accent6 2 2 3 5" xfId="17674" xr:uid="{FBF57E78-162B-4167-AA70-F559993A1680}"/>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16009" xr:uid="{225A1666-A0FE-43E7-A379-E4E50C33A655}"/>
    <cellStyle name="40% - Accent6 2 2 4 2 2 3" xfId="24449" xr:uid="{106B3184-7F77-4222-8D84-EEB845620DCA}"/>
    <cellStyle name="40% - Accent6 2 2 4 2 3" xfId="11791" xr:uid="{C6FE2E9F-C1F4-4824-BCBD-9929BED17557}"/>
    <cellStyle name="40% - Accent6 2 2 4 2 4" xfId="20232" xr:uid="{907BB82E-826F-479C-8470-8D2336267486}"/>
    <cellStyle name="40% - Accent6 2 2 4 3" xfId="5422" xr:uid="{00000000-0005-0000-0000-0000FF060000}"/>
    <cellStyle name="40% - Accent6 2 2 4 3 2" xfId="13864" xr:uid="{7F56D048-04CC-48AA-8768-DF8B5586A30F}"/>
    <cellStyle name="40% - Accent6 2 2 4 3 3" xfId="22304" xr:uid="{78C60B4B-375E-4AD9-838E-155FB5E3796C}"/>
    <cellStyle name="40% - Accent6 2 2 4 4" xfId="9646" xr:uid="{39A6709C-F5D1-47D7-8CFC-68B03DFEB0AE}"/>
    <cellStyle name="40% - Accent6 2 2 4 5" xfId="18087" xr:uid="{2EF9B753-CAC7-45C4-93E6-0914EB6E3F1E}"/>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16422" xr:uid="{4CAEE63D-69F3-4C5D-AAD8-B2965C52AED9}"/>
    <cellStyle name="40% - Accent6 2 2 5 2 2 3" xfId="24862" xr:uid="{AD762B18-0FBC-4D1D-87B4-7FD091C4FBD7}"/>
    <cellStyle name="40% - Accent6 2 2 5 2 3" xfId="12204" xr:uid="{4D02CD6A-07C3-4D90-9CD3-E08595C7A008}"/>
    <cellStyle name="40% - Accent6 2 2 5 2 4" xfId="20645" xr:uid="{3B463A48-21C0-4840-B74B-9D1A6D0FD280}"/>
    <cellStyle name="40% - Accent6 2 2 5 3" xfId="5835" xr:uid="{00000000-0005-0000-0000-000003070000}"/>
    <cellStyle name="40% - Accent6 2 2 5 3 2" xfId="14277" xr:uid="{0A4A025E-BC0C-4079-878C-EE9E8AB64420}"/>
    <cellStyle name="40% - Accent6 2 2 5 3 3" xfId="22717" xr:uid="{C872814F-19E5-40F0-A35E-AC59301F6D6B}"/>
    <cellStyle name="40% - Accent6 2 2 5 4" xfId="10059" xr:uid="{7C2E8F02-B035-4232-A5D5-8C456B7ECA5F}"/>
    <cellStyle name="40% - Accent6 2 2 5 5" xfId="18500" xr:uid="{6D897BC0-C0F2-471B-883C-E9B75A6EBEF2}"/>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16835" xr:uid="{064B40FA-3288-4493-9864-2E1A87AA938D}"/>
    <cellStyle name="40% - Accent6 2 2 6 2 2 3" xfId="25275" xr:uid="{51E777E7-D750-44C9-8D09-6149053AC3EC}"/>
    <cellStyle name="40% - Accent6 2 2 6 2 3" xfId="12617" xr:uid="{4158F7C7-0E00-4580-9CB5-C23F34E904ED}"/>
    <cellStyle name="40% - Accent6 2 2 6 2 4" xfId="21058" xr:uid="{C0CC0EFC-38A8-4551-B963-9E2870F8DCEC}"/>
    <cellStyle name="40% - Accent6 2 2 6 3" xfId="6248" xr:uid="{00000000-0005-0000-0000-000007070000}"/>
    <cellStyle name="40% - Accent6 2 2 6 3 2" xfId="14690" xr:uid="{A82EB466-B2F3-4D48-9F3A-632575618F06}"/>
    <cellStyle name="40% - Accent6 2 2 6 3 3" xfId="23130" xr:uid="{6B0BEED9-9510-45DB-A1DE-80BD58182FD0}"/>
    <cellStyle name="40% - Accent6 2 2 6 4" xfId="10472" xr:uid="{4764F70E-A575-489F-926F-163828CCADC4}"/>
    <cellStyle name="40% - Accent6 2 2 6 5" xfId="18913" xr:uid="{3A9047ED-DE8A-4D55-88C4-03BB6E93C372}"/>
    <cellStyle name="40% - Accent6 2 2 7" xfId="2354" xr:uid="{00000000-0005-0000-0000-000008070000}"/>
    <cellStyle name="40% - Accent6 2 2 7 2" xfId="6661" xr:uid="{00000000-0005-0000-0000-000009070000}"/>
    <cellStyle name="40% - Accent6 2 2 7 2 2" xfId="15103" xr:uid="{5B19A3EC-4B86-402D-8396-D88E30E39B5A}"/>
    <cellStyle name="40% - Accent6 2 2 7 2 3" xfId="23543" xr:uid="{7976972E-582C-41B1-98B4-0824E7248F8F}"/>
    <cellStyle name="40% - Accent6 2 2 7 3" xfId="10885" xr:uid="{F3D36EBF-4563-4581-A081-E0F21B848269}"/>
    <cellStyle name="40% - Accent6 2 2 7 4" xfId="19326" xr:uid="{5E5E53FD-29B9-4CD4-B167-F689AD4A076F}"/>
    <cellStyle name="40% - Accent6 2 2 8" xfId="4595" xr:uid="{00000000-0005-0000-0000-00000A070000}"/>
    <cellStyle name="40% - Accent6 2 2 8 2" xfId="13037" xr:uid="{39A9D82C-C523-4315-A64C-5799A21459D1}"/>
    <cellStyle name="40% - Accent6 2 2 8 3" xfId="21477" xr:uid="{88987837-379C-45F4-8008-93A57B735CA0}"/>
    <cellStyle name="40% - Accent6 2 2 9" xfId="8819" xr:uid="{EB12AC2E-2677-466C-A6ED-C7D49E002066}"/>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15598" xr:uid="{D838F2E9-D88B-4EA5-9865-A00EDF689718}"/>
    <cellStyle name="40% - Accent6 2 3 2 2 2 3" xfId="24038" xr:uid="{1A750207-5050-40F1-B850-42EEF6C5C3D7}"/>
    <cellStyle name="40% - Accent6 2 3 2 2 3" xfId="11380" xr:uid="{C2391CEA-ADBD-4A22-93BA-55222D8E7ABE}"/>
    <cellStyle name="40% - Accent6 2 3 2 2 4" xfId="19821" xr:uid="{887E626A-07B3-4716-A494-55E01B7D5F5F}"/>
    <cellStyle name="40% - Accent6 2 3 2 3" xfId="5011" xr:uid="{00000000-0005-0000-0000-00000F070000}"/>
    <cellStyle name="40% - Accent6 2 3 2 3 2" xfId="13453" xr:uid="{0CF987F1-81F2-4308-91E1-B740E8B0FB07}"/>
    <cellStyle name="40% - Accent6 2 3 2 3 3" xfId="21893" xr:uid="{7C96F50C-FEF0-4979-B57B-93C91F7F39B6}"/>
    <cellStyle name="40% - Accent6 2 3 2 4" xfId="9235" xr:uid="{6CD53DA7-453E-4368-B230-E5AC90319627}"/>
    <cellStyle name="40% - Accent6 2 3 2 5" xfId="17676" xr:uid="{292FDD78-CA82-466C-9131-3F55FB577E3D}"/>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16011" xr:uid="{968EE669-2DF0-4965-AA5D-6B2DF3BAA7F1}"/>
    <cellStyle name="40% - Accent6 2 3 3 2 2 3" xfId="24451" xr:uid="{74E7EC13-4205-4CB7-B4B6-95D58D0AC06C}"/>
    <cellStyle name="40% - Accent6 2 3 3 2 3" xfId="11793" xr:uid="{751CE26B-17B9-43A5-8BCF-85AF75BD9309}"/>
    <cellStyle name="40% - Accent6 2 3 3 2 4" xfId="20234" xr:uid="{3B4BEE26-DD50-4F54-944A-3FB3DC64BCF6}"/>
    <cellStyle name="40% - Accent6 2 3 3 3" xfId="5424" xr:uid="{00000000-0005-0000-0000-000013070000}"/>
    <cellStyle name="40% - Accent6 2 3 3 3 2" xfId="13866" xr:uid="{382B29A9-9572-4833-9425-2C935BBF5873}"/>
    <cellStyle name="40% - Accent6 2 3 3 3 3" xfId="22306" xr:uid="{AF40BCD8-CDA5-4211-81B4-74F659BD6382}"/>
    <cellStyle name="40% - Accent6 2 3 3 4" xfId="9648" xr:uid="{25F71236-4246-48D4-9717-20E10060A7BE}"/>
    <cellStyle name="40% - Accent6 2 3 3 5" xfId="18089" xr:uid="{F2EEAD47-5DF5-4E8F-AFB6-4CC78C8CE3F2}"/>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16424" xr:uid="{09987068-5354-44DB-AE73-26772C8051DC}"/>
    <cellStyle name="40% - Accent6 2 3 4 2 2 3" xfId="24864" xr:uid="{1A1B9151-82CB-4642-874F-6D344B5548D8}"/>
    <cellStyle name="40% - Accent6 2 3 4 2 3" xfId="12206" xr:uid="{FA915AC9-0919-4574-8A59-0935534498E0}"/>
    <cellStyle name="40% - Accent6 2 3 4 2 4" xfId="20647" xr:uid="{09CB8D24-CC41-4ECD-A4C8-3A1B0AA0B1E0}"/>
    <cellStyle name="40% - Accent6 2 3 4 3" xfId="5837" xr:uid="{00000000-0005-0000-0000-000017070000}"/>
    <cellStyle name="40% - Accent6 2 3 4 3 2" xfId="14279" xr:uid="{F46EBE02-5AF2-4FC0-9060-10C138A86311}"/>
    <cellStyle name="40% - Accent6 2 3 4 3 3" xfId="22719" xr:uid="{F8C0F529-CF0B-4566-8A8E-E8400F2C4D6C}"/>
    <cellStyle name="40% - Accent6 2 3 4 4" xfId="10061" xr:uid="{398FA687-3B05-46FF-B32C-EEC42E84945D}"/>
    <cellStyle name="40% - Accent6 2 3 4 5" xfId="18502" xr:uid="{CDAE6C17-0BA0-4EB8-AFC8-3724A2AA8AE9}"/>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16837" xr:uid="{A07D4CE0-A0A7-4740-A08B-BEE35B03C2CA}"/>
    <cellStyle name="40% - Accent6 2 3 5 2 2 3" xfId="25277" xr:uid="{5799FB87-6D79-451D-8B38-DC8DA897BA5A}"/>
    <cellStyle name="40% - Accent6 2 3 5 2 3" xfId="12619" xr:uid="{2671AC73-539A-49D8-A7A3-C7128FCAECF0}"/>
    <cellStyle name="40% - Accent6 2 3 5 2 4" xfId="21060" xr:uid="{1C4ACC0D-318E-4057-B505-D9B2019A7617}"/>
    <cellStyle name="40% - Accent6 2 3 5 3" xfId="6250" xr:uid="{00000000-0005-0000-0000-00001B070000}"/>
    <cellStyle name="40% - Accent6 2 3 5 3 2" xfId="14692" xr:uid="{D82079A7-15C1-4FFD-BF8F-7060219A4EBA}"/>
    <cellStyle name="40% - Accent6 2 3 5 3 3" xfId="23132" xr:uid="{7C6AF45C-0BBC-409A-A2F6-696C5B71134B}"/>
    <cellStyle name="40% - Accent6 2 3 5 4" xfId="10474" xr:uid="{4B3DE2E2-C0C4-4B07-A4C4-9759BDFA2B1E}"/>
    <cellStyle name="40% - Accent6 2 3 5 5" xfId="18915" xr:uid="{3954B74A-F207-4ED5-A571-FE57AD0B6479}"/>
    <cellStyle name="40% - Accent6 2 3 6" xfId="2356" xr:uid="{00000000-0005-0000-0000-00001C070000}"/>
    <cellStyle name="40% - Accent6 2 3 6 2" xfId="6663" xr:uid="{00000000-0005-0000-0000-00001D070000}"/>
    <cellStyle name="40% - Accent6 2 3 6 2 2" xfId="15105" xr:uid="{6FCE4CB4-4977-414E-B87D-59D17A36FF7D}"/>
    <cellStyle name="40% - Accent6 2 3 6 2 3" xfId="23545" xr:uid="{BDA40177-40FD-4A88-B13B-460E8C6327B9}"/>
    <cellStyle name="40% - Accent6 2 3 6 3" xfId="10887" xr:uid="{BAF7EA38-6852-4E1A-A86A-4D40E0E6F619}"/>
    <cellStyle name="40% - Accent6 2 3 6 4" xfId="19328" xr:uid="{0E010023-58EA-4FE5-BA44-B17FE2CDEF53}"/>
    <cellStyle name="40% - Accent6 2 3 7" xfId="4597" xr:uid="{00000000-0005-0000-0000-00001E070000}"/>
    <cellStyle name="40% - Accent6 2 3 7 2" xfId="13039" xr:uid="{7B29BB08-8422-47E4-B9BC-71030395859B}"/>
    <cellStyle name="40% - Accent6 2 3 7 3" xfId="21479" xr:uid="{9650907B-AA51-418E-AE48-FA89029F055A}"/>
    <cellStyle name="40% - Accent6 2 3 8" xfId="8821" xr:uid="{4FB0903B-306F-4B20-9BB2-62FD9F823F28}"/>
    <cellStyle name="40% - Accent6 2 3 9" xfId="17262" xr:uid="{A7D33B7C-42C5-4B37-91CA-065E0BAB2C93}"/>
    <cellStyle name="40% - Accent6 2 4" xfId="659" xr:uid="{00000000-0005-0000-0000-00001F070000}"/>
    <cellStyle name="40% - Accent6 2 4 2" xfId="2930" xr:uid="{00000000-0005-0000-0000-000020070000}"/>
    <cellStyle name="40% - Accent6 2 4 2 2" xfId="7153" xr:uid="{00000000-0005-0000-0000-000021070000}"/>
    <cellStyle name="40% - Accent6 2 4 2 2 2" xfId="15595" xr:uid="{0D69F4E3-5639-46E3-9918-62B1387950A4}"/>
    <cellStyle name="40% - Accent6 2 4 2 2 3" xfId="24035" xr:uid="{6DB091CC-02E1-4F5D-8AE5-3A7AE86F53E1}"/>
    <cellStyle name="40% - Accent6 2 4 2 3" xfId="11377" xr:uid="{CFC6D590-56FD-48ED-852F-EFAB0A48A07A}"/>
    <cellStyle name="40% - Accent6 2 4 2 4" xfId="19818" xr:uid="{1EAC02B4-5EA0-4B7D-BC38-BD678F8980F6}"/>
    <cellStyle name="40% - Accent6 2 4 3" xfId="5008" xr:uid="{00000000-0005-0000-0000-000022070000}"/>
    <cellStyle name="40% - Accent6 2 4 3 2" xfId="13450" xr:uid="{155A5741-6E40-425F-B359-F0F39A26F5A6}"/>
    <cellStyle name="40% - Accent6 2 4 3 3" xfId="21890" xr:uid="{80A1B7EB-7BA7-4724-828B-112F590CFEF1}"/>
    <cellStyle name="40% - Accent6 2 4 4" xfId="9232" xr:uid="{AD6679C1-0EB3-4E65-8BAA-A6E3E1A5393B}"/>
    <cellStyle name="40% - Accent6 2 4 5" xfId="17673" xr:uid="{2172D5BB-316D-47D5-B906-35475FFCE433}"/>
    <cellStyle name="40% - Accent6 2 5" xfId="1112" xr:uid="{00000000-0005-0000-0000-000023070000}"/>
    <cellStyle name="40% - Accent6 2 5 2" xfId="3343" xr:uid="{00000000-0005-0000-0000-000024070000}"/>
    <cellStyle name="40% - Accent6 2 5 2 2" xfId="7566" xr:uid="{00000000-0005-0000-0000-000025070000}"/>
    <cellStyle name="40% - Accent6 2 5 2 2 2" xfId="16008" xr:uid="{6043377F-24DE-40A5-A9F7-F0339E9C5DAD}"/>
    <cellStyle name="40% - Accent6 2 5 2 2 3" xfId="24448" xr:uid="{EA3ED7AC-DA31-4B5C-88CE-1B9E7E75E8E6}"/>
    <cellStyle name="40% - Accent6 2 5 2 3" xfId="11790" xr:uid="{8D80B98E-4D8D-483E-A0EC-3F3A112AB81C}"/>
    <cellStyle name="40% - Accent6 2 5 2 4" xfId="20231" xr:uid="{43A9A6BE-642D-46A6-A579-D3D8127DB561}"/>
    <cellStyle name="40% - Accent6 2 5 3" xfId="5421" xr:uid="{00000000-0005-0000-0000-000026070000}"/>
    <cellStyle name="40% - Accent6 2 5 3 2" xfId="13863" xr:uid="{42E8FAB6-3147-46D2-9CF3-D6CBD4E9F17F}"/>
    <cellStyle name="40% - Accent6 2 5 3 3" xfId="22303" xr:uid="{0BB412F4-1DB4-42B9-967B-6EE77021471E}"/>
    <cellStyle name="40% - Accent6 2 5 4" xfId="9645" xr:uid="{0634AD68-ACC4-4974-AD44-29D7B51676F0}"/>
    <cellStyle name="40% - Accent6 2 5 5" xfId="18086" xr:uid="{D0537B87-BCD3-4068-9FC2-C77930931A4D}"/>
    <cellStyle name="40% - Accent6 2 6" xfId="1526" xr:uid="{00000000-0005-0000-0000-000027070000}"/>
    <cellStyle name="40% - Accent6 2 6 2" xfId="3756" xr:uid="{00000000-0005-0000-0000-000028070000}"/>
    <cellStyle name="40% - Accent6 2 6 2 2" xfId="7979" xr:uid="{00000000-0005-0000-0000-000029070000}"/>
    <cellStyle name="40% - Accent6 2 6 2 2 2" xfId="16421" xr:uid="{0EBC2707-0F88-4FA4-833F-BBC1645B377D}"/>
    <cellStyle name="40% - Accent6 2 6 2 2 3" xfId="24861" xr:uid="{EB9D6E49-35C7-44C9-9851-378BEA6321DC}"/>
    <cellStyle name="40% - Accent6 2 6 2 3" xfId="12203" xr:uid="{938BC7D2-DEA4-4DDC-90F5-06A9722677FA}"/>
    <cellStyle name="40% - Accent6 2 6 2 4" xfId="20644" xr:uid="{2A63CD9D-7FE7-49E9-AA7A-C579D2B0B2A9}"/>
    <cellStyle name="40% - Accent6 2 6 3" xfId="5834" xr:uid="{00000000-0005-0000-0000-00002A070000}"/>
    <cellStyle name="40% - Accent6 2 6 3 2" xfId="14276" xr:uid="{2467158F-F905-4C1E-8745-918431DCA2D9}"/>
    <cellStyle name="40% - Accent6 2 6 3 3" xfId="22716" xr:uid="{7088B8E0-ADC8-4A5E-8731-9DCD3000AFBA}"/>
    <cellStyle name="40% - Accent6 2 6 4" xfId="10058" xr:uid="{E8B22F6B-D876-42B6-87CA-C450A9B683E4}"/>
    <cellStyle name="40% - Accent6 2 6 5" xfId="18499" xr:uid="{516A9887-FCC7-4E3D-9890-C25E9B6A1516}"/>
    <cellStyle name="40% - Accent6 2 7" xfId="1940" xr:uid="{00000000-0005-0000-0000-00002B070000}"/>
    <cellStyle name="40% - Accent6 2 7 2" xfId="4169" xr:uid="{00000000-0005-0000-0000-00002C070000}"/>
    <cellStyle name="40% - Accent6 2 7 2 2" xfId="8392" xr:uid="{00000000-0005-0000-0000-00002D070000}"/>
    <cellStyle name="40% - Accent6 2 7 2 2 2" xfId="16834" xr:uid="{1888DAA0-A0ED-4FB8-ADCB-9F7E33064444}"/>
    <cellStyle name="40% - Accent6 2 7 2 2 3" xfId="25274" xr:uid="{2C0AE837-FE45-49C1-AB64-7B8FE3F237E5}"/>
    <cellStyle name="40% - Accent6 2 7 2 3" xfId="12616" xr:uid="{47C1B0B2-4B59-460B-833D-36A9108941C5}"/>
    <cellStyle name="40% - Accent6 2 7 2 4" xfId="21057" xr:uid="{69DF6145-5645-4C78-82FA-B0A68F22A374}"/>
    <cellStyle name="40% - Accent6 2 7 3" xfId="6247" xr:uid="{00000000-0005-0000-0000-00002E070000}"/>
    <cellStyle name="40% - Accent6 2 7 3 2" xfId="14689" xr:uid="{512FD72F-0A25-4333-B09C-C1F47EDD2221}"/>
    <cellStyle name="40% - Accent6 2 7 3 3" xfId="23129" xr:uid="{E6026CFF-66F9-4449-A976-13D484A03581}"/>
    <cellStyle name="40% - Accent6 2 7 4" xfId="10471" xr:uid="{C5007529-1A93-4BD3-956B-8E4043E1FB0C}"/>
    <cellStyle name="40% - Accent6 2 7 5" xfId="18912" xr:uid="{A9A7A093-491B-4277-BF20-44048E1105C4}"/>
    <cellStyle name="40% - Accent6 2 8" xfId="2353" xr:uid="{00000000-0005-0000-0000-00002F070000}"/>
    <cellStyle name="40% - Accent6 2 8 2" xfId="6660" xr:uid="{00000000-0005-0000-0000-000030070000}"/>
    <cellStyle name="40% - Accent6 2 8 2 2" xfId="15102" xr:uid="{8FA3D24F-4404-4011-AC09-4728C7B9484D}"/>
    <cellStyle name="40% - Accent6 2 8 2 3" xfId="23542" xr:uid="{0D1B4030-76ED-4051-83C5-C47933A85C7D}"/>
    <cellStyle name="40% - Accent6 2 8 3" xfId="10884" xr:uid="{A8850859-CCDE-4013-8D7C-E0E0FEF44BB1}"/>
    <cellStyle name="40% - Accent6 2 8 4" xfId="19325" xr:uid="{C9FD93BE-8F52-430A-9B92-544A524A23DD}"/>
    <cellStyle name="40% - Accent6 2 9" xfId="4594" xr:uid="{00000000-0005-0000-0000-000031070000}"/>
    <cellStyle name="40% - Accent6 2 9 2" xfId="13036" xr:uid="{4705FA80-364F-4758-A54D-3E05280FF1DC}"/>
    <cellStyle name="40% - Accent6 2 9 3" xfId="21476" xr:uid="{7D09CFC5-6D93-4DEB-A610-2F31DAFD7BE5}"/>
    <cellStyle name="40% - Accent6 3" xfId="94" xr:uid="{00000000-0005-0000-0000-000032070000}"/>
    <cellStyle name="40% - Accent6 3 10" xfId="17263" xr:uid="{D5D7789F-266F-492B-BB82-AC3ED1BB1579}"/>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15600" xr:uid="{F574A2AA-8FAB-4F31-AA4A-47A941F88767}"/>
    <cellStyle name="40% - Accent6 3 2 2 2 2 3" xfId="24040" xr:uid="{C41C8EA6-FE28-4269-A46A-89ACE70952B6}"/>
    <cellStyle name="40% - Accent6 3 2 2 2 3" xfId="11382" xr:uid="{BD0660EB-2537-43B4-B228-4058305BDC7B}"/>
    <cellStyle name="40% - Accent6 3 2 2 2 4" xfId="19823" xr:uid="{B0FF300B-8C6C-4E71-A94B-8B157970B8C9}"/>
    <cellStyle name="40% - Accent6 3 2 2 3" xfId="5013" xr:uid="{00000000-0005-0000-0000-000037070000}"/>
    <cellStyle name="40% - Accent6 3 2 2 3 2" xfId="13455" xr:uid="{10DF1D94-3773-4EC6-84D9-B9196F05E805}"/>
    <cellStyle name="40% - Accent6 3 2 2 3 3" xfId="21895" xr:uid="{726EF71F-8A7D-4BF5-A043-E5710EE4F457}"/>
    <cellStyle name="40% - Accent6 3 2 2 4" xfId="9237" xr:uid="{9B781CF2-9A75-4FFE-8CB6-C341505515DD}"/>
    <cellStyle name="40% - Accent6 3 2 2 5" xfId="17678" xr:uid="{E746EFC2-6DAE-455E-A0D6-01C9E9E20459}"/>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16013" xr:uid="{21F69480-53CF-450F-BEE9-C59667904C6F}"/>
    <cellStyle name="40% - Accent6 3 2 3 2 2 3" xfId="24453" xr:uid="{A1E2D56E-DB3E-4F28-A784-B63C69C0591C}"/>
    <cellStyle name="40% - Accent6 3 2 3 2 3" xfId="11795" xr:uid="{9E783092-E5D4-45E0-A8AB-0E80731E385E}"/>
    <cellStyle name="40% - Accent6 3 2 3 2 4" xfId="20236" xr:uid="{3E3AE454-DFE6-4D39-9C3A-DE86D4B7BC7B}"/>
    <cellStyle name="40% - Accent6 3 2 3 3" xfId="5426" xr:uid="{00000000-0005-0000-0000-00003B070000}"/>
    <cellStyle name="40% - Accent6 3 2 3 3 2" xfId="13868" xr:uid="{58180A34-9DE1-4166-874C-94CFF0B56964}"/>
    <cellStyle name="40% - Accent6 3 2 3 3 3" xfId="22308" xr:uid="{5FD950AC-B4E3-457D-AB3C-28BF69B00B95}"/>
    <cellStyle name="40% - Accent6 3 2 3 4" xfId="9650" xr:uid="{4C360C1D-C19C-4B87-923D-5C078B529A69}"/>
    <cellStyle name="40% - Accent6 3 2 3 5" xfId="18091" xr:uid="{AA12CBD1-6920-40EF-81E3-5F665C672620}"/>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16426" xr:uid="{165DCF34-EF52-4EE5-849C-6D379B39B855}"/>
    <cellStyle name="40% - Accent6 3 2 4 2 2 3" xfId="24866" xr:uid="{06D78485-D661-4F47-8BC1-BD3251F419F7}"/>
    <cellStyle name="40% - Accent6 3 2 4 2 3" xfId="12208" xr:uid="{ED150A2F-6421-40CA-8048-D7AB53C1178D}"/>
    <cellStyle name="40% - Accent6 3 2 4 2 4" xfId="20649" xr:uid="{50D466D8-425E-4758-90CC-E7605AC5A73D}"/>
    <cellStyle name="40% - Accent6 3 2 4 3" xfId="5839" xr:uid="{00000000-0005-0000-0000-00003F070000}"/>
    <cellStyle name="40% - Accent6 3 2 4 3 2" xfId="14281" xr:uid="{AB00CDEB-087A-46DA-AB33-07939694561D}"/>
    <cellStyle name="40% - Accent6 3 2 4 3 3" xfId="22721" xr:uid="{585FD983-9119-4DDA-B625-A97701D8B6FA}"/>
    <cellStyle name="40% - Accent6 3 2 4 4" xfId="10063" xr:uid="{E0FDFD2B-7185-4D39-80DD-A4C593D3B3F0}"/>
    <cellStyle name="40% - Accent6 3 2 4 5" xfId="18504" xr:uid="{788A4BF0-034E-40D3-8A70-095607C52A99}"/>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16839" xr:uid="{B57D51DC-6FB5-47E7-A6AB-EC4DA756ACD7}"/>
    <cellStyle name="40% - Accent6 3 2 5 2 2 3" xfId="25279" xr:uid="{5FA9F7D9-CC8A-40BD-BFE0-CBE6E69D3B5A}"/>
    <cellStyle name="40% - Accent6 3 2 5 2 3" xfId="12621" xr:uid="{DD15D49C-C9FB-471B-B21D-1795F8671248}"/>
    <cellStyle name="40% - Accent6 3 2 5 2 4" xfId="21062" xr:uid="{B8248BC3-FC69-42A4-8CC1-EF2C6DD056FF}"/>
    <cellStyle name="40% - Accent6 3 2 5 3" xfId="6252" xr:uid="{00000000-0005-0000-0000-000043070000}"/>
    <cellStyle name="40% - Accent6 3 2 5 3 2" xfId="14694" xr:uid="{99C69C74-9EB6-44C4-922C-FE891A16B5D9}"/>
    <cellStyle name="40% - Accent6 3 2 5 3 3" xfId="23134" xr:uid="{161EBBD3-96EE-4FEF-B329-2019A21EF9AE}"/>
    <cellStyle name="40% - Accent6 3 2 5 4" xfId="10476" xr:uid="{971265C8-5A45-4F5A-BD8C-5940D9ED21EB}"/>
    <cellStyle name="40% - Accent6 3 2 5 5" xfId="18917" xr:uid="{0B040904-B01A-4B84-8C6E-015A0762CB96}"/>
    <cellStyle name="40% - Accent6 3 2 6" xfId="2358" xr:uid="{00000000-0005-0000-0000-000044070000}"/>
    <cellStyle name="40% - Accent6 3 2 6 2" xfId="6665" xr:uid="{00000000-0005-0000-0000-000045070000}"/>
    <cellStyle name="40% - Accent6 3 2 6 2 2" xfId="15107" xr:uid="{B1116F9C-DDE4-4266-91A6-0ECB43D343A0}"/>
    <cellStyle name="40% - Accent6 3 2 6 2 3" xfId="23547" xr:uid="{F8195999-60CC-4428-BE80-1655BBDFAF0A}"/>
    <cellStyle name="40% - Accent6 3 2 6 3" xfId="10889" xr:uid="{F21CD2E4-38E5-4BF7-BB27-B0C0C27BA9D2}"/>
    <cellStyle name="40% - Accent6 3 2 6 4" xfId="19330" xr:uid="{957D1991-6109-4128-BE5A-7F995A70D1B1}"/>
    <cellStyle name="40% - Accent6 3 2 7" xfId="4599" xr:uid="{00000000-0005-0000-0000-000046070000}"/>
    <cellStyle name="40% - Accent6 3 2 7 2" xfId="13041" xr:uid="{20263D2E-B47C-4ABB-95FC-336A4DC37C09}"/>
    <cellStyle name="40% - Accent6 3 2 7 3" xfId="21481" xr:uid="{15AEBEE5-1779-4A82-8531-0D562AF059BD}"/>
    <cellStyle name="40% - Accent6 3 2 8" xfId="8823" xr:uid="{2D92C467-955A-490D-A659-D02D9F7D69C6}"/>
    <cellStyle name="40% - Accent6 3 2 9" xfId="17264" xr:uid="{12B23F7A-BC5F-426A-8D54-D590599913FC}"/>
    <cellStyle name="40% - Accent6 3 3" xfId="663" xr:uid="{00000000-0005-0000-0000-000047070000}"/>
    <cellStyle name="40% - Accent6 3 3 2" xfId="2934" xr:uid="{00000000-0005-0000-0000-000048070000}"/>
    <cellStyle name="40% - Accent6 3 3 2 2" xfId="7157" xr:uid="{00000000-0005-0000-0000-000049070000}"/>
    <cellStyle name="40% - Accent6 3 3 2 2 2" xfId="15599" xr:uid="{C0C0FD1E-9233-48A2-9330-EF2447D5B69A}"/>
    <cellStyle name="40% - Accent6 3 3 2 2 3" xfId="24039" xr:uid="{F1B3FA9D-444B-4D24-A868-180D3DAB8A22}"/>
    <cellStyle name="40% - Accent6 3 3 2 3" xfId="11381" xr:uid="{F249F2EE-C17F-453B-B03D-730C6E48CA7C}"/>
    <cellStyle name="40% - Accent6 3 3 2 4" xfId="19822" xr:uid="{8396B4E8-EC51-4E1B-AE75-92455EC1B160}"/>
    <cellStyle name="40% - Accent6 3 3 3" xfId="5012" xr:uid="{00000000-0005-0000-0000-00004A070000}"/>
    <cellStyle name="40% - Accent6 3 3 3 2" xfId="13454" xr:uid="{3AAF5EA4-9217-49AD-B368-098F9088C5D6}"/>
    <cellStyle name="40% - Accent6 3 3 3 3" xfId="21894" xr:uid="{03ED4CF7-A2B6-42B0-9A91-D767D85391CB}"/>
    <cellStyle name="40% - Accent6 3 3 4" xfId="9236" xr:uid="{52244E83-A6BA-4EF1-AE73-21C80995BB2F}"/>
    <cellStyle name="40% - Accent6 3 3 5" xfId="17677" xr:uid="{4AFECBA7-6364-4066-BC89-F2AAED67C76E}"/>
    <cellStyle name="40% - Accent6 3 4" xfId="1116" xr:uid="{00000000-0005-0000-0000-00004B070000}"/>
    <cellStyle name="40% - Accent6 3 4 2" xfId="3347" xr:uid="{00000000-0005-0000-0000-00004C070000}"/>
    <cellStyle name="40% - Accent6 3 4 2 2" xfId="7570" xr:uid="{00000000-0005-0000-0000-00004D070000}"/>
    <cellStyle name="40% - Accent6 3 4 2 2 2" xfId="16012" xr:uid="{8FAB82F3-75F6-4E1C-A5B5-06B1B925F9F0}"/>
    <cellStyle name="40% - Accent6 3 4 2 2 3" xfId="24452" xr:uid="{9301ADBF-059C-45F8-9F2E-BED3E8813681}"/>
    <cellStyle name="40% - Accent6 3 4 2 3" xfId="11794" xr:uid="{5218488D-FCC9-484C-B115-98B547EB1FBF}"/>
    <cellStyle name="40% - Accent6 3 4 2 4" xfId="20235" xr:uid="{2063087A-AA77-4904-BDC7-B0D4C5BBB883}"/>
    <cellStyle name="40% - Accent6 3 4 3" xfId="5425" xr:uid="{00000000-0005-0000-0000-00004E070000}"/>
    <cellStyle name="40% - Accent6 3 4 3 2" xfId="13867" xr:uid="{7A343C9A-8896-469E-9DCD-5AC0D53D0CDF}"/>
    <cellStyle name="40% - Accent6 3 4 3 3" xfId="22307" xr:uid="{557F40F4-F90D-455B-914E-F5613D443DDC}"/>
    <cellStyle name="40% - Accent6 3 4 4" xfId="9649" xr:uid="{CA548917-01AE-4840-BE0F-4369E81C61A0}"/>
    <cellStyle name="40% - Accent6 3 4 5" xfId="18090" xr:uid="{EACBD3E1-5B16-4843-BBEB-7574C57153A4}"/>
    <cellStyle name="40% - Accent6 3 5" xfId="1530" xr:uid="{00000000-0005-0000-0000-00004F070000}"/>
    <cellStyle name="40% - Accent6 3 5 2" xfId="3760" xr:uid="{00000000-0005-0000-0000-000050070000}"/>
    <cellStyle name="40% - Accent6 3 5 2 2" xfId="7983" xr:uid="{00000000-0005-0000-0000-000051070000}"/>
    <cellStyle name="40% - Accent6 3 5 2 2 2" xfId="16425" xr:uid="{EEE65C4E-FADB-43AD-98EF-2EAB5012AAC4}"/>
    <cellStyle name="40% - Accent6 3 5 2 2 3" xfId="24865" xr:uid="{E4F5F572-14F7-454B-8112-9AC107B3C5F0}"/>
    <cellStyle name="40% - Accent6 3 5 2 3" xfId="12207" xr:uid="{65CB4F6C-C075-43DE-A486-1B40FDF90561}"/>
    <cellStyle name="40% - Accent6 3 5 2 4" xfId="20648" xr:uid="{B1AD535A-3C25-4329-9A66-F799551B8F54}"/>
    <cellStyle name="40% - Accent6 3 5 3" xfId="5838" xr:uid="{00000000-0005-0000-0000-000052070000}"/>
    <cellStyle name="40% - Accent6 3 5 3 2" xfId="14280" xr:uid="{FD2B7852-D85C-4EF7-BF3D-A12535B845A0}"/>
    <cellStyle name="40% - Accent6 3 5 3 3" xfId="22720" xr:uid="{8A905BF1-6087-4010-ADD1-B1B2278B04EB}"/>
    <cellStyle name="40% - Accent6 3 5 4" xfId="10062" xr:uid="{835A1E2D-883D-4C85-B04D-6E7A1C45D4AA}"/>
    <cellStyle name="40% - Accent6 3 5 5" xfId="18503" xr:uid="{28C61CD1-F79C-4A2A-A007-DB5BCB9AB2DC}"/>
    <cellStyle name="40% - Accent6 3 6" xfId="1944" xr:uid="{00000000-0005-0000-0000-000053070000}"/>
    <cellStyle name="40% - Accent6 3 6 2" xfId="4173" xr:uid="{00000000-0005-0000-0000-000054070000}"/>
    <cellStyle name="40% - Accent6 3 6 2 2" xfId="8396" xr:uid="{00000000-0005-0000-0000-000055070000}"/>
    <cellStyle name="40% - Accent6 3 6 2 2 2" xfId="16838" xr:uid="{55B33A11-0291-40A4-ADFC-2E8AFF6E0136}"/>
    <cellStyle name="40% - Accent6 3 6 2 2 3" xfId="25278" xr:uid="{4DA1864F-E5F9-4D51-9D17-32A2C30F7A9D}"/>
    <cellStyle name="40% - Accent6 3 6 2 3" xfId="12620" xr:uid="{3A7B4545-BD83-4C82-886B-8F058519EF62}"/>
    <cellStyle name="40% - Accent6 3 6 2 4" xfId="21061" xr:uid="{5E2D4F4E-454F-459F-A5C4-A42EF123001A}"/>
    <cellStyle name="40% - Accent6 3 6 3" xfId="6251" xr:uid="{00000000-0005-0000-0000-000056070000}"/>
    <cellStyle name="40% - Accent6 3 6 3 2" xfId="14693" xr:uid="{BE6FE3A5-D48B-4E81-822D-478161069349}"/>
    <cellStyle name="40% - Accent6 3 6 3 3" xfId="23133" xr:uid="{C69DBB55-FF3C-4689-BF36-A7DB483E8A65}"/>
    <cellStyle name="40% - Accent6 3 6 4" xfId="10475" xr:uid="{492D21CC-AD46-444E-8EC1-0030DEF2B7B5}"/>
    <cellStyle name="40% - Accent6 3 6 5" xfId="18916" xr:uid="{CF8D664E-0133-4754-95F3-2686E33AD776}"/>
    <cellStyle name="40% - Accent6 3 7" xfId="2357" xr:uid="{00000000-0005-0000-0000-000057070000}"/>
    <cellStyle name="40% - Accent6 3 7 2" xfId="6664" xr:uid="{00000000-0005-0000-0000-000058070000}"/>
    <cellStyle name="40% - Accent6 3 7 2 2" xfId="15106" xr:uid="{CEA26368-B138-49A7-84C8-C7B9159BBD9E}"/>
    <cellStyle name="40% - Accent6 3 7 2 3" xfId="23546" xr:uid="{BF730597-9999-4BB2-A7C9-E87443BAD506}"/>
    <cellStyle name="40% - Accent6 3 7 3" xfId="10888" xr:uid="{7A339604-2A91-4C36-8D03-9EF1F379B09B}"/>
    <cellStyle name="40% - Accent6 3 7 4" xfId="19329" xr:uid="{5DB59B20-54B8-416E-9698-4F3AA281396C}"/>
    <cellStyle name="40% - Accent6 3 8" xfId="4598" xr:uid="{00000000-0005-0000-0000-000059070000}"/>
    <cellStyle name="40% - Accent6 3 8 2" xfId="13040" xr:uid="{76652C99-CF5E-4D9A-842A-0BFE5D78EF2A}"/>
    <cellStyle name="40% - Accent6 3 8 3" xfId="21480" xr:uid="{1E0BA30A-BC5D-4776-A2E5-9CBBB6DA3878}"/>
    <cellStyle name="40% - Accent6 3 9" xfId="8822" xr:uid="{CDD4AEB4-C649-4069-AD99-394D5CB91057}"/>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2 2 2" xfId="15601" xr:uid="{3B1EF576-A654-4737-8B60-8AF156CD3746}"/>
    <cellStyle name="40% - Accent6 4 2 2 2 3" xfId="24041" xr:uid="{E8D5C6BF-F27A-411C-8C35-B996600C3F4F}"/>
    <cellStyle name="40% - Accent6 4 2 2 3" xfId="11383" xr:uid="{DC2E784F-9B54-4E37-A26E-C03A202002AD}"/>
    <cellStyle name="40% - Accent6 4 2 2 4" xfId="19824" xr:uid="{5BED6F22-CA5E-46EA-9C1D-651614A0C720}"/>
    <cellStyle name="40% - Accent6 4 2 3" xfId="5014" xr:uid="{00000000-0005-0000-0000-00005E070000}"/>
    <cellStyle name="40% - Accent6 4 2 3 2" xfId="13456" xr:uid="{718CFF6A-D07F-4795-8BA9-7E14E413E1AD}"/>
    <cellStyle name="40% - Accent6 4 2 3 3" xfId="21896" xr:uid="{A360406D-A015-43E2-9574-DBF3262969E3}"/>
    <cellStyle name="40% - Accent6 4 2 4" xfId="9238" xr:uid="{A6B51ED1-8A2B-4A7E-9027-E5F98DD7F08D}"/>
    <cellStyle name="40% - Accent6 4 2 5" xfId="17679" xr:uid="{D04FBF3F-5B79-405B-9F11-8247E4D276F5}"/>
    <cellStyle name="40% - Accent6 4 3" xfId="1118" xr:uid="{00000000-0005-0000-0000-00005F070000}"/>
    <cellStyle name="40% - Accent6 4 3 2" xfId="3349" xr:uid="{00000000-0005-0000-0000-000060070000}"/>
    <cellStyle name="40% - Accent6 4 3 2 2" xfId="7572" xr:uid="{00000000-0005-0000-0000-000061070000}"/>
    <cellStyle name="40% - Accent6 4 3 2 2 2" xfId="16014" xr:uid="{D66D4065-AC03-48F7-B9AF-F50ED7890CA9}"/>
    <cellStyle name="40% - Accent6 4 3 2 2 3" xfId="24454" xr:uid="{A8A43676-AC44-46B9-8325-29787456B166}"/>
    <cellStyle name="40% - Accent6 4 3 2 3" xfId="11796" xr:uid="{2E000782-1EE0-4D40-ABFE-472934427303}"/>
    <cellStyle name="40% - Accent6 4 3 2 4" xfId="20237" xr:uid="{DE4059FF-E86B-414C-9FE3-0C08FB46C79D}"/>
    <cellStyle name="40% - Accent6 4 3 3" xfId="5427" xr:uid="{00000000-0005-0000-0000-000062070000}"/>
    <cellStyle name="40% - Accent6 4 3 3 2" xfId="13869" xr:uid="{44ED2071-5C89-427A-872E-2B99AF164230}"/>
    <cellStyle name="40% - Accent6 4 3 3 3" xfId="22309" xr:uid="{4F039229-DCB1-4308-8442-CFC6E2AA8CB5}"/>
    <cellStyle name="40% - Accent6 4 3 4" xfId="9651" xr:uid="{DB18E0F7-2074-42E6-8D57-79CEA7A8CF38}"/>
    <cellStyle name="40% - Accent6 4 3 5" xfId="18092" xr:uid="{05D3B769-887A-48B9-8440-851AC0C2097B}"/>
    <cellStyle name="40% - Accent6 4 4" xfId="1532" xr:uid="{00000000-0005-0000-0000-000063070000}"/>
    <cellStyle name="40% - Accent6 4 4 2" xfId="3762" xr:uid="{00000000-0005-0000-0000-000064070000}"/>
    <cellStyle name="40% - Accent6 4 4 2 2" xfId="7985" xr:uid="{00000000-0005-0000-0000-000065070000}"/>
    <cellStyle name="40% - Accent6 4 4 2 2 2" xfId="16427" xr:uid="{84E662D6-0D28-4052-B9DC-383A692F254E}"/>
    <cellStyle name="40% - Accent6 4 4 2 2 3" xfId="24867" xr:uid="{ED73D3F8-516E-4118-823A-78EBD6E70D39}"/>
    <cellStyle name="40% - Accent6 4 4 2 3" xfId="12209" xr:uid="{6442AB1A-4D69-48BA-A300-C8AA9738134C}"/>
    <cellStyle name="40% - Accent6 4 4 2 4" xfId="20650" xr:uid="{3D38E08D-BFC1-4274-8E42-2A4C188E3EA7}"/>
    <cellStyle name="40% - Accent6 4 4 3" xfId="5840" xr:uid="{00000000-0005-0000-0000-000066070000}"/>
    <cellStyle name="40% - Accent6 4 4 3 2" xfId="14282" xr:uid="{B9BD8543-B261-4F01-A9D2-497908DD72B2}"/>
    <cellStyle name="40% - Accent6 4 4 3 3" xfId="22722" xr:uid="{51C36609-0B0D-4CA3-BB2D-3D011C8C7981}"/>
    <cellStyle name="40% - Accent6 4 4 4" xfId="10064" xr:uid="{2A2AFB11-B30B-42EF-8AD9-200B8D02DA75}"/>
    <cellStyle name="40% - Accent6 4 4 5" xfId="18505" xr:uid="{2B0F2489-F43F-4494-A33D-848CFD2A4710}"/>
    <cellStyle name="40% - Accent6 4 5" xfId="1946" xr:uid="{00000000-0005-0000-0000-000067070000}"/>
    <cellStyle name="40% - Accent6 4 5 2" xfId="4175" xr:uid="{00000000-0005-0000-0000-000068070000}"/>
    <cellStyle name="40% - Accent6 4 5 2 2" xfId="8398" xr:uid="{00000000-0005-0000-0000-000069070000}"/>
    <cellStyle name="40% - Accent6 4 5 2 2 2" xfId="16840" xr:uid="{FB25FBE5-4178-4DDF-A728-21DA00F8E178}"/>
    <cellStyle name="40% - Accent6 4 5 2 2 3" xfId="25280" xr:uid="{B696AC43-CE2A-487B-A46A-3F1A99DD99F0}"/>
    <cellStyle name="40% - Accent6 4 5 2 3" xfId="12622" xr:uid="{0E5C02E6-34C6-4BB8-9A63-020BC44FEA1A}"/>
    <cellStyle name="40% - Accent6 4 5 2 4" xfId="21063" xr:uid="{1A4844F3-C7FA-417E-AAA4-9CF04C5E051E}"/>
    <cellStyle name="40% - Accent6 4 5 3" xfId="6253" xr:uid="{00000000-0005-0000-0000-00006A070000}"/>
    <cellStyle name="40% - Accent6 4 5 3 2" xfId="14695" xr:uid="{583F208D-98E4-4BCF-B2A8-10D8CCBA11DA}"/>
    <cellStyle name="40% - Accent6 4 5 3 3" xfId="23135" xr:uid="{E592A3D1-1FC1-4438-B0A4-DF1BDD8589B8}"/>
    <cellStyle name="40% - Accent6 4 5 4" xfId="10477" xr:uid="{BB578443-7333-4A96-A3DA-04A86E424E63}"/>
    <cellStyle name="40% - Accent6 4 5 5" xfId="18918" xr:uid="{5A2EDFB1-5E60-429F-8481-593ABF5781FF}"/>
    <cellStyle name="40% - Accent6 4 6" xfId="2359" xr:uid="{00000000-0005-0000-0000-00006B070000}"/>
    <cellStyle name="40% - Accent6 4 6 2" xfId="6666" xr:uid="{00000000-0005-0000-0000-00006C070000}"/>
    <cellStyle name="40% - Accent6 4 6 2 2" xfId="15108" xr:uid="{551CB408-1DD1-470B-A2C4-833B52296C54}"/>
    <cellStyle name="40% - Accent6 4 6 2 3" xfId="23548" xr:uid="{C9F2FB4B-956C-41CF-947E-046E00A970FD}"/>
    <cellStyle name="40% - Accent6 4 6 3" xfId="10890" xr:uid="{BE570793-79FE-4938-8D05-450738C02D40}"/>
    <cellStyle name="40% - Accent6 4 6 4" xfId="19331" xr:uid="{89888A3A-E169-47B5-A521-1B3D9ACA04FB}"/>
    <cellStyle name="40% - Accent6 4 7" xfId="4600" xr:uid="{00000000-0005-0000-0000-00006D070000}"/>
    <cellStyle name="40% - Accent6 4 7 2" xfId="13042" xr:uid="{8D431B00-C4F5-4C26-A898-EE233A410993}"/>
    <cellStyle name="40% - Accent6 4 7 3" xfId="21482" xr:uid="{46F6C743-A56A-4FF6-B669-23451A501BA2}"/>
    <cellStyle name="40% - Accent6 4 8" xfId="8824" xr:uid="{1DD8B6D9-4C5E-4486-84C9-7B601CCFC686}"/>
    <cellStyle name="40% - Accent6 4 9" xfId="17265" xr:uid="{35857340-AB1A-43CF-A8FC-04C80C9861A4}"/>
    <cellStyle name="40% - Accent6 5" xfId="658" xr:uid="{00000000-0005-0000-0000-00006E070000}"/>
    <cellStyle name="40% - Accent6 5 2" xfId="2929" xr:uid="{00000000-0005-0000-0000-00006F070000}"/>
    <cellStyle name="40% - Accent6 5 2 2" xfId="7152" xr:uid="{00000000-0005-0000-0000-000070070000}"/>
    <cellStyle name="40% - Accent6 5 2 2 2" xfId="15594" xr:uid="{57593401-E491-496B-A81E-320FBD3C1477}"/>
    <cellStyle name="40% - Accent6 5 2 2 3" xfId="24034" xr:uid="{8DA09B3E-DCFE-47AD-8216-51275AD038F5}"/>
    <cellStyle name="40% - Accent6 5 2 3" xfId="11376" xr:uid="{11334C04-D4FC-4BA1-90EA-82E82E7AC45E}"/>
    <cellStyle name="40% - Accent6 5 2 4" xfId="19817" xr:uid="{DF0ADD55-0D2D-4E8A-9747-C3C2A590310B}"/>
    <cellStyle name="40% - Accent6 5 3" xfId="5007" xr:uid="{00000000-0005-0000-0000-000071070000}"/>
    <cellStyle name="40% - Accent6 5 3 2" xfId="13449" xr:uid="{073C72A8-4E60-4D93-B678-BAB8059208CF}"/>
    <cellStyle name="40% - Accent6 5 3 3" xfId="21889" xr:uid="{262E7E8E-4089-44F6-8A56-33BBF5E2DDC0}"/>
    <cellStyle name="40% - Accent6 5 4" xfId="9231" xr:uid="{4FAE3EF7-6B7C-4B2C-956A-80345F9943B0}"/>
    <cellStyle name="40% - Accent6 5 5" xfId="17672" xr:uid="{2FCDCE40-4E32-40DC-B36D-5CC7F55EC7A3}"/>
    <cellStyle name="40% - Accent6 6" xfId="1111" xr:uid="{00000000-0005-0000-0000-000072070000}"/>
    <cellStyle name="40% - Accent6 6 2" xfId="3342" xr:uid="{00000000-0005-0000-0000-000073070000}"/>
    <cellStyle name="40% - Accent6 6 2 2" xfId="7565" xr:uid="{00000000-0005-0000-0000-000074070000}"/>
    <cellStyle name="40% - Accent6 6 2 2 2" xfId="16007" xr:uid="{8A1553FE-9820-466F-B0AB-A8ABA6ECD7CD}"/>
    <cellStyle name="40% - Accent6 6 2 2 3" xfId="24447" xr:uid="{B8E511AD-7313-4758-B102-950F33D481DA}"/>
    <cellStyle name="40% - Accent6 6 2 3" xfId="11789" xr:uid="{D78011D2-84E0-4160-A604-CB978C9293E1}"/>
    <cellStyle name="40% - Accent6 6 2 4" xfId="20230" xr:uid="{D14F4381-C2CF-4183-A92D-6A8BA4C1561B}"/>
    <cellStyle name="40% - Accent6 6 3" xfId="5420" xr:uid="{00000000-0005-0000-0000-000075070000}"/>
    <cellStyle name="40% - Accent6 6 3 2" xfId="13862" xr:uid="{FBF53914-61CC-43DE-B4B9-31903546074C}"/>
    <cellStyle name="40% - Accent6 6 3 3" xfId="22302" xr:uid="{ECD39987-985B-42D7-9339-735550D85887}"/>
    <cellStyle name="40% - Accent6 6 4" xfId="9644" xr:uid="{48A61D9F-AA18-42C2-93CD-F711FB3317D5}"/>
    <cellStyle name="40% - Accent6 6 5" xfId="18085" xr:uid="{D6592B0A-AA21-43FE-A596-8958EBE2D966}"/>
    <cellStyle name="40% - Accent6 7" xfId="1525" xr:uid="{00000000-0005-0000-0000-000076070000}"/>
    <cellStyle name="40% - Accent6 7 2" xfId="3755" xr:uid="{00000000-0005-0000-0000-000077070000}"/>
    <cellStyle name="40% - Accent6 7 2 2" xfId="7978" xr:uid="{00000000-0005-0000-0000-000078070000}"/>
    <cellStyle name="40% - Accent6 7 2 2 2" xfId="16420" xr:uid="{9F1D1B13-085B-456B-B0CE-8A0F42CF71A4}"/>
    <cellStyle name="40% - Accent6 7 2 2 3" xfId="24860" xr:uid="{B22E8AB3-493C-4C68-8765-02BA22187FBD}"/>
    <cellStyle name="40% - Accent6 7 2 3" xfId="12202" xr:uid="{A511AFE0-9378-4ABB-BD86-3ABDA0C6AC7E}"/>
    <cellStyle name="40% - Accent6 7 2 4" xfId="20643" xr:uid="{B5C30223-BCEA-4E4A-91A6-1E7485B7584B}"/>
    <cellStyle name="40% - Accent6 7 3" xfId="5833" xr:uid="{00000000-0005-0000-0000-000079070000}"/>
    <cellStyle name="40% - Accent6 7 3 2" xfId="14275" xr:uid="{28A5452E-2B65-4926-84F2-42094BC08897}"/>
    <cellStyle name="40% - Accent6 7 3 3" xfId="22715" xr:uid="{50493AAB-BEC2-4FCC-B95D-3692945093CD}"/>
    <cellStyle name="40% - Accent6 7 4" xfId="10057" xr:uid="{6A841426-1B45-4E0F-B4E6-BEE07EB56D3B}"/>
    <cellStyle name="40% - Accent6 7 5" xfId="18498" xr:uid="{A84B679E-D638-4A9C-BE39-10AAE7A5EF17}"/>
    <cellStyle name="40% - Accent6 8" xfId="1939" xr:uid="{00000000-0005-0000-0000-00007A070000}"/>
    <cellStyle name="40% - Accent6 8 2" xfId="4168" xr:uid="{00000000-0005-0000-0000-00007B070000}"/>
    <cellStyle name="40% - Accent6 8 2 2" xfId="8391" xr:uid="{00000000-0005-0000-0000-00007C070000}"/>
    <cellStyle name="40% - Accent6 8 2 2 2" xfId="16833" xr:uid="{81540610-BE29-4473-AA90-387CB7C73572}"/>
    <cellStyle name="40% - Accent6 8 2 2 3" xfId="25273" xr:uid="{390FEC15-A6CA-41AA-A73C-62280E7990AF}"/>
    <cellStyle name="40% - Accent6 8 2 3" xfId="12615" xr:uid="{457AAFC5-EDD3-4D34-8846-B497FF5BE428}"/>
    <cellStyle name="40% - Accent6 8 2 4" xfId="21056" xr:uid="{42DA1301-8BCF-4D9B-9ECE-9C4E19620CA1}"/>
    <cellStyle name="40% - Accent6 8 3" xfId="6246" xr:uid="{00000000-0005-0000-0000-00007D070000}"/>
    <cellStyle name="40% - Accent6 8 3 2" xfId="14688" xr:uid="{F648873B-797A-425E-8E13-A82B9B290A6E}"/>
    <cellStyle name="40% - Accent6 8 3 3" xfId="23128" xr:uid="{6441C0C8-8653-4DC9-A7E7-E068DA476950}"/>
    <cellStyle name="40% - Accent6 8 4" xfId="10470" xr:uid="{BADA7284-D485-4F2E-9CB8-058C9661BBDD}"/>
    <cellStyle name="40% - Accent6 8 5" xfId="18911" xr:uid="{2A5BE30E-DD0F-416B-8886-58CA65F955D2}"/>
    <cellStyle name="40% - Accent6 9" xfId="2352" xr:uid="{00000000-0005-0000-0000-00007E070000}"/>
    <cellStyle name="40% - Accent6 9 2" xfId="6659" xr:uid="{00000000-0005-0000-0000-00007F070000}"/>
    <cellStyle name="40% - Accent6 9 2 2" xfId="15101" xr:uid="{A08C764D-3787-46CC-8C2C-95B5F25D07F6}"/>
    <cellStyle name="40% - Accent6 9 2 3" xfId="23541" xr:uid="{A0226A34-F06F-4FA2-BAA1-9002F3D61BF8}"/>
    <cellStyle name="40% - Accent6 9 3" xfId="10883" xr:uid="{587D1DCC-AE39-418C-AF01-DA109B84D81D}"/>
    <cellStyle name="40% - Accent6 9 4" xfId="19324" xr:uid="{35000ABD-A181-4A47-BA39-6EBDE7962637}"/>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15426" xr:uid="{8E2D0687-C5DA-46DB-A4ED-D71FE4ABC420}"/>
    <cellStyle name="Comma 4 2 2 2 10 2 3" xfId="23866" xr:uid="{019EED4C-1C65-4026-A2A5-FB5A63EA777F}"/>
    <cellStyle name="Comma 4 2 2 2 10 3" xfId="11208" xr:uid="{1D0806B5-88A5-4E14-8F87-47F611689812}"/>
    <cellStyle name="Comma 4 2 2 2 10 4" xfId="19649" xr:uid="{DE55366A-0909-412E-AF74-6A417BB221E1}"/>
    <cellStyle name="Comma 4 2 2 2 11" xfId="4601" xr:uid="{00000000-0005-0000-0000-0000A3070000}"/>
    <cellStyle name="Comma 4 2 2 2 11 2" xfId="13043" xr:uid="{9BC42DCF-DA2C-4D31-B75B-56EF4E370787}"/>
    <cellStyle name="Comma 4 2 2 2 11 3" xfId="21483" xr:uid="{610B498C-AD31-4C6E-8AD3-9DB7684E5DEF}"/>
    <cellStyle name="Comma 4 2 2 2 12" xfId="8825" xr:uid="{15169303-B117-4ECC-BC46-E682CEEF4BF3}"/>
    <cellStyle name="Comma 4 2 2 2 13" xfId="17266" xr:uid="{9E9D0BAE-3583-4A09-A1F7-7BF0A259DBFC}"/>
    <cellStyle name="Comma 4 2 2 2 2" xfId="129" xr:uid="{00000000-0005-0000-0000-0000A4070000}"/>
    <cellStyle name="Comma 4 2 2 2 2 10" xfId="4602" xr:uid="{00000000-0005-0000-0000-0000A5070000}"/>
    <cellStyle name="Comma 4 2 2 2 2 10 2" xfId="13044" xr:uid="{D394EA3D-C5AB-419F-9B7B-36518F63AC55}"/>
    <cellStyle name="Comma 4 2 2 2 2 10 3" xfId="21484" xr:uid="{BD9F7C6D-F65B-4220-B5B5-5F6B99EC9B60}"/>
    <cellStyle name="Comma 4 2 2 2 2 11" xfId="8826" xr:uid="{4A8EA958-38D5-4A2D-AEC5-9B63F6381B66}"/>
    <cellStyle name="Comma 4 2 2 2 2 12" xfId="17267" xr:uid="{29B1741B-2C5A-4B49-A767-0E82977C6C6B}"/>
    <cellStyle name="Comma 4 2 2 2 2 2" xfId="130" xr:uid="{00000000-0005-0000-0000-0000A6070000}"/>
    <cellStyle name="Comma 4 2 2 2 2 2 10" xfId="8827" xr:uid="{3D8B9221-D400-4CC4-ABFE-23A646369F4D}"/>
    <cellStyle name="Comma 4 2 2 2 2 2 11" xfId="17268" xr:uid="{70FFB319-FB9C-47AD-88D3-DC03D021629D}"/>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15604" xr:uid="{BB6A612A-E494-4D3C-BCDC-C60B8106B878}"/>
    <cellStyle name="Comma 4 2 2 2 2 2 2 2 2 3" xfId="24044" xr:uid="{DBD70C9C-3909-4D18-820B-987D38A48B14}"/>
    <cellStyle name="Comma 4 2 2 2 2 2 2 2 3" xfId="11386" xr:uid="{6BA6B5DE-D38F-4FCA-9F45-5DFC0B1008C5}"/>
    <cellStyle name="Comma 4 2 2 2 2 2 2 2 4" xfId="19827" xr:uid="{A6D2B8D1-8A80-43F6-AC49-3A7AD24C479D}"/>
    <cellStyle name="Comma 4 2 2 2 2 2 2 3" xfId="5017" xr:uid="{00000000-0005-0000-0000-0000AA070000}"/>
    <cellStyle name="Comma 4 2 2 2 2 2 2 3 2" xfId="13459" xr:uid="{06C14EDE-5C07-4C2E-BF5A-6652C46CB12D}"/>
    <cellStyle name="Comma 4 2 2 2 2 2 2 3 3" xfId="21899" xr:uid="{32871252-91F0-484D-A2A2-0D6795636DCF}"/>
    <cellStyle name="Comma 4 2 2 2 2 2 2 4" xfId="9241" xr:uid="{590793A2-AB48-4D37-8A43-99CB43B3AC68}"/>
    <cellStyle name="Comma 4 2 2 2 2 2 2 5" xfId="17682" xr:uid="{0C3F4F38-E70E-4894-BA54-8D1DD953430E}"/>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16017" xr:uid="{91D92218-EE30-4C70-8AEE-52EA6E638939}"/>
    <cellStyle name="Comma 4 2 2 2 2 2 3 2 2 3" xfId="24457" xr:uid="{5FFF457E-4BB6-4E59-9389-75BA6C484018}"/>
    <cellStyle name="Comma 4 2 2 2 2 2 3 2 3" xfId="11799" xr:uid="{46B95934-9C77-4B52-B197-BC2816EBAD67}"/>
    <cellStyle name="Comma 4 2 2 2 2 2 3 2 4" xfId="20240" xr:uid="{356F81CD-B743-4EA5-8737-AFD004A7EFFE}"/>
    <cellStyle name="Comma 4 2 2 2 2 2 3 3" xfId="5430" xr:uid="{00000000-0005-0000-0000-0000AE070000}"/>
    <cellStyle name="Comma 4 2 2 2 2 2 3 3 2" xfId="13872" xr:uid="{30122094-CFB9-4B92-849C-EF27E504C2E1}"/>
    <cellStyle name="Comma 4 2 2 2 2 2 3 3 3" xfId="22312" xr:uid="{6F0165D0-D73C-4985-B5A7-42EBC7CBDF5E}"/>
    <cellStyle name="Comma 4 2 2 2 2 2 3 4" xfId="9654" xr:uid="{EF7AA471-BB62-466C-8474-F8D7A9C90469}"/>
    <cellStyle name="Comma 4 2 2 2 2 2 3 5" xfId="18095" xr:uid="{42629BE5-3838-4069-B348-D83D31D778BF}"/>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16430" xr:uid="{977EF2BE-1514-4715-A4C0-E874556E7049}"/>
    <cellStyle name="Comma 4 2 2 2 2 2 4 2 2 3" xfId="24870" xr:uid="{0BDEE2DC-4410-4473-9D8F-11FE1AB6C834}"/>
    <cellStyle name="Comma 4 2 2 2 2 2 4 2 3" xfId="12212" xr:uid="{8A1F999E-69A7-42A2-A06C-9E80504D37F7}"/>
    <cellStyle name="Comma 4 2 2 2 2 2 4 2 4" xfId="20653" xr:uid="{7B96AC9B-0F21-4E0D-9BA5-12CA959D8EA6}"/>
    <cellStyle name="Comma 4 2 2 2 2 2 4 3" xfId="5843" xr:uid="{00000000-0005-0000-0000-0000B2070000}"/>
    <cellStyle name="Comma 4 2 2 2 2 2 4 3 2" xfId="14285" xr:uid="{798EA7E2-9FBE-4972-B745-E7624DEEF60D}"/>
    <cellStyle name="Comma 4 2 2 2 2 2 4 3 3" xfId="22725" xr:uid="{B2F6A182-54A5-45DC-B741-AC7807C7366D}"/>
    <cellStyle name="Comma 4 2 2 2 2 2 4 4" xfId="10067" xr:uid="{A4856BDC-6E10-4E71-A122-BBC156B730C4}"/>
    <cellStyle name="Comma 4 2 2 2 2 2 4 5" xfId="18508" xr:uid="{B23A593D-5834-48D5-81DE-59141921CD86}"/>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16843" xr:uid="{297FBF6F-90C8-4811-876A-AE05096EBCCE}"/>
    <cellStyle name="Comma 4 2 2 2 2 2 5 2 2 3" xfId="25283" xr:uid="{461BFFD4-D0F4-4D63-97AA-6929FCFA94FF}"/>
    <cellStyle name="Comma 4 2 2 2 2 2 5 2 3" xfId="12625" xr:uid="{E0833DF7-F3BD-4519-A5E8-3E7D74A6F76B}"/>
    <cellStyle name="Comma 4 2 2 2 2 2 5 2 4" xfId="21066" xr:uid="{67CBFF92-6220-4F32-962A-1B7F3C2CDC2D}"/>
    <cellStyle name="Comma 4 2 2 2 2 2 5 3" xfId="6256" xr:uid="{00000000-0005-0000-0000-0000B6070000}"/>
    <cellStyle name="Comma 4 2 2 2 2 2 5 3 2" xfId="14698" xr:uid="{5A6981BE-9181-4815-ABA4-19B839AEC16A}"/>
    <cellStyle name="Comma 4 2 2 2 2 2 5 3 3" xfId="23138" xr:uid="{89A1848A-E72E-4AAA-A699-5B7F1ACB5719}"/>
    <cellStyle name="Comma 4 2 2 2 2 2 5 4" xfId="10480" xr:uid="{51FB6E97-3C8F-448D-8E57-0490B8C438BA}"/>
    <cellStyle name="Comma 4 2 2 2 2 2 5 5" xfId="18921" xr:uid="{33CEAA58-A874-412D-823A-F91E48BD0E3B}"/>
    <cellStyle name="Comma 4 2 2 2 2 2 6" xfId="2384" xr:uid="{00000000-0005-0000-0000-0000B7070000}"/>
    <cellStyle name="Comma 4 2 2 2 2 2 6 2" xfId="6669" xr:uid="{00000000-0005-0000-0000-0000B8070000}"/>
    <cellStyle name="Comma 4 2 2 2 2 2 6 2 2" xfId="15111" xr:uid="{CB876548-BB83-4179-859C-8ED3B141E703}"/>
    <cellStyle name="Comma 4 2 2 2 2 2 6 2 3" xfId="23551" xr:uid="{AF4917AF-7C99-40F0-B7E6-D2A5AFBBD41D}"/>
    <cellStyle name="Comma 4 2 2 2 2 2 6 3" xfId="10893" xr:uid="{83BB8AAC-3C98-494B-8128-A78B6B87FE6A}"/>
    <cellStyle name="Comma 4 2 2 2 2 2 6 4" xfId="19334" xr:uid="{36B13F21-7E90-457C-9D1F-992B7C29ECCD}"/>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15428" xr:uid="{6E6F51EA-1443-44AB-BB50-1E1F73756A5D}"/>
    <cellStyle name="Comma 4 2 2 2 2 2 8 2 3" xfId="23868" xr:uid="{D9323081-7DD9-47B7-B629-56B73C914918}"/>
    <cellStyle name="Comma 4 2 2 2 2 2 8 3" xfId="11210" xr:uid="{EE652005-7880-45CE-BCC0-CD314756D51D}"/>
    <cellStyle name="Comma 4 2 2 2 2 2 8 4" xfId="19651" xr:uid="{1C9DC472-35EC-49CA-AC37-BFADBE82EEE2}"/>
    <cellStyle name="Comma 4 2 2 2 2 2 9" xfId="4603" xr:uid="{00000000-0005-0000-0000-0000BC070000}"/>
    <cellStyle name="Comma 4 2 2 2 2 2 9 2" xfId="13045" xr:uid="{77646D2D-B437-44D4-9250-B3734E61C33D}"/>
    <cellStyle name="Comma 4 2 2 2 2 2 9 3" xfId="21485" xr:uid="{EAC71BA8-03C9-4596-AC66-D0BEBAE61574}"/>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15603" xr:uid="{F113CEBF-8E87-42B2-A43D-AD37D636763E}"/>
    <cellStyle name="Comma 4 2 2 2 2 3 2 2 3" xfId="24043" xr:uid="{B82ED97F-CC55-4995-9250-13C04AD02DEB}"/>
    <cellStyle name="Comma 4 2 2 2 2 3 2 3" xfId="11385" xr:uid="{5B4F6097-5A75-4698-9C76-2FCE89B89B66}"/>
    <cellStyle name="Comma 4 2 2 2 2 3 2 4" xfId="19826" xr:uid="{A6C14FDE-6F1B-4D5D-86DC-EE6DFD6301C6}"/>
    <cellStyle name="Comma 4 2 2 2 2 3 3" xfId="5016" xr:uid="{00000000-0005-0000-0000-0000C0070000}"/>
    <cellStyle name="Comma 4 2 2 2 2 3 3 2" xfId="13458" xr:uid="{AB333BE8-6C11-4EC8-BDCD-080FF9025DDE}"/>
    <cellStyle name="Comma 4 2 2 2 2 3 3 3" xfId="21898" xr:uid="{D6DFA791-D179-41E4-A3C5-8F0A0063D1FB}"/>
    <cellStyle name="Comma 4 2 2 2 2 3 4" xfId="9240" xr:uid="{60703B9B-11F4-4EA6-AD7F-F153AFC4D861}"/>
    <cellStyle name="Comma 4 2 2 2 2 3 5" xfId="17681" xr:uid="{865148B0-B23C-41F2-95D2-119D11504449}"/>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16016" xr:uid="{392153D6-BC8E-48B6-8C07-0CFA73773787}"/>
    <cellStyle name="Comma 4 2 2 2 2 4 2 2 3" xfId="24456" xr:uid="{FFAD226B-AF2A-4163-9EFD-8F778FD5B60A}"/>
    <cellStyle name="Comma 4 2 2 2 2 4 2 3" xfId="11798" xr:uid="{E796DEA7-C232-47A5-99BA-AE3859D40ED4}"/>
    <cellStyle name="Comma 4 2 2 2 2 4 2 4" xfId="20239" xr:uid="{C3D2FD21-8456-4930-BC31-DBD67A151511}"/>
    <cellStyle name="Comma 4 2 2 2 2 4 3" xfId="5429" xr:uid="{00000000-0005-0000-0000-0000C4070000}"/>
    <cellStyle name="Comma 4 2 2 2 2 4 3 2" xfId="13871" xr:uid="{30CDB724-2A6C-4795-82A1-B49823B8F875}"/>
    <cellStyle name="Comma 4 2 2 2 2 4 3 3" xfId="22311" xr:uid="{4C59ED0D-09BD-4D48-9B67-E9B49CCD7135}"/>
    <cellStyle name="Comma 4 2 2 2 2 4 4" xfId="9653" xr:uid="{5B5B2C80-A8C7-42C0-911A-1FFE9F03FBA9}"/>
    <cellStyle name="Comma 4 2 2 2 2 4 5" xfId="18094" xr:uid="{FBFE87E3-8A8E-4638-9D56-8AEA3C89B332}"/>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16429" xr:uid="{1AB3CA6D-DE05-4941-8DCA-B0C263F13E59}"/>
    <cellStyle name="Comma 4 2 2 2 2 5 2 2 3" xfId="24869" xr:uid="{32BEFD91-5D02-4237-ADE0-11AD47F1C03C}"/>
    <cellStyle name="Comma 4 2 2 2 2 5 2 3" xfId="12211" xr:uid="{56091302-6DDD-4858-8304-C7E753029F2D}"/>
    <cellStyle name="Comma 4 2 2 2 2 5 2 4" xfId="20652" xr:uid="{E557A7DC-D0F5-4217-9743-C2CBE162C70F}"/>
    <cellStyle name="Comma 4 2 2 2 2 5 3" xfId="5842" xr:uid="{00000000-0005-0000-0000-0000C8070000}"/>
    <cellStyle name="Comma 4 2 2 2 2 5 3 2" xfId="14284" xr:uid="{8A7F3248-7C00-4649-AA84-E3197B1CCE18}"/>
    <cellStyle name="Comma 4 2 2 2 2 5 3 3" xfId="22724" xr:uid="{8ACFA543-A3ED-4592-B97A-B25F2D6F309E}"/>
    <cellStyle name="Comma 4 2 2 2 2 5 4" xfId="10066" xr:uid="{CC4C9A1E-FE1F-40A3-9404-41D70E8A725C}"/>
    <cellStyle name="Comma 4 2 2 2 2 5 5" xfId="18507" xr:uid="{DD8D8B33-42C2-496E-9F2A-7549B744A57D}"/>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16842" xr:uid="{F7E08461-13F9-4CBB-9FDC-B3D748E43A3A}"/>
    <cellStyle name="Comma 4 2 2 2 2 6 2 2 3" xfId="25282" xr:uid="{1C2C0ABD-C8FC-407A-BF78-5358A382B3D6}"/>
    <cellStyle name="Comma 4 2 2 2 2 6 2 3" xfId="12624" xr:uid="{BE01EA43-2A7B-4D5E-8B32-5C88785A4059}"/>
    <cellStyle name="Comma 4 2 2 2 2 6 2 4" xfId="21065" xr:uid="{227809BC-A163-4FF4-8590-029E1E597D30}"/>
    <cellStyle name="Comma 4 2 2 2 2 6 3" xfId="6255" xr:uid="{00000000-0005-0000-0000-0000CC070000}"/>
    <cellStyle name="Comma 4 2 2 2 2 6 3 2" xfId="14697" xr:uid="{E460FB07-3910-4C16-99C8-BD3474F156FE}"/>
    <cellStyle name="Comma 4 2 2 2 2 6 3 3" xfId="23137" xr:uid="{F3E29439-2A0A-431F-A460-4CC2F4D03A54}"/>
    <cellStyle name="Comma 4 2 2 2 2 6 4" xfId="10479" xr:uid="{BCB306FE-25C6-48CD-AE02-6CF13344511D}"/>
    <cellStyle name="Comma 4 2 2 2 2 6 5" xfId="18920" xr:uid="{F6A1A578-8325-42A4-9B2B-3BEB5D187A27}"/>
    <cellStyle name="Comma 4 2 2 2 2 7" xfId="2383" xr:uid="{00000000-0005-0000-0000-0000CD070000}"/>
    <cellStyle name="Comma 4 2 2 2 2 7 2" xfId="6668" xr:uid="{00000000-0005-0000-0000-0000CE070000}"/>
    <cellStyle name="Comma 4 2 2 2 2 7 2 2" xfId="15110" xr:uid="{2C52E572-2542-48C5-BA52-007DFB1117EB}"/>
    <cellStyle name="Comma 4 2 2 2 2 7 2 3" xfId="23550" xr:uid="{70274E74-48A4-46DF-ACE6-098852A40AD9}"/>
    <cellStyle name="Comma 4 2 2 2 2 7 3" xfId="10892" xr:uid="{856CDB07-E063-4E6C-80B7-0A7327A39574}"/>
    <cellStyle name="Comma 4 2 2 2 2 7 4" xfId="19333" xr:uid="{CFA829F9-DD9C-4D2E-BC89-C6161026BBA1}"/>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15427" xr:uid="{CCB1DB6B-3CB1-46F5-B1BE-454CF4DF4A56}"/>
    <cellStyle name="Comma 4 2 2 2 2 9 2 3" xfId="23867" xr:uid="{FA7A0CD9-6A61-4F5A-B0BF-75BC6F437C25}"/>
    <cellStyle name="Comma 4 2 2 2 2 9 3" xfId="11209" xr:uid="{89583A98-D421-46A3-AC9B-848AB7B84037}"/>
    <cellStyle name="Comma 4 2 2 2 2 9 4" xfId="19650" xr:uid="{732F95E1-BB60-4FE4-B13B-3AF469936287}"/>
    <cellStyle name="Comma 4 2 2 2 3" xfId="131" xr:uid="{00000000-0005-0000-0000-0000D2070000}"/>
    <cellStyle name="Comma 4 2 2 2 3 10" xfId="8828" xr:uid="{2A218670-41B4-4D5C-BF74-8122C56E33AB}"/>
    <cellStyle name="Comma 4 2 2 2 3 11" xfId="17269" xr:uid="{F387E6E4-4749-4399-939C-05DBF5667F7B}"/>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15605" xr:uid="{682AC428-5D7A-45D3-9F37-E193A7BB6611}"/>
    <cellStyle name="Comma 4 2 2 2 3 2 2 2 3" xfId="24045" xr:uid="{74D2B069-3F25-444B-8919-7CEFF194799E}"/>
    <cellStyle name="Comma 4 2 2 2 3 2 2 3" xfId="11387" xr:uid="{B6A86869-6F26-4B2B-B3EE-EBEF716BB5B6}"/>
    <cellStyle name="Comma 4 2 2 2 3 2 2 4" xfId="19828" xr:uid="{5819F597-E69D-4C35-A5A0-0EFF5F144C59}"/>
    <cellStyle name="Comma 4 2 2 2 3 2 3" xfId="5018" xr:uid="{00000000-0005-0000-0000-0000D6070000}"/>
    <cellStyle name="Comma 4 2 2 2 3 2 3 2" xfId="13460" xr:uid="{F3AA60AD-4AE7-4A1C-A0F0-083514E7E1EC}"/>
    <cellStyle name="Comma 4 2 2 2 3 2 3 3" xfId="21900" xr:uid="{4EA3F70E-82B8-43A4-AE85-8D80246E0044}"/>
    <cellStyle name="Comma 4 2 2 2 3 2 4" xfId="9242" xr:uid="{6623273A-FCE7-44B6-9E5B-14C067E78168}"/>
    <cellStyle name="Comma 4 2 2 2 3 2 5" xfId="17683" xr:uid="{30B0155F-40A1-45D1-A28D-80DC4E1E705B}"/>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16018" xr:uid="{FEACFBE9-BB67-4C8D-BC41-2D96341ACDFC}"/>
    <cellStyle name="Comma 4 2 2 2 3 3 2 2 3" xfId="24458" xr:uid="{9B948C5A-A094-4B88-AE08-6EE4A6FE79B3}"/>
    <cellStyle name="Comma 4 2 2 2 3 3 2 3" xfId="11800" xr:uid="{A1E016F4-2D3E-4783-B4CC-7F7F6A826EA9}"/>
    <cellStyle name="Comma 4 2 2 2 3 3 2 4" xfId="20241" xr:uid="{00A7DC17-C9E7-45AC-9598-577AFB64063B}"/>
    <cellStyle name="Comma 4 2 2 2 3 3 3" xfId="5431" xr:uid="{00000000-0005-0000-0000-0000DA070000}"/>
    <cellStyle name="Comma 4 2 2 2 3 3 3 2" xfId="13873" xr:uid="{17713AF8-365C-4644-8D00-08758FEEE0CC}"/>
    <cellStyle name="Comma 4 2 2 2 3 3 3 3" xfId="22313" xr:uid="{52B1E8D7-8C68-4E09-985F-DC2E58F121B0}"/>
    <cellStyle name="Comma 4 2 2 2 3 3 4" xfId="9655" xr:uid="{3C87F4B2-77BC-4D23-BD9D-E9918469B4E6}"/>
    <cellStyle name="Comma 4 2 2 2 3 3 5" xfId="18096" xr:uid="{0EC28F36-F00D-43B5-B1DF-87622344AF3A}"/>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16431" xr:uid="{0DC103C7-FE02-4441-B16E-9BBED60D4DDC}"/>
    <cellStyle name="Comma 4 2 2 2 3 4 2 2 3" xfId="24871" xr:uid="{446C3054-5E01-449B-AC91-34EF53A1322D}"/>
    <cellStyle name="Comma 4 2 2 2 3 4 2 3" xfId="12213" xr:uid="{E85B79C3-877B-4756-AC16-8322E457B09B}"/>
    <cellStyle name="Comma 4 2 2 2 3 4 2 4" xfId="20654" xr:uid="{A52778AE-3EAC-445F-AC4A-078540011A02}"/>
    <cellStyle name="Comma 4 2 2 2 3 4 3" xfId="5844" xr:uid="{00000000-0005-0000-0000-0000DE070000}"/>
    <cellStyle name="Comma 4 2 2 2 3 4 3 2" xfId="14286" xr:uid="{1F11F69C-1F7E-40F6-A09D-287F55CFC7C2}"/>
    <cellStyle name="Comma 4 2 2 2 3 4 3 3" xfId="22726" xr:uid="{06C4495C-4168-44A2-B363-5F4AF8D5A785}"/>
    <cellStyle name="Comma 4 2 2 2 3 4 4" xfId="10068" xr:uid="{21445C42-D7A6-4934-907D-D1632496C91A}"/>
    <cellStyle name="Comma 4 2 2 2 3 4 5" xfId="18509" xr:uid="{079B7AA5-78EB-4E71-9D80-27963D2EF565}"/>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16844" xr:uid="{EB842D97-7B82-47EC-BDCB-C0B07C01751E}"/>
    <cellStyle name="Comma 4 2 2 2 3 5 2 2 3" xfId="25284" xr:uid="{877F352D-6D4A-4B11-B8AD-3D3608A83B3A}"/>
    <cellStyle name="Comma 4 2 2 2 3 5 2 3" xfId="12626" xr:uid="{B2D722D8-F102-4A83-823D-3AB93121E912}"/>
    <cellStyle name="Comma 4 2 2 2 3 5 2 4" xfId="21067" xr:uid="{88D8A797-90B5-4BFA-9371-FB993FEA3A26}"/>
    <cellStyle name="Comma 4 2 2 2 3 5 3" xfId="6257" xr:uid="{00000000-0005-0000-0000-0000E2070000}"/>
    <cellStyle name="Comma 4 2 2 2 3 5 3 2" xfId="14699" xr:uid="{A44CDBF3-3304-4EF4-98CE-2141A8DAEFB7}"/>
    <cellStyle name="Comma 4 2 2 2 3 5 3 3" xfId="23139" xr:uid="{3939E3A1-64D1-43C3-9128-C7B9A607D4B7}"/>
    <cellStyle name="Comma 4 2 2 2 3 5 4" xfId="10481" xr:uid="{0C5F7FF4-7FA4-42AD-88F3-C40A0C522486}"/>
    <cellStyle name="Comma 4 2 2 2 3 5 5" xfId="18922" xr:uid="{E73AC311-F1E8-4EEE-9621-2CD54DCED511}"/>
    <cellStyle name="Comma 4 2 2 2 3 6" xfId="2385" xr:uid="{00000000-0005-0000-0000-0000E3070000}"/>
    <cellStyle name="Comma 4 2 2 2 3 6 2" xfId="6670" xr:uid="{00000000-0005-0000-0000-0000E4070000}"/>
    <cellStyle name="Comma 4 2 2 2 3 6 2 2" xfId="15112" xr:uid="{E81A88B1-4FBB-46D0-BDBB-E449D00BB7E2}"/>
    <cellStyle name="Comma 4 2 2 2 3 6 2 3" xfId="23552" xr:uid="{69F9C336-BC5B-4C1A-97AB-6661B551BCF6}"/>
    <cellStyle name="Comma 4 2 2 2 3 6 3" xfId="10894" xr:uid="{17F45168-979C-4871-863F-EEBE16CABD7E}"/>
    <cellStyle name="Comma 4 2 2 2 3 6 4" xfId="19335" xr:uid="{27FFC53E-B6E2-4FCE-B572-05BF1A11D5B7}"/>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15429" xr:uid="{4993BAE8-4F96-4475-ACE0-8C32F0F264A6}"/>
    <cellStyle name="Comma 4 2 2 2 3 8 2 3" xfId="23869" xr:uid="{1395E352-6655-4F01-9B10-FF2448180ACF}"/>
    <cellStyle name="Comma 4 2 2 2 3 8 3" xfId="11211" xr:uid="{52FD9E66-F42F-4FA1-8E01-6E4EF960A2A6}"/>
    <cellStyle name="Comma 4 2 2 2 3 8 4" xfId="19652" xr:uid="{8DDC8E66-36F1-4DA7-8376-B11848F5C343}"/>
    <cellStyle name="Comma 4 2 2 2 3 9" xfId="4604" xr:uid="{00000000-0005-0000-0000-0000E8070000}"/>
    <cellStyle name="Comma 4 2 2 2 3 9 2" xfId="13046" xr:uid="{AA035007-07E2-4571-BD97-7209080C17CA}"/>
    <cellStyle name="Comma 4 2 2 2 3 9 3" xfId="21486" xr:uid="{7F14D110-510A-402B-9611-DC66830E12B4}"/>
    <cellStyle name="Comma 4 2 2 2 4" xfId="666" xr:uid="{00000000-0005-0000-0000-0000E9070000}"/>
    <cellStyle name="Comma 4 2 2 2 4 2" xfId="2937" xr:uid="{00000000-0005-0000-0000-0000EA070000}"/>
    <cellStyle name="Comma 4 2 2 2 4 2 2" xfId="7160" xr:uid="{00000000-0005-0000-0000-0000EB070000}"/>
    <cellStyle name="Comma 4 2 2 2 4 2 2 2" xfId="15602" xr:uid="{A3F87394-D07F-40DD-8846-4D2B763C09AA}"/>
    <cellStyle name="Comma 4 2 2 2 4 2 2 3" xfId="24042" xr:uid="{7B605342-03DD-4DD7-8D41-563603036ADA}"/>
    <cellStyle name="Comma 4 2 2 2 4 2 3" xfId="11384" xr:uid="{963A36D4-78DD-4051-8969-2BD820E89869}"/>
    <cellStyle name="Comma 4 2 2 2 4 2 4" xfId="19825" xr:uid="{3642C83A-67A8-4C9B-BCDE-ADC35B92A7C1}"/>
    <cellStyle name="Comma 4 2 2 2 4 3" xfId="5015" xr:uid="{00000000-0005-0000-0000-0000EC070000}"/>
    <cellStyle name="Comma 4 2 2 2 4 3 2" xfId="13457" xr:uid="{BC34F8A6-7B87-47DE-B4AF-1BE4A43CB473}"/>
    <cellStyle name="Comma 4 2 2 2 4 3 3" xfId="21897" xr:uid="{8C292442-6926-4F7F-81D3-AD461664FDD6}"/>
    <cellStyle name="Comma 4 2 2 2 4 4" xfId="9239" xr:uid="{7E1A44F9-2ECC-4AE0-88DD-08C2B7F68E11}"/>
    <cellStyle name="Comma 4 2 2 2 4 5" xfId="17680" xr:uid="{7AD4A31D-C77A-40B2-836E-39F3FFD91F67}"/>
    <cellStyle name="Comma 4 2 2 2 5" xfId="1119" xr:uid="{00000000-0005-0000-0000-0000ED070000}"/>
    <cellStyle name="Comma 4 2 2 2 5 2" xfId="3350" xr:uid="{00000000-0005-0000-0000-0000EE070000}"/>
    <cellStyle name="Comma 4 2 2 2 5 2 2" xfId="7573" xr:uid="{00000000-0005-0000-0000-0000EF070000}"/>
    <cellStyle name="Comma 4 2 2 2 5 2 2 2" xfId="16015" xr:uid="{7822953B-4F30-4D67-ACFE-38667956D479}"/>
    <cellStyle name="Comma 4 2 2 2 5 2 2 3" xfId="24455" xr:uid="{17189F64-0375-4C10-8CA2-A957DE5435CA}"/>
    <cellStyle name="Comma 4 2 2 2 5 2 3" xfId="11797" xr:uid="{8EE58EAA-C2C2-4F36-84A2-BE40F9956D4F}"/>
    <cellStyle name="Comma 4 2 2 2 5 2 4" xfId="20238" xr:uid="{AA55B820-1462-485D-B5C1-FF4FD879182B}"/>
    <cellStyle name="Comma 4 2 2 2 5 3" xfId="5428" xr:uid="{00000000-0005-0000-0000-0000F0070000}"/>
    <cellStyle name="Comma 4 2 2 2 5 3 2" xfId="13870" xr:uid="{B20F9899-9024-43FD-94B1-9EE0F17A8B15}"/>
    <cellStyle name="Comma 4 2 2 2 5 3 3" xfId="22310" xr:uid="{9CC90E03-DBFD-4824-ABBB-3E58472882A7}"/>
    <cellStyle name="Comma 4 2 2 2 5 4" xfId="9652" xr:uid="{E0EAC559-569F-4A5F-AA93-03898306205D}"/>
    <cellStyle name="Comma 4 2 2 2 5 5" xfId="18093" xr:uid="{FEFC6122-F934-4F74-B0AE-2419B75D97BA}"/>
    <cellStyle name="Comma 4 2 2 2 6" xfId="1533" xr:uid="{00000000-0005-0000-0000-0000F1070000}"/>
    <cellStyle name="Comma 4 2 2 2 6 2" xfId="3763" xr:uid="{00000000-0005-0000-0000-0000F2070000}"/>
    <cellStyle name="Comma 4 2 2 2 6 2 2" xfId="7986" xr:uid="{00000000-0005-0000-0000-0000F3070000}"/>
    <cellStyle name="Comma 4 2 2 2 6 2 2 2" xfId="16428" xr:uid="{E8D06C77-3FD6-4E26-AA9F-440932C09983}"/>
    <cellStyle name="Comma 4 2 2 2 6 2 2 3" xfId="24868" xr:uid="{41050EEA-D088-4AD4-8A50-C10870AE1964}"/>
    <cellStyle name="Comma 4 2 2 2 6 2 3" xfId="12210" xr:uid="{60B1AB08-BDD7-44D9-9620-841DF9549579}"/>
    <cellStyle name="Comma 4 2 2 2 6 2 4" xfId="20651" xr:uid="{AFE991B9-86E3-4387-AABB-58EAE06B6005}"/>
    <cellStyle name="Comma 4 2 2 2 6 3" xfId="5841" xr:uid="{00000000-0005-0000-0000-0000F4070000}"/>
    <cellStyle name="Comma 4 2 2 2 6 3 2" xfId="14283" xr:uid="{6C25EB27-BD66-4836-A0B6-CF6E4D34370B}"/>
    <cellStyle name="Comma 4 2 2 2 6 3 3" xfId="22723" xr:uid="{6DAE5237-D4FA-4726-ACDA-92D1F23A063F}"/>
    <cellStyle name="Comma 4 2 2 2 6 4" xfId="10065" xr:uid="{4A6A988A-0684-44BA-B577-6DFE0A53BD17}"/>
    <cellStyle name="Comma 4 2 2 2 6 5" xfId="18506" xr:uid="{39911340-BDCD-4FA0-B3A7-18A23DD6EDC5}"/>
    <cellStyle name="Comma 4 2 2 2 7" xfId="1947" xr:uid="{00000000-0005-0000-0000-0000F5070000}"/>
    <cellStyle name="Comma 4 2 2 2 7 2" xfId="4176" xr:uid="{00000000-0005-0000-0000-0000F6070000}"/>
    <cellStyle name="Comma 4 2 2 2 7 2 2" xfId="8399" xr:uid="{00000000-0005-0000-0000-0000F7070000}"/>
    <cellStyle name="Comma 4 2 2 2 7 2 2 2" xfId="16841" xr:uid="{10200028-5AAA-4774-B675-684AB1ACC0DE}"/>
    <cellStyle name="Comma 4 2 2 2 7 2 2 3" xfId="25281" xr:uid="{027D0672-08B6-4128-80CE-55DFAE5A8437}"/>
    <cellStyle name="Comma 4 2 2 2 7 2 3" xfId="12623" xr:uid="{49B561E7-2738-4ED8-B6BD-FF8356CAEB6D}"/>
    <cellStyle name="Comma 4 2 2 2 7 2 4" xfId="21064" xr:uid="{4839BB85-66FE-4D2D-8282-F58152607E06}"/>
    <cellStyle name="Comma 4 2 2 2 7 3" xfId="6254" xr:uid="{00000000-0005-0000-0000-0000F8070000}"/>
    <cellStyle name="Comma 4 2 2 2 7 3 2" xfId="14696" xr:uid="{52812CED-C6E6-470C-B3A9-752E02B67AAD}"/>
    <cellStyle name="Comma 4 2 2 2 7 3 3" xfId="23136" xr:uid="{945C3921-55E4-40E9-987B-A919D317A0E3}"/>
    <cellStyle name="Comma 4 2 2 2 7 4" xfId="10478" xr:uid="{4A184656-F7A8-4D90-BC05-7836317D1A38}"/>
    <cellStyle name="Comma 4 2 2 2 7 5" xfId="18919" xr:uid="{7808DF1D-2E44-4434-BFD1-B31F3E165F54}"/>
    <cellStyle name="Comma 4 2 2 2 8" xfId="2382" xr:uid="{00000000-0005-0000-0000-0000F9070000}"/>
    <cellStyle name="Comma 4 2 2 2 8 2" xfId="6667" xr:uid="{00000000-0005-0000-0000-0000FA070000}"/>
    <cellStyle name="Comma 4 2 2 2 8 2 2" xfId="15109" xr:uid="{891FC1C3-9D32-450E-9226-699B57ABF3F6}"/>
    <cellStyle name="Comma 4 2 2 2 8 2 3" xfId="23549" xr:uid="{27CB59A9-C3DA-4D5F-A843-CB31499D238B}"/>
    <cellStyle name="Comma 4 2 2 2 8 3" xfId="10891" xr:uid="{840C233C-6FF3-4AFB-A5D6-7E0B3A3091F5}"/>
    <cellStyle name="Comma 4 2 2 2 8 4" xfId="19332" xr:uid="{30C672B4-CAAA-4EB2-B39F-141A2AD74D4C}"/>
    <cellStyle name="Comma 4 2 2 2 9" xfId="2381" xr:uid="{00000000-0005-0000-0000-0000FB070000}"/>
    <cellStyle name="Comma 4 2 2 3" xfId="132" xr:uid="{00000000-0005-0000-0000-0000FC070000}"/>
    <cellStyle name="Comma 4 2 2 3 10" xfId="4605" xr:uid="{00000000-0005-0000-0000-0000FD070000}"/>
    <cellStyle name="Comma 4 2 2 3 10 2" xfId="13047" xr:uid="{98ADDBC3-5641-46C6-B31A-F05AAD45E8C3}"/>
    <cellStyle name="Comma 4 2 2 3 10 3" xfId="21487" xr:uid="{D97C4165-9C9E-4C1A-ADB7-B9E4492CD852}"/>
    <cellStyle name="Comma 4 2 2 3 11" xfId="8829" xr:uid="{E111B624-0C6D-45E9-9EB9-49ABE29914A4}"/>
    <cellStyle name="Comma 4 2 2 3 12" xfId="17270" xr:uid="{C429D52A-1F2A-48FA-92CF-84C623475BE5}"/>
    <cellStyle name="Comma 4 2 2 3 2" xfId="133" xr:uid="{00000000-0005-0000-0000-0000FE070000}"/>
    <cellStyle name="Comma 4 2 2 3 2 10" xfId="8830" xr:uid="{8C9F2E3F-8A97-4114-8271-5D3A35563E21}"/>
    <cellStyle name="Comma 4 2 2 3 2 11" xfId="17271" xr:uid="{F182C893-801D-4861-BF95-37C2E0722A0F}"/>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15607" xr:uid="{91789391-E4E2-4BB8-8AD9-5A6B9844150C}"/>
    <cellStyle name="Comma 4 2 2 3 2 2 2 2 3" xfId="24047" xr:uid="{369E5041-43C5-4DF6-9652-0B0FC21A2784}"/>
    <cellStyle name="Comma 4 2 2 3 2 2 2 3" xfId="11389" xr:uid="{557136FF-C3DF-410E-805D-2A2180842799}"/>
    <cellStyle name="Comma 4 2 2 3 2 2 2 4" xfId="19830" xr:uid="{6F302F7F-FACA-4BAC-A95C-430D93676721}"/>
    <cellStyle name="Comma 4 2 2 3 2 2 3" xfId="5020" xr:uid="{00000000-0005-0000-0000-000002080000}"/>
    <cellStyle name="Comma 4 2 2 3 2 2 3 2" xfId="13462" xr:uid="{1136C135-B676-4862-A644-B15C6E78318D}"/>
    <cellStyle name="Comma 4 2 2 3 2 2 3 3" xfId="21902" xr:uid="{AA1DB01F-F0B7-4B5D-A1A9-09120C94A29C}"/>
    <cellStyle name="Comma 4 2 2 3 2 2 4" xfId="9244" xr:uid="{37AB0C31-6B0C-495C-80B9-1293C68AB6AD}"/>
    <cellStyle name="Comma 4 2 2 3 2 2 5" xfId="17685" xr:uid="{77CC1673-8109-4191-B0D9-8DA820F8DF08}"/>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16020" xr:uid="{7D27C99B-8285-4F6D-A80A-8177C37DF2BD}"/>
    <cellStyle name="Comma 4 2 2 3 2 3 2 2 3" xfId="24460" xr:uid="{916EB77A-0640-4B1C-8DEC-96D4AA243D54}"/>
    <cellStyle name="Comma 4 2 2 3 2 3 2 3" xfId="11802" xr:uid="{9DC297F0-99B8-4179-88DC-C765E3A906BA}"/>
    <cellStyle name="Comma 4 2 2 3 2 3 2 4" xfId="20243" xr:uid="{0131F358-31F7-4D81-9A1A-3CFDE26CDB53}"/>
    <cellStyle name="Comma 4 2 2 3 2 3 3" xfId="5433" xr:uid="{00000000-0005-0000-0000-000006080000}"/>
    <cellStyle name="Comma 4 2 2 3 2 3 3 2" xfId="13875" xr:uid="{C29FF76E-3248-45C8-9A60-3263DF95403E}"/>
    <cellStyle name="Comma 4 2 2 3 2 3 3 3" xfId="22315" xr:uid="{A4E0412F-9064-40F3-9613-C6E6270C1790}"/>
    <cellStyle name="Comma 4 2 2 3 2 3 4" xfId="9657" xr:uid="{F614BECE-78BC-4515-84E8-0BAFC8CF8AD7}"/>
    <cellStyle name="Comma 4 2 2 3 2 3 5" xfId="18098" xr:uid="{6F761FB9-DDC5-4139-A02C-4099AEA96ADA}"/>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16433" xr:uid="{F77CC33A-CDF0-4E53-89CE-3C89794FBEC0}"/>
    <cellStyle name="Comma 4 2 2 3 2 4 2 2 3" xfId="24873" xr:uid="{B1B33C8E-7FBD-499D-BD81-D07FE35AA4B1}"/>
    <cellStyle name="Comma 4 2 2 3 2 4 2 3" xfId="12215" xr:uid="{5B44095F-FA8F-40A4-9713-7AFD0265F032}"/>
    <cellStyle name="Comma 4 2 2 3 2 4 2 4" xfId="20656" xr:uid="{38F59947-9C3D-4585-96BA-78F09EBFD017}"/>
    <cellStyle name="Comma 4 2 2 3 2 4 3" xfId="5846" xr:uid="{00000000-0005-0000-0000-00000A080000}"/>
    <cellStyle name="Comma 4 2 2 3 2 4 3 2" xfId="14288" xr:uid="{961737A7-3665-4584-AF07-3D03A1FB47A3}"/>
    <cellStyle name="Comma 4 2 2 3 2 4 3 3" xfId="22728" xr:uid="{6B5D0EDE-CDC1-4C69-B4B9-F6875E25238A}"/>
    <cellStyle name="Comma 4 2 2 3 2 4 4" xfId="10070" xr:uid="{1584AB83-7EDE-478F-B7A3-9E9D790ACE09}"/>
    <cellStyle name="Comma 4 2 2 3 2 4 5" xfId="18511" xr:uid="{317E7C97-17FF-46C0-8AE6-BBA8FE95D232}"/>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16846" xr:uid="{C2CF4485-0635-4DBA-BB77-B6DA4962E906}"/>
    <cellStyle name="Comma 4 2 2 3 2 5 2 2 3" xfId="25286" xr:uid="{3201B06C-F11D-48D7-B9D1-413F18E5965C}"/>
    <cellStyle name="Comma 4 2 2 3 2 5 2 3" xfId="12628" xr:uid="{28A6BB7E-578F-4A77-B745-579DD7A99BA1}"/>
    <cellStyle name="Comma 4 2 2 3 2 5 2 4" xfId="21069" xr:uid="{DEB855AE-2B07-438D-B965-2444EE109749}"/>
    <cellStyle name="Comma 4 2 2 3 2 5 3" xfId="6259" xr:uid="{00000000-0005-0000-0000-00000E080000}"/>
    <cellStyle name="Comma 4 2 2 3 2 5 3 2" xfId="14701" xr:uid="{14DBD0C4-2EE2-400C-A86D-654CC3BB24B0}"/>
    <cellStyle name="Comma 4 2 2 3 2 5 3 3" xfId="23141" xr:uid="{318AA1D7-6133-49C2-A688-3AD6C0B7168A}"/>
    <cellStyle name="Comma 4 2 2 3 2 5 4" xfId="10483" xr:uid="{559714DB-8B1C-4DF3-8B48-0DFCC18918D2}"/>
    <cellStyle name="Comma 4 2 2 3 2 5 5" xfId="18924" xr:uid="{C9449A7D-CC88-43E9-84FA-3945D79855FB}"/>
    <cellStyle name="Comma 4 2 2 3 2 6" xfId="2387" xr:uid="{00000000-0005-0000-0000-00000F080000}"/>
    <cellStyle name="Comma 4 2 2 3 2 6 2" xfId="6672" xr:uid="{00000000-0005-0000-0000-000010080000}"/>
    <cellStyle name="Comma 4 2 2 3 2 6 2 2" xfId="15114" xr:uid="{6A08D4B9-5846-46B2-AE5D-B3235C970FA5}"/>
    <cellStyle name="Comma 4 2 2 3 2 6 2 3" xfId="23554" xr:uid="{557F278D-C0D6-402F-905A-A751AD83C10E}"/>
    <cellStyle name="Comma 4 2 2 3 2 6 3" xfId="10896" xr:uid="{43588A1D-1D86-46C9-AA1B-4AA18D16D51D}"/>
    <cellStyle name="Comma 4 2 2 3 2 6 4" xfId="19337" xr:uid="{2C11818E-48EA-47B1-80F0-A670342B11DE}"/>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15431" xr:uid="{76C30371-357E-49CD-8DC4-CAFEA1BA32D7}"/>
    <cellStyle name="Comma 4 2 2 3 2 8 2 3" xfId="23871" xr:uid="{3A01DA65-1D4C-4076-84FC-0C7C2DCD42BB}"/>
    <cellStyle name="Comma 4 2 2 3 2 8 3" xfId="11213" xr:uid="{2B0C63D7-F13F-4C10-BF3C-29A8BED59E11}"/>
    <cellStyle name="Comma 4 2 2 3 2 8 4" xfId="19654" xr:uid="{11F4B448-C05A-4DF2-B079-1539C95C6946}"/>
    <cellStyle name="Comma 4 2 2 3 2 9" xfId="4606" xr:uid="{00000000-0005-0000-0000-000014080000}"/>
    <cellStyle name="Comma 4 2 2 3 2 9 2" xfId="13048" xr:uid="{91BDC327-B287-48EA-AD3C-9FCBBD8A1C73}"/>
    <cellStyle name="Comma 4 2 2 3 2 9 3" xfId="21488" xr:uid="{5BDE5AF8-B3C5-4A3F-BA50-57782366FB81}"/>
    <cellStyle name="Comma 4 2 2 3 3" xfId="670" xr:uid="{00000000-0005-0000-0000-000015080000}"/>
    <cellStyle name="Comma 4 2 2 3 3 2" xfId="2941" xr:uid="{00000000-0005-0000-0000-000016080000}"/>
    <cellStyle name="Comma 4 2 2 3 3 2 2" xfId="7164" xr:uid="{00000000-0005-0000-0000-000017080000}"/>
    <cellStyle name="Comma 4 2 2 3 3 2 2 2" xfId="15606" xr:uid="{AA35C770-0959-427E-8D72-3072413DF130}"/>
    <cellStyle name="Comma 4 2 2 3 3 2 2 3" xfId="24046" xr:uid="{D7B89353-58E0-403C-ABFC-DB9018C50AA7}"/>
    <cellStyle name="Comma 4 2 2 3 3 2 3" xfId="11388" xr:uid="{AF342988-D554-4813-80B0-F2D14AC9B027}"/>
    <cellStyle name="Comma 4 2 2 3 3 2 4" xfId="19829" xr:uid="{4BB713DE-6D72-459F-B8DA-B7CFA2C75089}"/>
    <cellStyle name="Comma 4 2 2 3 3 3" xfId="5019" xr:uid="{00000000-0005-0000-0000-000018080000}"/>
    <cellStyle name="Comma 4 2 2 3 3 3 2" xfId="13461" xr:uid="{2113FA48-6E73-4994-ADDF-3460589BF9AA}"/>
    <cellStyle name="Comma 4 2 2 3 3 3 3" xfId="21901" xr:uid="{8FC3E736-6AF1-49B2-B8CF-A0C687633B44}"/>
    <cellStyle name="Comma 4 2 2 3 3 4" xfId="9243" xr:uid="{110E580E-57C1-486A-BAB9-42918FE1298D}"/>
    <cellStyle name="Comma 4 2 2 3 3 5" xfId="17684" xr:uid="{92AE0A34-4856-4924-8E54-73DEE37E68A5}"/>
    <cellStyle name="Comma 4 2 2 3 4" xfId="1123" xr:uid="{00000000-0005-0000-0000-000019080000}"/>
    <cellStyle name="Comma 4 2 2 3 4 2" xfId="3354" xr:uid="{00000000-0005-0000-0000-00001A080000}"/>
    <cellStyle name="Comma 4 2 2 3 4 2 2" xfId="7577" xr:uid="{00000000-0005-0000-0000-00001B080000}"/>
    <cellStyle name="Comma 4 2 2 3 4 2 2 2" xfId="16019" xr:uid="{2A13F04D-009E-4307-9BBE-01A024D9EE0D}"/>
    <cellStyle name="Comma 4 2 2 3 4 2 2 3" xfId="24459" xr:uid="{61D40BF9-1B93-438E-BA92-698FDEF76D66}"/>
    <cellStyle name="Comma 4 2 2 3 4 2 3" xfId="11801" xr:uid="{4C9106C6-44C3-4FCD-AD93-5801D8653282}"/>
    <cellStyle name="Comma 4 2 2 3 4 2 4" xfId="20242" xr:uid="{2D887937-4C88-4BD8-90DD-042EC4BD31AA}"/>
    <cellStyle name="Comma 4 2 2 3 4 3" xfId="5432" xr:uid="{00000000-0005-0000-0000-00001C080000}"/>
    <cellStyle name="Comma 4 2 2 3 4 3 2" xfId="13874" xr:uid="{D75F4D38-3315-4C2B-8DA2-3BAF8750B2D9}"/>
    <cellStyle name="Comma 4 2 2 3 4 3 3" xfId="22314" xr:uid="{77157E43-C14F-4ABD-8F12-4AB98DC6C98E}"/>
    <cellStyle name="Comma 4 2 2 3 4 4" xfId="9656" xr:uid="{129248AF-A4B3-4B68-84E9-3E294AC4F40B}"/>
    <cellStyle name="Comma 4 2 2 3 4 5" xfId="18097" xr:uid="{DD21F5A0-0861-4F8A-80F3-727A4876437E}"/>
    <cellStyle name="Comma 4 2 2 3 5" xfId="1537" xr:uid="{00000000-0005-0000-0000-00001D080000}"/>
    <cellStyle name="Comma 4 2 2 3 5 2" xfId="3767" xr:uid="{00000000-0005-0000-0000-00001E080000}"/>
    <cellStyle name="Comma 4 2 2 3 5 2 2" xfId="7990" xr:uid="{00000000-0005-0000-0000-00001F080000}"/>
    <cellStyle name="Comma 4 2 2 3 5 2 2 2" xfId="16432" xr:uid="{F3542736-D959-40BD-8FFF-2FA571AED037}"/>
    <cellStyle name="Comma 4 2 2 3 5 2 2 3" xfId="24872" xr:uid="{611DBF33-A9B3-4C80-A673-7C274B8047F2}"/>
    <cellStyle name="Comma 4 2 2 3 5 2 3" xfId="12214" xr:uid="{A0B8D894-5DDF-4EAA-8413-FE9D30684ABE}"/>
    <cellStyle name="Comma 4 2 2 3 5 2 4" xfId="20655" xr:uid="{8CE77594-B210-4A98-A083-5D6FC1EB49FD}"/>
    <cellStyle name="Comma 4 2 2 3 5 3" xfId="5845" xr:uid="{00000000-0005-0000-0000-000020080000}"/>
    <cellStyle name="Comma 4 2 2 3 5 3 2" xfId="14287" xr:uid="{C0AA84F6-3AAC-4A44-8578-CA13A8063F31}"/>
    <cellStyle name="Comma 4 2 2 3 5 3 3" xfId="22727" xr:uid="{02D0211C-41DB-48CF-BC68-73F2FE8797C7}"/>
    <cellStyle name="Comma 4 2 2 3 5 4" xfId="10069" xr:uid="{72DC1DDE-D1D9-44BC-9C7B-D65171B6B029}"/>
    <cellStyle name="Comma 4 2 2 3 5 5" xfId="18510" xr:uid="{3996E10E-2644-477E-9270-455498540742}"/>
    <cellStyle name="Comma 4 2 2 3 6" xfId="1951" xr:uid="{00000000-0005-0000-0000-000021080000}"/>
    <cellStyle name="Comma 4 2 2 3 6 2" xfId="4180" xr:uid="{00000000-0005-0000-0000-000022080000}"/>
    <cellStyle name="Comma 4 2 2 3 6 2 2" xfId="8403" xr:uid="{00000000-0005-0000-0000-000023080000}"/>
    <cellStyle name="Comma 4 2 2 3 6 2 2 2" xfId="16845" xr:uid="{0E1558B5-A8BE-44F0-8DF3-FD1FE45B7879}"/>
    <cellStyle name="Comma 4 2 2 3 6 2 2 3" xfId="25285" xr:uid="{DA875C44-069F-4C70-9A3D-E93E8451B257}"/>
    <cellStyle name="Comma 4 2 2 3 6 2 3" xfId="12627" xr:uid="{111A6E82-804F-4CE3-8018-C2C3822F2FC9}"/>
    <cellStyle name="Comma 4 2 2 3 6 2 4" xfId="21068" xr:uid="{AD7333EC-CBCA-4D7A-8B9C-0071035924D4}"/>
    <cellStyle name="Comma 4 2 2 3 6 3" xfId="6258" xr:uid="{00000000-0005-0000-0000-000024080000}"/>
    <cellStyle name="Comma 4 2 2 3 6 3 2" xfId="14700" xr:uid="{1D65A345-5F99-41E1-AD9D-533177FE0D49}"/>
    <cellStyle name="Comma 4 2 2 3 6 3 3" xfId="23140" xr:uid="{718B2904-D94B-4597-A3DF-5E5753D47B39}"/>
    <cellStyle name="Comma 4 2 2 3 6 4" xfId="10482" xr:uid="{F3437816-2A32-4FA1-8F1B-489DCFD1F7A1}"/>
    <cellStyle name="Comma 4 2 2 3 6 5" xfId="18923" xr:uid="{E3503F7E-EE94-48B5-AC1F-2B6BC1DCAC75}"/>
    <cellStyle name="Comma 4 2 2 3 7" xfId="2386" xr:uid="{00000000-0005-0000-0000-000025080000}"/>
    <cellStyle name="Comma 4 2 2 3 7 2" xfId="6671" xr:uid="{00000000-0005-0000-0000-000026080000}"/>
    <cellStyle name="Comma 4 2 2 3 7 2 2" xfId="15113" xr:uid="{99769820-1D0E-4F20-880F-CD75CB3FB96C}"/>
    <cellStyle name="Comma 4 2 2 3 7 2 3" xfId="23553" xr:uid="{98D32C95-7C79-4E78-AAA2-43B529C19F21}"/>
    <cellStyle name="Comma 4 2 2 3 7 3" xfId="10895" xr:uid="{2DB14363-CEB7-4301-B50E-F9763E7940DB}"/>
    <cellStyle name="Comma 4 2 2 3 7 4" xfId="19336" xr:uid="{A7B773C3-9508-477D-93E8-F0304BFBD9F2}"/>
    <cellStyle name="Comma 4 2 2 3 8" xfId="2377" xr:uid="{00000000-0005-0000-0000-000027080000}"/>
    <cellStyle name="Comma 4 2 2 3 9" xfId="2764" xr:uid="{00000000-0005-0000-0000-000028080000}"/>
    <cellStyle name="Comma 4 2 2 3 9 2" xfId="6988" xr:uid="{00000000-0005-0000-0000-000029080000}"/>
    <cellStyle name="Comma 4 2 2 3 9 2 2" xfId="15430" xr:uid="{E0D8914A-851F-4D52-9978-C708642CDCCD}"/>
    <cellStyle name="Comma 4 2 2 3 9 2 3" xfId="23870" xr:uid="{DB4D6065-5436-4C9B-9FDF-7B4A79C49709}"/>
    <cellStyle name="Comma 4 2 2 3 9 3" xfId="11212" xr:uid="{9BF2D1A5-0B0C-4256-855A-42FF1671ED69}"/>
    <cellStyle name="Comma 4 2 2 3 9 4" xfId="19653" xr:uid="{931815F1-447F-479D-ADDB-E26F3313BC60}"/>
    <cellStyle name="Comma 4 2 2 4" xfId="134" xr:uid="{00000000-0005-0000-0000-00002A080000}"/>
    <cellStyle name="Comma 4 2 2 4 10" xfId="8831" xr:uid="{763BFC0D-3E05-4482-A76E-9C53610629FE}"/>
    <cellStyle name="Comma 4 2 2 4 11" xfId="17272" xr:uid="{2C7D6236-5D12-4761-A29A-378321321F65}"/>
    <cellStyle name="Comma 4 2 2 4 2" xfId="672" xr:uid="{00000000-0005-0000-0000-00002B080000}"/>
    <cellStyle name="Comma 4 2 2 4 2 2" xfId="2943" xr:uid="{00000000-0005-0000-0000-00002C080000}"/>
    <cellStyle name="Comma 4 2 2 4 2 2 2" xfId="7166" xr:uid="{00000000-0005-0000-0000-00002D080000}"/>
    <cellStyle name="Comma 4 2 2 4 2 2 2 2" xfId="15608" xr:uid="{5D13D027-BF1D-43F1-8892-6A1509F5260F}"/>
    <cellStyle name="Comma 4 2 2 4 2 2 2 3" xfId="24048" xr:uid="{37B8A6CF-9186-4577-B9C3-908DCA66E0C2}"/>
    <cellStyle name="Comma 4 2 2 4 2 2 3" xfId="11390" xr:uid="{B46835BA-D129-49CE-A085-B5C817DABB81}"/>
    <cellStyle name="Comma 4 2 2 4 2 2 4" xfId="19831" xr:uid="{793772FE-42C1-4C57-8506-61CE4DC2972E}"/>
    <cellStyle name="Comma 4 2 2 4 2 3" xfId="5021" xr:uid="{00000000-0005-0000-0000-00002E080000}"/>
    <cellStyle name="Comma 4 2 2 4 2 3 2" xfId="13463" xr:uid="{AFF88D0A-FB49-4D38-AD6F-0421D33E11B2}"/>
    <cellStyle name="Comma 4 2 2 4 2 3 3" xfId="21903" xr:uid="{5D9BFF36-73F8-42D8-930B-D9114BA6E872}"/>
    <cellStyle name="Comma 4 2 2 4 2 4" xfId="9245" xr:uid="{45A71374-C99C-48A6-87DE-A8BA23CD8697}"/>
    <cellStyle name="Comma 4 2 2 4 2 5" xfId="17686" xr:uid="{13834AC3-D0D2-435D-8630-87D24A7DB541}"/>
    <cellStyle name="Comma 4 2 2 4 3" xfId="1125" xr:uid="{00000000-0005-0000-0000-00002F080000}"/>
    <cellStyle name="Comma 4 2 2 4 3 2" xfId="3356" xr:uid="{00000000-0005-0000-0000-000030080000}"/>
    <cellStyle name="Comma 4 2 2 4 3 2 2" xfId="7579" xr:uid="{00000000-0005-0000-0000-000031080000}"/>
    <cellStyle name="Comma 4 2 2 4 3 2 2 2" xfId="16021" xr:uid="{F68C40DB-A88A-4049-AD48-2553DA22D5D6}"/>
    <cellStyle name="Comma 4 2 2 4 3 2 2 3" xfId="24461" xr:uid="{40A0FB60-1959-47F8-9011-7E2DC2A2F240}"/>
    <cellStyle name="Comma 4 2 2 4 3 2 3" xfId="11803" xr:uid="{3D2462EF-0DB9-46F5-B32A-ECA5297BB3C0}"/>
    <cellStyle name="Comma 4 2 2 4 3 2 4" xfId="20244" xr:uid="{9E9F39E9-62EB-4403-BB21-7583188C3916}"/>
    <cellStyle name="Comma 4 2 2 4 3 3" xfId="5434" xr:uid="{00000000-0005-0000-0000-000032080000}"/>
    <cellStyle name="Comma 4 2 2 4 3 3 2" xfId="13876" xr:uid="{A5E70291-4C18-4B18-A84A-FC11D43B745F}"/>
    <cellStyle name="Comma 4 2 2 4 3 3 3" xfId="22316" xr:uid="{27C1AAC9-3B6D-4ED7-BDE9-0D93D91CE952}"/>
    <cellStyle name="Comma 4 2 2 4 3 4" xfId="9658" xr:uid="{2274D7DA-8323-4D1B-9B4C-68C17A8BF5D0}"/>
    <cellStyle name="Comma 4 2 2 4 3 5" xfId="18099" xr:uid="{3BC60A57-5DB8-4779-ACD5-675B1C1FBFA0}"/>
    <cellStyle name="Comma 4 2 2 4 4" xfId="1539" xr:uid="{00000000-0005-0000-0000-000033080000}"/>
    <cellStyle name="Comma 4 2 2 4 4 2" xfId="3769" xr:uid="{00000000-0005-0000-0000-000034080000}"/>
    <cellStyle name="Comma 4 2 2 4 4 2 2" xfId="7992" xr:uid="{00000000-0005-0000-0000-000035080000}"/>
    <cellStyle name="Comma 4 2 2 4 4 2 2 2" xfId="16434" xr:uid="{FCAF4146-48EF-43EC-8B2D-48FCF6DAF17A}"/>
    <cellStyle name="Comma 4 2 2 4 4 2 2 3" xfId="24874" xr:uid="{A0C16BAB-0E47-47AA-A7DD-9A1BF93CFADB}"/>
    <cellStyle name="Comma 4 2 2 4 4 2 3" xfId="12216" xr:uid="{D000E700-8BD8-4220-8505-BC1129E4992B}"/>
    <cellStyle name="Comma 4 2 2 4 4 2 4" xfId="20657" xr:uid="{F74FC45B-7D94-4343-8E96-62033D25F91A}"/>
    <cellStyle name="Comma 4 2 2 4 4 3" xfId="5847" xr:uid="{00000000-0005-0000-0000-000036080000}"/>
    <cellStyle name="Comma 4 2 2 4 4 3 2" xfId="14289" xr:uid="{EE822DD2-89BA-406C-8BB3-181414181A9A}"/>
    <cellStyle name="Comma 4 2 2 4 4 3 3" xfId="22729" xr:uid="{C359EB7A-ABBE-4B11-ABF0-3A2E9CAA3276}"/>
    <cellStyle name="Comma 4 2 2 4 4 4" xfId="10071" xr:uid="{31661663-2E5C-485F-87A0-727B3512EB18}"/>
    <cellStyle name="Comma 4 2 2 4 4 5" xfId="18512" xr:uid="{D075CB21-4F67-4218-85C2-B86AE9EBA5B2}"/>
    <cellStyle name="Comma 4 2 2 4 5" xfId="1953" xr:uid="{00000000-0005-0000-0000-000037080000}"/>
    <cellStyle name="Comma 4 2 2 4 5 2" xfId="4182" xr:uid="{00000000-0005-0000-0000-000038080000}"/>
    <cellStyle name="Comma 4 2 2 4 5 2 2" xfId="8405" xr:uid="{00000000-0005-0000-0000-000039080000}"/>
    <cellStyle name="Comma 4 2 2 4 5 2 2 2" xfId="16847" xr:uid="{2CFE008A-CCA9-41DE-B07D-6D8C196E6DEA}"/>
    <cellStyle name="Comma 4 2 2 4 5 2 2 3" xfId="25287" xr:uid="{55E5C0E1-1B3A-4AF8-8624-C049A737EA92}"/>
    <cellStyle name="Comma 4 2 2 4 5 2 3" xfId="12629" xr:uid="{85BDA495-A746-488C-9B5D-1F8B4DBC0261}"/>
    <cellStyle name="Comma 4 2 2 4 5 2 4" xfId="21070" xr:uid="{DB4544E0-2A06-4BE5-AF62-A0E0D391F857}"/>
    <cellStyle name="Comma 4 2 2 4 5 3" xfId="6260" xr:uid="{00000000-0005-0000-0000-00003A080000}"/>
    <cellStyle name="Comma 4 2 2 4 5 3 2" xfId="14702" xr:uid="{C1AFC8B2-BD2B-4AC3-B16B-6F39029CF1AC}"/>
    <cellStyle name="Comma 4 2 2 4 5 3 3" xfId="23142" xr:uid="{A8215F4D-B253-4431-8CCF-74C384860257}"/>
    <cellStyle name="Comma 4 2 2 4 5 4" xfId="10484" xr:uid="{D7243925-DC0F-4673-8A73-8B998C58AE5B}"/>
    <cellStyle name="Comma 4 2 2 4 5 5" xfId="18925" xr:uid="{E6936533-ED8C-4196-89CD-F74A320BB5ED}"/>
    <cellStyle name="Comma 4 2 2 4 6" xfId="2388" xr:uid="{00000000-0005-0000-0000-00003B080000}"/>
    <cellStyle name="Comma 4 2 2 4 6 2" xfId="6673" xr:uid="{00000000-0005-0000-0000-00003C080000}"/>
    <cellStyle name="Comma 4 2 2 4 6 2 2" xfId="15115" xr:uid="{97F7E3E7-CA1D-415E-A2C1-E5779B6BCCEC}"/>
    <cellStyle name="Comma 4 2 2 4 6 2 3" xfId="23555" xr:uid="{8A117191-FC8C-412B-87E7-F86400F1FBBB}"/>
    <cellStyle name="Comma 4 2 2 4 6 3" xfId="10897" xr:uid="{491614F8-7B89-4621-8614-17764F982669}"/>
    <cellStyle name="Comma 4 2 2 4 6 4" xfId="19338" xr:uid="{8DEC93C1-83B4-4265-97F4-EEF6D8C2A5F2}"/>
    <cellStyle name="Comma 4 2 2 4 7" xfId="2375" xr:uid="{00000000-0005-0000-0000-00003D080000}"/>
    <cellStyle name="Comma 4 2 2 4 8" xfId="2766" xr:uid="{00000000-0005-0000-0000-00003E080000}"/>
    <cellStyle name="Comma 4 2 2 4 8 2" xfId="6990" xr:uid="{00000000-0005-0000-0000-00003F080000}"/>
    <cellStyle name="Comma 4 2 2 4 8 2 2" xfId="15432" xr:uid="{739105F6-53BA-4DE6-9B3D-72907CDEDD2A}"/>
    <cellStyle name="Comma 4 2 2 4 8 2 3" xfId="23872" xr:uid="{6EC27D66-1FEE-43EB-A606-F6F7535C9AF7}"/>
    <cellStyle name="Comma 4 2 2 4 8 3" xfId="11214" xr:uid="{217D5E44-C62F-412D-82CB-921AFDB48016}"/>
    <cellStyle name="Comma 4 2 2 4 8 4" xfId="19655" xr:uid="{1B68D8BB-100D-4E80-B234-37381FA8D5C9}"/>
    <cellStyle name="Comma 4 2 2 4 9" xfId="4607" xr:uid="{00000000-0005-0000-0000-000040080000}"/>
    <cellStyle name="Comma 4 2 2 4 9 2" xfId="13049" xr:uid="{2A07A990-2979-479D-A6C8-1A19EF3053A4}"/>
    <cellStyle name="Comma 4 2 2 4 9 3" xfId="21489" xr:uid="{8900959F-50C6-41CF-B161-6BAD767D04F2}"/>
    <cellStyle name="Comma 4 2 2 5" xfId="135" xr:uid="{00000000-0005-0000-0000-000041080000}"/>
    <cellStyle name="Comma 4 2 2 5 10" xfId="8832" xr:uid="{7492D830-CDA5-44BE-B68A-15CE17C2E4DD}"/>
    <cellStyle name="Comma 4 2 2 5 11" xfId="17273" xr:uid="{AD3B4507-0945-4137-938B-0CEA4336B897}"/>
    <cellStyle name="Comma 4 2 2 5 2" xfId="673" xr:uid="{00000000-0005-0000-0000-000042080000}"/>
    <cellStyle name="Comma 4 2 2 5 2 2" xfId="2944" xr:uid="{00000000-0005-0000-0000-000043080000}"/>
    <cellStyle name="Comma 4 2 2 5 2 2 2" xfId="7167" xr:uid="{00000000-0005-0000-0000-000044080000}"/>
    <cellStyle name="Comma 4 2 2 5 2 2 2 2" xfId="15609" xr:uid="{3BB27925-9D04-4DF2-9008-F7CCB512DC96}"/>
    <cellStyle name="Comma 4 2 2 5 2 2 2 3" xfId="24049" xr:uid="{5117C657-1253-4808-A1B8-1B36AD3F75AF}"/>
    <cellStyle name="Comma 4 2 2 5 2 2 3" xfId="11391" xr:uid="{81911548-63A1-402A-ACAE-D845340309C1}"/>
    <cellStyle name="Comma 4 2 2 5 2 2 4" xfId="19832" xr:uid="{54506988-424E-4517-A0B1-8C16EC3A3F83}"/>
    <cellStyle name="Comma 4 2 2 5 2 3" xfId="5022" xr:uid="{00000000-0005-0000-0000-000045080000}"/>
    <cellStyle name="Comma 4 2 2 5 2 3 2" xfId="13464" xr:uid="{C0D25C12-BD73-47BF-BA58-0037D8BE5E32}"/>
    <cellStyle name="Comma 4 2 2 5 2 3 3" xfId="21904" xr:uid="{B493C4E1-D432-4425-A071-7D52425583B5}"/>
    <cellStyle name="Comma 4 2 2 5 2 4" xfId="9246" xr:uid="{807AB655-1C99-4839-8348-B3F4DEAD2F7A}"/>
    <cellStyle name="Comma 4 2 2 5 2 5" xfId="17687" xr:uid="{6879C8A4-2DC6-4ECE-BBD5-2458EA7229BE}"/>
    <cellStyle name="Comma 4 2 2 5 3" xfId="1126" xr:uid="{00000000-0005-0000-0000-000046080000}"/>
    <cellStyle name="Comma 4 2 2 5 3 2" xfId="3357" xr:uid="{00000000-0005-0000-0000-000047080000}"/>
    <cellStyle name="Comma 4 2 2 5 3 2 2" xfId="7580" xr:uid="{00000000-0005-0000-0000-000048080000}"/>
    <cellStyle name="Comma 4 2 2 5 3 2 2 2" xfId="16022" xr:uid="{E9458129-B4A9-4032-BCAE-1498BC8D1D72}"/>
    <cellStyle name="Comma 4 2 2 5 3 2 2 3" xfId="24462" xr:uid="{00AD166F-1E0B-45F0-BF3E-B68FDD6C02C1}"/>
    <cellStyle name="Comma 4 2 2 5 3 2 3" xfId="11804" xr:uid="{83799EBC-81D9-4594-8A72-EB05B3FDD6E9}"/>
    <cellStyle name="Comma 4 2 2 5 3 2 4" xfId="20245" xr:uid="{79B62B2E-70EA-4AF5-ABC9-29EBC9DF814B}"/>
    <cellStyle name="Comma 4 2 2 5 3 3" xfId="5435" xr:uid="{00000000-0005-0000-0000-000049080000}"/>
    <cellStyle name="Comma 4 2 2 5 3 3 2" xfId="13877" xr:uid="{24583EC3-8C00-4F20-9AFE-4C9B21AE3599}"/>
    <cellStyle name="Comma 4 2 2 5 3 3 3" xfId="22317" xr:uid="{5C917BD9-D8F4-4698-9D87-EBF8C6DB09A9}"/>
    <cellStyle name="Comma 4 2 2 5 3 4" xfId="9659" xr:uid="{2C692B07-600F-45D2-AFEC-9AC0D9F6AA2C}"/>
    <cellStyle name="Comma 4 2 2 5 3 5" xfId="18100" xr:uid="{BC9346AA-188C-4836-BF56-E73AF453CA16}"/>
    <cellStyle name="Comma 4 2 2 5 4" xfId="1540" xr:uid="{00000000-0005-0000-0000-00004A080000}"/>
    <cellStyle name="Comma 4 2 2 5 4 2" xfId="3770" xr:uid="{00000000-0005-0000-0000-00004B080000}"/>
    <cellStyle name="Comma 4 2 2 5 4 2 2" xfId="7993" xr:uid="{00000000-0005-0000-0000-00004C080000}"/>
    <cellStyle name="Comma 4 2 2 5 4 2 2 2" xfId="16435" xr:uid="{C1E3D2B5-B8A3-4E09-A770-4AF6B517E801}"/>
    <cellStyle name="Comma 4 2 2 5 4 2 2 3" xfId="24875" xr:uid="{85472E8A-7AF6-416F-9414-BFA30E7781C9}"/>
    <cellStyle name="Comma 4 2 2 5 4 2 3" xfId="12217" xr:uid="{704A2067-5801-45A5-A4A1-4EB8D84C94C5}"/>
    <cellStyle name="Comma 4 2 2 5 4 2 4" xfId="20658" xr:uid="{19D3940A-7CD4-4011-922F-E99CA8A48AAB}"/>
    <cellStyle name="Comma 4 2 2 5 4 3" xfId="5848" xr:uid="{00000000-0005-0000-0000-00004D080000}"/>
    <cellStyle name="Comma 4 2 2 5 4 3 2" xfId="14290" xr:uid="{1ECCB234-5488-4F6D-9DF4-2877F8E9510F}"/>
    <cellStyle name="Comma 4 2 2 5 4 3 3" xfId="22730" xr:uid="{1B7749B6-DE7F-4EB8-841B-3154BE1698B5}"/>
    <cellStyle name="Comma 4 2 2 5 4 4" xfId="10072" xr:uid="{06A5BCF2-2EDE-4057-80BD-5B1A8A39BAA5}"/>
    <cellStyle name="Comma 4 2 2 5 4 5" xfId="18513" xr:uid="{9A6909B6-DE6F-41DD-8697-6C1C5C30A0DA}"/>
    <cellStyle name="Comma 4 2 2 5 5" xfId="1954" xr:uid="{00000000-0005-0000-0000-00004E080000}"/>
    <cellStyle name="Comma 4 2 2 5 5 2" xfId="4183" xr:uid="{00000000-0005-0000-0000-00004F080000}"/>
    <cellStyle name="Comma 4 2 2 5 5 2 2" xfId="8406" xr:uid="{00000000-0005-0000-0000-000050080000}"/>
    <cellStyle name="Comma 4 2 2 5 5 2 2 2" xfId="16848" xr:uid="{CE92E4BB-9400-4705-819A-555AD84D20C5}"/>
    <cellStyle name="Comma 4 2 2 5 5 2 2 3" xfId="25288" xr:uid="{13A4E4B2-1969-4D6E-922C-B55267F326E6}"/>
    <cellStyle name="Comma 4 2 2 5 5 2 3" xfId="12630" xr:uid="{0C49B835-4574-4519-A2B5-770052DC145F}"/>
    <cellStyle name="Comma 4 2 2 5 5 2 4" xfId="21071" xr:uid="{09B04977-C0F7-4FDC-B0DC-BE01ACA78273}"/>
    <cellStyle name="Comma 4 2 2 5 5 3" xfId="6261" xr:uid="{00000000-0005-0000-0000-000051080000}"/>
    <cellStyle name="Comma 4 2 2 5 5 3 2" xfId="14703" xr:uid="{F2C6A74D-1CDC-41F0-9D4D-87D911D85787}"/>
    <cellStyle name="Comma 4 2 2 5 5 3 3" xfId="23143" xr:uid="{66B090AD-857C-4F50-A451-CCF4230EAD04}"/>
    <cellStyle name="Comma 4 2 2 5 5 4" xfId="10485" xr:uid="{1A93C31B-000D-49C2-873B-7D17E38896E1}"/>
    <cellStyle name="Comma 4 2 2 5 5 5" xfId="18926" xr:uid="{B9B95D22-B2B0-44FE-831B-732CEFC36C79}"/>
    <cellStyle name="Comma 4 2 2 5 6" xfId="2389" xr:uid="{00000000-0005-0000-0000-000052080000}"/>
    <cellStyle name="Comma 4 2 2 5 6 2" xfId="6674" xr:uid="{00000000-0005-0000-0000-000053080000}"/>
    <cellStyle name="Comma 4 2 2 5 6 2 2" xfId="15116" xr:uid="{4A4BE3F8-778D-4D92-AB42-A4A06E93977B}"/>
    <cellStyle name="Comma 4 2 2 5 6 2 3" xfId="23556" xr:uid="{5AD16A86-91C6-49E3-8FAC-193FB545AA90}"/>
    <cellStyle name="Comma 4 2 2 5 6 3" xfId="10898" xr:uid="{2FB6A39C-4286-420F-8A9E-1EB2B6B2D6EF}"/>
    <cellStyle name="Comma 4 2 2 5 6 4" xfId="19339" xr:uid="{D85A52B0-3C5B-4A55-A146-B260DD6471C4}"/>
    <cellStyle name="Comma 4 2 2 5 7" xfId="2374" xr:uid="{00000000-0005-0000-0000-000054080000}"/>
    <cellStyle name="Comma 4 2 2 5 8" xfId="2767" xr:uid="{00000000-0005-0000-0000-000055080000}"/>
    <cellStyle name="Comma 4 2 2 5 8 2" xfId="6991" xr:uid="{00000000-0005-0000-0000-000056080000}"/>
    <cellStyle name="Comma 4 2 2 5 8 2 2" xfId="15433" xr:uid="{07C38071-FDDF-419C-A252-28A714D1D532}"/>
    <cellStyle name="Comma 4 2 2 5 8 2 3" xfId="23873" xr:uid="{11C334C8-1488-43EE-ACA3-B4BCEFCC80DE}"/>
    <cellStyle name="Comma 4 2 2 5 8 3" xfId="11215" xr:uid="{D647265A-E2A0-47A0-89E7-F03B0D49D1E3}"/>
    <cellStyle name="Comma 4 2 2 5 8 4" xfId="19656" xr:uid="{D3A8EA18-13EB-4104-BCFD-F6E571AAE217}"/>
    <cellStyle name="Comma 4 2 2 5 9" xfId="4608" xr:uid="{00000000-0005-0000-0000-000057080000}"/>
    <cellStyle name="Comma 4 2 2 5 9 2" xfId="13050" xr:uid="{9B433DB3-5D8D-487A-A5FE-70DB5EB4F3D6}"/>
    <cellStyle name="Comma 4 2 2 5 9 3" xfId="21490" xr:uid="{DA60CF35-C55C-4B30-AF67-99CE7A10F4D4}"/>
    <cellStyle name="Comma 4 2 3" xfId="136" xr:uid="{00000000-0005-0000-0000-000058080000}"/>
    <cellStyle name="Comma 4 2 3 10" xfId="2768" xr:uid="{00000000-0005-0000-0000-000059080000}"/>
    <cellStyle name="Comma 4 2 3 10 2" xfId="6992" xr:uid="{00000000-0005-0000-0000-00005A080000}"/>
    <cellStyle name="Comma 4 2 3 10 2 2" xfId="15434" xr:uid="{70433420-D3A9-44FF-AF90-8BA806AA2EAD}"/>
    <cellStyle name="Comma 4 2 3 10 2 3" xfId="23874" xr:uid="{8081C1B0-86E7-4724-B02D-89C1E9ED4B61}"/>
    <cellStyle name="Comma 4 2 3 10 3" xfId="11216" xr:uid="{4B775213-5A7A-4752-8231-CE4ED6CC390F}"/>
    <cellStyle name="Comma 4 2 3 10 4" xfId="19657" xr:uid="{E1501401-4377-4DB9-8A3E-8BADC4FF7FC0}"/>
    <cellStyle name="Comma 4 2 3 11" xfId="4609" xr:uid="{00000000-0005-0000-0000-00005B080000}"/>
    <cellStyle name="Comma 4 2 3 11 2" xfId="13051" xr:uid="{8ED32E61-8AA3-4B77-B541-9D73C68BA6A0}"/>
    <cellStyle name="Comma 4 2 3 11 3" xfId="21491" xr:uid="{4F1716E9-8A92-4B39-B319-335AE46D065B}"/>
    <cellStyle name="Comma 4 2 3 12" xfId="8833" xr:uid="{578A4025-56A5-41B1-B25E-A77C82087EA4}"/>
    <cellStyle name="Comma 4 2 3 13" xfId="17274" xr:uid="{90AC1449-CA20-40C6-8B22-DECFA3CB82DA}"/>
    <cellStyle name="Comma 4 2 3 2" xfId="137" xr:uid="{00000000-0005-0000-0000-00005C080000}"/>
    <cellStyle name="Comma 4 2 3 2 10" xfId="4610" xr:uid="{00000000-0005-0000-0000-00005D080000}"/>
    <cellStyle name="Comma 4 2 3 2 10 2" xfId="13052" xr:uid="{54104EAD-E959-4711-BD9D-00EDAA1275A5}"/>
    <cellStyle name="Comma 4 2 3 2 10 3" xfId="21492" xr:uid="{02C8182A-5B03-40B8-8A86-58208E46B670}"/>
    <cellStyle name="Comma 4 2 3 2 11" xfId="8834" xr:uid="{5BF7E4E7-61B9-482A-8A1A-CAD7F975C78A}"/>
    <cellStyle name="Comma 4 2 3 2 12" xfId="17275" xr:uid="{ED1BE42F-FE07-48BB-8A62-D4DE0A3F200D}"/>
    <cellStyle name="Comma 4 2 3 2 2" xfId="138" xr:uid="{00000000-0005-0000-0000-00005E080000}"/>
    <cellStyle name="Comma 4 2 3 2 2 10" xfId="8835" xr:uid="{6637E1C8-7AA8-4BDA-B3D9-49AF0CA19CCF}"/>
    <cellStyle name="Comma 4 2 3 2 2 11" xfId="17276" xr:uid="{BE4E0650-3A51-4BEE-8C10-86C1189A039C}"/>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15612" xr:uid="{B6D292ED-277D-4EA4-ABF6-9667A765D599}"/>
    <cellStyle name="Comma 4 2 3 2 2 2 2 2 3" xfId="24052" xr:uid="{3D7372DB-83E7-4C2C-A7FB-B415F9CC865D}"/>
    <cellStyle name="Comma 4 2 3 2 2 2 2 3" xfId="11394" xr:uid="{C383645B-97AC-4989-9490-7608D5F8B030}"/>
    <cellStyle name="Comma 4 2 3 2 2 2 2 4" xfId="19835" xr:uid="{EBC611E8-B5A0-4355-A7C2-95E5E00CC013}"/>
    <cellStyle name="Comma 4 2 3 2 2 2 3" xfId="5025" xr:uid="{00000000-0005-0000-0000-000062080000}"/>
    <cellStyle name="Comma 4 2 3 2 2 2 3 2" xfId="13467" xr:uid="{3BB257A9-3245-4DE1-91F1-5346697E7B84}"/>
    <cellStyle name="Comma 4 2 3 2 2 2 3 3" xfId="21907" xr:uid="{59964369-AD38-4A99-9493-74A57763DD03}"/>
    <cellStyle name="Comma 4 2 3 2 2 2 4" xfId="9249" xr:uid="{889F897A-DDF9-4DB5-97CD-4D08CAA7A63D}"/>
    <cellStyle name="Comma 4 2 3 2 2 2 5" xfId="17690" xr:uid="{C5AC7D72-712D-49A8-8B98-865790FDCDFE}"/>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16025" xr:uid="{41B34DC6-7A0A-4903-BCDF-B750D2AA053E}"/>
    <cellStyle name="Comma 4 2 3 2 2 3 2 2 3" xfId="24465" xr:uid="{AA29262E-C257-48EB-A1AF-68B0185160C5}"/>
    <cellStyle name="Comma 4 2 3 2 2 3 2 3" xfId="11807" xr:uid="{55765B5D-2705-4184-BF75-48CA61510452}"/>
    <cellStyle name="Comma 4 2 3 2 2 3 2 4" xfId="20248" xr:uid="{D801B868-8324-4D49-984F-C52732C31758}"/>
    <cellStyle name="Comma 4 2 3 2 2 3 3" xfId="5438" xr:uid="{00000000-0005-0000-0000-000066080000}"/>
    <cellStyle name="Comma 4 2 3 2 2 3 3 2" xfId="13880" xr:uid="{8FAD7A08-E33C-470D-90DC-4A378BA31F14}"/>
    <cellStyle name="Comma 4 2 3 2 2 3 3 3" xfId="22320" xr:uid="{2C8D90AB-F848-4A01-8124-02595160BB3D}"/>
    <cellStyle name="Comma 4 2 3 2 2 3 4" xfId="9662" xr:uid="{8303B10B-E508-43D5-A62A-9E27ABC9FE4C}"/>
    <cellStyle name="Comma 4 2 3 2 2 3 5" xfId="18103" xr:uid="{7B40B053-4BAA-4948-91CD-E64B9F6F4361}"/>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16438" xr:uid="{06740691-F803-4672-B597-54BE6771038D}"/>
    <cellStyle name="Comma 4 2 3 2 2 4 2 2 3" xfId="24878" xr:uid="{C6E60658-E019-4A92-B58B-B3DF3792DA37}"/>
    <cellStyle name="Comma 4 2 3 2 2 4 2 3" xfId="12220" xr:uid="{561E0547-D8E9-4C2A-98F2-49D448A6ABC8}"/>
    <cellStyle name="Comma 4 2 3 2 2 4 2 4" xfId="20661" xr:uid="{CB45C6A3-C76B-4F49-A0E7-2989ED6548CB}"/>
    <cellStyle name="Comma 4 2 3 2 2 4 3" xfId="5851" xr:uid="{00000000-0005-0000-0000-00006A080000}"/>
    <cellStyle name="Comma 4 2 3 2 2 4 3 2" xfId="14293" xr:uid="{2414654E-9E45-4DDD-A53B-29A8E978884E}"/>
    <cellStyle name="Comma 4 2 3 2 2 4 3 3" xfId="22733" xr:uid="{26DAC926-C4AA-45E5-A544-FBE691D8A1B7}"/>
    <cellStyle name="Comma 4 2 3 2 2 4 4" xfId="10075" xr:uid="{1B327D9B-DABB-40E5-979A-6BE4319AE170}"/>
    <cellStyle name="Comma 4 2 3 2 2 4 5" xfId="18516" xr:uid="{34F046A0-C36F-4CEC-95A1-D69813D05D77}"/>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16851" xr:uid="{B83E679D-CD99-401C-8D74-DA37BDF6EA09}"/>
    <cellStyle name="Comma 4 2 3 2 2 5 2 2 3" xfId="25291" xr:uid="{F99AAB4B-BB9D-4598-A363-D5A04F5EE7F6}"/>
    <cellStyle name="Comma 4 2 3 2 2 5 2 3" xfId="12633" xr:uid="{10AE13CD-8071-4E91-9D7F-5237098191E6}"/>
    <cellStyle name="Comma 4 2 3 2 2 5 2 4" xfId="21074" xr:uid="{FD4507FA-0661-43AF-A63D-E38FDC20D6EA}"/>
    <cellStyle name="Comma 4 2 3 2 2 5 3" xfId="6264" xr:uid="{00000000-0005-0000-0000-00006E080000}"/>
    <cellStyle name="Comma 4 2 3 2 2 5 3 2" xfId="14706" xr:uid="{8407B0AD-9CB1-4F17-9F47-0A751A8A056D}"/>
    <cellStyle name="Comma 4 2 3 2 2 5 3 3" xfId="23146" xr:uid="{DBDE69BD-1757-4D8C-B8F8-7B77D042C7EE}"/>
    <cellStyle name="Comma 4 2 3 2 2 5 4" xfId="10488" xr:uid="{E7942EC1-A564-4EF9-BE6E-C8D521FD08B7}"/>
    <cellStyle name="Comma 4 2 3 2 2 5 5" xfId="18929" xr:uid="{6ACEE8E4-19FB-4FA7-9D36-6175A0872E2A}"/>
    <cellStyle name="Comma 4 2 3 2 2 6" xfId="2392" xr:uid="{00000000-0005-0000-0000-00006F080000}"/>
    <cellStyle name="Comma 4 2 3 2 2 6 2" xfId="6677" xr:uid="{00000000-0005-0000-0000-000070080000}"/>
    <cellStyle name="Comma 4 2 3 2 2 6 2 2" xfId="15119" xr:uid="{DB6A2EBB-2B37-47C4-B251-76D78CA1C9B8}"/>
    <cellStyle name="Comma 4 2 3 2 2 6 2 3" xfId="23559" xr:uid="{A2F73FA8-3186-42CB-A2B5-370669A182DB}"/>
    <cellStyle name="Comma 4 2 3 2 2 6 3" xfId="10901" xr:uid="{B7FC167A-3C74-4C34-A1A6-F1C74C20AC3E}"/>
    <cellStyle name="Comma 4 2 3 2 2 6 4" xfId="19342" xr:uid="{97DB829F-EC8F-4302-8E13-E75E6B2789CE}"/>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15436" xr:uid="{1D0A775C-2C71-455F-A10B-CC2C383331E9}"/>
    <cellStyle name="Comma 4 2 3 2 2 8 2 3" xfId="23876" xr:uid="{762BFE73-1A93-469F-BB9C-65AA97F46268}"/>
    <cellStyle name="Comma 4 2 3 2 2 8 3" xfId="11218" xr:uid="{32881C04-AC30-473D-91D6-F719DB123818}"/>
    <cellStyle name="Comma 4 2 3 2 2 8 4" xfId="19659" xr:uid="{90289A4D-070D-4118-A816-F64CF1660065}"/>
    <cellStyle name="Comma 4 2 3 2 2 9" xfId="4611" xr:uid="{00000000-0005-0000-0000-000074080000}"/>
    <cellStyle name="Comma 4 2 3 2 2 9 2" xfId="13053" xr:uid="{DAF0FA62-DFF7-4874-875D-3307910DA631}"/>
    <cellStyle name="Comma 4 2 3 2 2 9 3" xfId="21493" xr:uid="{157AFE69-7E1E-4F9B-933F-2B19104586F2}"/>
    <cellStyle name="Comma 4 2 3 2 3" xfId="675" xr:uid="{00000000-0005-0000-0000-000075080000}"/>
    <cellStyle name="Comma 4 2 3 2 3 2" xfId="2946" xr:uid="{00000000-0005-0000-0000-000076080000}"/>
    <cellStyle name="Comma 4 2 3 2 3 2 2" xfId="7169" xr:uid="{00000000-0005-0000-0000-000077080000}"/>
    <cellStyle name="Comma 4 2 3 2 3 2 2 2" xfId="15611" xr:uid="{40EA6AE9-259E-4517-B23C-E1BE4ECEBCD7}"/>
    <cellStyle name="Comma 4 2 3 2 3 2 2 3" xfId="24051" xr:uid="{464BBAF1-8104-41F9-BB98-7C6C3C3439B3}"/>
    <cellStyle name="Comma 4 2 3 2 3 2 3" xfId="11393" xr:uid="{6B330B6F-745D-4320-8295-A2CB54DC6027}"/>
    <cellStyle name="Comma 4 2 3 2 3 2 4" xfId="19834" xr:uid="{5D7D085E-8564-4226-A8DA-199804632EFD}"/>
    <cellStyle name="Comma 4 2 3 2 3 3" xfId="5024" xr:uid="{00000000-0005-0000-0000-000078080000}"/>
    <cellStyle name="Comma 4 2 3 2 3 3 2" xfId="13466" xr:uid="{29E29EA6-4361-482C-AEDE-741B802F7477}"/>
    <cellStyle name="Comma 4 2 3 2 3 3 3" xfId="21906" xr:uid="{16224A7E-F1B5-40A9-97FC-4E053BB1F024}"/>
    <cellStyle name="Comma 4 2 3 2 3 4" xfId="9248" xr:uid="{7D0349C1-50DC-4466-B8C8-06F8A84FAFF5}"/>
    <cellStyle name="Comma 4 2 3 2 3 5" xfId="17689" xr:uid="{5FDBC426-310C-469A-8EA9-791FE8AA9CCE}"/>
    <cellStyle name="Comma 4 2 3 2 4" xfId="1128" xr:uid="{00000000-0005-0000-0000-000079080000}"/>
    <cellStyle name="Comma 4 2 3 2 4 2" xfId="3359" xr:uid="{00000000-0005-0000-0000-00007A080000}"/>
    <cellStyle name="Comma 4 2 3 2 4 2 2" xfId="7582" xr:uid="{00000000-0005-0000-0000-00007B080000}"/>
    <cellStyle name="Comma 4 2 3 2 4 2 2 2" xfId="16024" xr:uid="{65D89510-343A-4910-A4D5-974332112E80}"/>
    <cellStyle name="Comma 4 2 3 2 4 2 2 3" xfId="24464" xr:uid="{2DF6812E-2BB5-4EAB-9890-11CE9E7CD402}"/>
    <cellStyle name="Comma 4 2 3 2 4 2 3" xfId="11806" xr:uid="{721F8403-F893-4BD9-8C0D-6B8F55110ED4}"/>
    <cellStyle name="Comma 4 2 3 2 4 2 4" xfId="20247" xr:uid="{071FD0D7-CE68-49C3-9D18-BF306E235041}"/>
    <cellStyle name="Comma 4 2 3 2 4 3" xfId="5437" xr:uid="{00000000-0005-0000-0000-00007C080000}"/>
    <cellStyle name="Comma 4 2 3 2 4 3 2" xfId="13879" xr:uid="{10DC80AC-EA83-4887-B6F9-8BE53A425C66}"/>
    <cellStyle name="Comma 4 2 3 2 4 3 3" xfId="22319" xr:uid="{B2136BD3-1375-4133-A09D-12DBB3052013}"/>
    <cellStyle name="Comma 4 2 3 2 4 4" xfId="9661" xr:uid="{266533F9-7805-4DB7-8A4A-7CEBD5E5D7DE}"/>
    <cellStyle name="Comma 4 2 3 2 4 5" xfId="18102" xr:uid="{1593C163-1588-4A1E-8828-08DDE03234E5}"/>
    <cellStyle name="Comma 4 2 3 2 5" xfId="1542" xr:uid="{00000000-0005-0000-0000-00007D080000}"/>
    <cellStyle name="Comma 4 2 3 2 5 2" xfId="3772" xr:uid="{00000000-0005-0000-0000-00007E080000}"/>
    <cellStyle name="Comma 4 2 3 2 5 2 2" xfId="7995" xr:uid="{00000000-0005-0000-0000-00007F080000}"/>
    <cellStyle name="Comma 4 2 3 2 5 2 2 2" xfId="16437" xr:uid="{E1FFDF03-47CD-47AB-865B-1A205002F7F8}"/>
    <cellStyle name="Comma 4 2 3 2 5 2 2 3" xfId="24877" xr:uid="{0EDBEF01-2064-43B5-8F7C-8F493ECCED54}"/>
    <cellStyle name="Comma 4 2 3 2 5 2 3" xfId="12219" xr:uid="{E44DB702-B7E0-4400-851B-347A6B3ACF92}"/>
    <cellStyle name="Comma 4 2 3 2 5 2 4" xfId="20660" xr:uid="{3C1425B7-C818-4840-88CD-656351A87DDF}"/>
    <cellStyle name="Comma 4 2 3 2 5 3" xfId="5850" xr:uid="{00000000-0005-0000-0000-000080080000}"/>
    <cellStyle name="Comma 4 2 3 2 5 3 2" xfId="14292" xr:uid="{7FB3A482-E0E8-422B-96A6-5411C97D83CD}"/>
    <cellStyle name="Comma 4 2 3 2 5 3 3" xfId="22732" xr:uid="{6E37FA69-A54E-4996-81E1-E3BF34136514}"/>
    <cellStyle name="Comma 4 2 3 2 5 4" xfId="10074" xr:uid="{AEEC3519-483F-42B3-AC02-4BA0B17CCF18}"/>
    <cellStyle name="Comma 4 2 3 2 5 5" xfId="18515" xr:uid="{89468A4E-C6AF-4747-B7DC-BC71C69A4B74}"/>
    <cellStyle name="Comma 4 2 3 2 6" xfId="1956" xr:uid="{00000000-0005-0000-0000-000081080000}"/>
    <cellStyle name="Comma 4 2 3 2 6 2" xfId="4185" xr:uid="{00000000-0005-0000-0000-000082080000}"/>
    <cellStyle name="Comma 4 2 3 2 6 2 2" xfId="8408" xr:uid="{00000000-0005-0000-0000-000083080000}"/>
    <cellStyle name="Comma 4 2 3 2 6 2 2 2" xfId="16850" xr:uid="{588360DB-706A-4FE4-8E85-38972F56BE3C}"/>
    <cellStyle name="Comma 4 2 3 2 6 2 2 3" xfId="25290" xr:uid="{225735DC-B3AF-4A5A-A699-F03203A4E546}"/>
    <cellStyle name="Comma 4 2 3 2 6 2 3" xfId="12632" xr:uid="{A03063F9-5A65-48F4-A3FF-0EEA640F96E4}"/>
    <cellStyle name="Comma 4 2 3 2 6 2 4" xfId="21073" xr:uid="{38474326-4E27-4D85-9877-8C0166BE9A7C}"/>
    <cellStyle name="Comma 4 2 3 2 6 3" xfId="6263" xr:uid="{00000000-0005-0000-0000-000084080000}"/>
    <cellStyle name="Comma 4 2 3 2 6 3 2" xfId="14705" xr:uid="{878A8707-3F8B-465B-9238-6642F8B942B6}"/>
    <cellStyle name="Comma 4 2 3 2 6 3 3" xfId="23145" xr:uid="{4490BA80-AD5F-4FDB-8EAF-0128BD364111}"/>
    <cellStyle name="Comma 4 2 3 2 6 4" xfId="10487" xr:uid="{772B2758-64FC-41E9-B119-94ED4E1CFA78}"/>
    <cellStyle name="Comma 4 2 3 2 6 5" xfId="18928" xr:uid="{AFA5E554-74D1-44AA-9D77-A74F24A9FC1D}"/>
    <cellStyle name="Comma 4 2 3 2 7" xfId="2391" xr:uid="{00000000-0005-0000-0000-000085080000}"/>
    <cellStyle name="Comma 4 2 3 2 7 2" xfId="6676" xr:uid="{00000000-0005-0000-0000-000086080000}"/>
    <cellStyle name="Comma 4 2 3 2 7 2 2" xfId="15118" xr:uid="{73DC9613-AB7D-48FD-8E3D-C8E59315D3CB}"/>
    <cellStyle name="Comma 4 2 3 2 7 2 3" xfId="23558" xr:uid="{937018E3-CFEB-4B0D-B5F7-5A332BC83891}"/>
    <cellStyle name="Comma 4 2 3 2 7 3" xfId="10900" xr:uid="{D998DE6B-AAF7-42BE-B75A-1ABB505D8685}"/>
    <cellStyle name="Comma 4 2 3 2 7 4" xfId="19341" xr:uid="{DAD00743-2A76-49D1-A7EF-99D5A6523FFC}"/>
    <cellStyle name="Comma 4 2 3 2 8" xfId="2372" xr:uid="{00000000-0005-0000-0000-000087080000}"/>
    <cellStyle name="Comma 4 2 3 2 9" xfId="2769" xr:uid="{00000000-0005-0000-0000-000088080000}"/>
    <cellStyle name="Comma 4 2 3 2 9 2" xfId="6993" xr:uid="{00000000-0005-0000-0000-000089080000}"/>
    <cellStyle name="Comma 4 2 3 2 9 2 2" xfId="15435" xr:uid="{D0D174B6-F3D9-4E4B-A44C-00E03C7EAF11}"/>
    <cellStyle name="Comma 4 2 3 2 9 2 3" xfId="23875" xr:uid="{80EA9E68-AC84-4EA2-9A16-27306E5DA9A2}"/>
    <cellStyle name="Comma 4 2 3 2 9 3" xfId="11217" xr:uid="{9C5A79A3-2A7F-4602-967F-C48649544F7F}"/>
    <cellStyle name="Comma 4 2 3 2 9 4" xfId="19658" xr:uid="{7D28814B-0B1D-4C9A-86FF-050CD5D765CD}"/>
    <cellStyle name="Comma 4 2 3 3" xfId="139" xr:uid="{00000000-0005-0000-0000-00008A080000}"/>
    <cellStyle name="Comma 4 2 3 3 10" xfId="8836" xr:uid="{0E7F4679-1247-4CBF-87C8-82B7D6467FC7}"/>
    <cellStyle name="Comma 4 2 3 3 11" xfId="17277" xr:uid="{F98C40A6-223D-4791-9387-49882F14A5DC}"/>
    <cellStyle name="Comma 4 2 3 3 2" xfId="677" xr:uid="{00000000-0005-0000-0000-00008B080000}"/>
    <cellStyle name="Comma 4 2 3 3 2 2" xfId="2948" xr:uid="{00000000-0005-0000-0000-00008C080000}"/>
    <cellStyle name="Comma 4 2 3 3 2 2 2" xfId="7171" xr:uid="{00000000-0005-0000-0000-00008D080000}"/>
    <cellStyle name="Comma 4 2 3 3 2 2 2 2" xfId="15613" xr:uid="{40BF65B3-CD65-4AC4-B337-59E24798106D}"/>
    <cellStyle name="Comma 4 2 3 3 2 2 2 3" xfId="24053" xr:uid="{EB999FA5-3871-4E3A-8C84-07B2B5984CBA}"/>
    <cellStyle name="Comma 4 2 3 3 2 2 3" xfId="11395" xr:uid="{66AC5DF7-8269-4802-B354-7E0ABA971055}"/>
    <cellStyle name="Comma 4 2 3 3 2 2 4" xfId="19836" xr:uid="{E58AC8B9-6E34-49C3-B289-6C165A2DD11F}"/>
    <cellStyle name="Comma 4 2 3 3 2 3" xfId="5026" xr:uid="{00000000-0005-0000-0000-00008E080000}"/>
    <cellStyle name="Comma 4 2 3 3 2 3 2" xfId="13468" xr:uid="{A8C8CF60-ED69-4C23-ACA3-42C8E3B78232}"/>
    <cellStyle name="Comma 4 2 3 3 2 3 3" xfId="21908" xr:uid="{6D490565-B1C3-40A4-B10E-D05D397EAAD8}"/>
    <cellStyle name="Comma 4 2 3 3 2 4" xfId="9250" xr:uid="{9E7010B6-8A0B-4170-A544-2E33C62F5952}"/>
    <cellStyle name="Comma 4 2 3 3 2 5" xfId="17691" xr:uid="{C2D57DA2-9148-418F-88E7-678CE33CD141}"/>
    <cellStyle name="Comma 4 2 3 3 3" xfId="1130" xr:uid="{00000000-0005-0000-0000-00008F080000}"/>
    <cellStyle name="Comma 4 2 3 3 3 2" xfId="3361" xr:uid="{00000000-0005-0000-0000-000090080000}"/>
    <cellStyle name="Comma 4 2 3 3 3 2 2" xfId="7584" xr:uid="{00000000-0005-0000-0000-000091080000}"/>
    <cellStyle name="Comma 4 2 3 3 3 2 2 2" xfId="16026" xr:uid="{6227152C-DAD5-4001-A7C2-A5749516F6A7}"/>
    <cellStyle name="Comma 4 2 3 3 3 2 2 3" xfId="24466" xr:uid="{D0F02B0C-44D8-4F43-985D-4799622E887D}"/>
    <cellStyle name="Comma 4 2 3 3 3 2 3" xfId="11808" xr:uid="{98BB31A1-DA0A-4548-81AD-29D9027EC023}"/>
    <cellStyle name="Comma 4 2 3 3 3 2 4" xfId="20249" xr:uid="{1AC38478-69A8-4345-933F-A055AEC98F9D}"/>
    <cellStyle name="Comma 4 2 3 3 3 3" xfId="5439" xr:uid="{00000000-0005-0000-0000-000092080000}"/>
    <cellStyle name="Comma 4 2 3 3 3 3 2" xfId="13881" xr:uid="{51C9E2C4-CF7C-4645-AD86-0426EF2067E2}"/>
    <cellStyle name="Comma 4 2 3 3 3 3 3" xfId="22321" xr:uid="{8C7C9AEC-796F-4D9E-9ED8-EC4A12F73925}"/>
    <cellStyle name="Comma 4 2 3 3 3 4" xfId="9663" xr:uid="{27C90F27-384C-4125-9A21-4D4C277558D6}"/>
    <cellStyle name="Comma 4 2 3 3 3 5" xfId="18104" xr:uid="{28E366B7-6703-4ADC-8EF8-A6EF496B535D}"/>
    <cellStyle name="Comma 4 2 3 3 4" xfId="1544" xr:uid="{00000000-0005-0000-0000-000093080000}"/>
    <cellStyle name="Comma 4 2 3 3 4 2" xfId="3774" xr:uid="{00000000-0005-0000-0000-000094080000}"/>
    <cellStyle name="Comma 4 2 3 3 4 2 2" xfId="7997" xr:uid="{00000000-0005-0000-0000-000095080000}"/>
    <cellStyle name="Comma 4 2 3 3 4 2 2 2" xfId="16439" xr:uid="{29684002-73D5-4DF7-AC52-12BC130CAD9E}"/>
    <cellStyle name="Comma 4 2 3 3 4 2 2 3" xfId="24879" xr:uid="{869E54FE-7562-484E-880B-6811CDD69686}"/>
    <cellStyle name="Comma 4 2 3 3 4 2 3" xfId="12221" xr:uid="{6995759F-1934-48C1-9C1F-AB785D02396B}"/>
    <cellStyle name="Comma 4 2 3 3 4 2 4" xfId="20662" xr:uid="{265BE160-25D9-4929-A9E7-6B09EB9F29BB}"/>
    <cellStyle name="Comma 4 2 3 3 4 3" xfId="5852" xr:uid="{00000000-0005-0000-0000-000096080000}"/>
    <cellStyle name="Comma 4 2 3 3 4 3 2" xfId="14294" xr:uid="{0518A2CE-D6A4-47D4-A08F-23D60B5B8575}"/>
    <cellStyle name="Comma 4 2 3 3 4 3 3" xfId="22734" xr:uid="{4A6AB298-D6D5-4209-82D5-340AEAD266B6}"/>
    <cellStyle name="Comma 4 2 3 3 4 4" xfId="10076" xr:uid="{2DC95AEC-1A7E-4580-A498-2201654CC204}"/>
    <cellStyle name="Comma 4 2 3 3 4 5" xfId="18517" xr:uid="{8438D04D-4501-4C86-B0F8-9A4F2ECC5E58}"/>
    <cellStyle name="Comma 4 2 3 3 5" xfId="1958" xr:uid="{00000000-0005-0000-0000-000097080000}"/>
    <cellStyle name="Comma 4 2 3 3 5 2" xfId="4187" xr:uid="{00000000-0005-0000-0000-000098080000}"/>
    <cellStyle name="Comma 4 2 3 3 5 2 2" xfId="8410" xr:uid="{00000000-0005-0000-0000-000099080000}"/>
    <cellStyle name="Comma 4 2 3 3 5 2 2 2" xfId="16852" xr:uid="{68C72B43-7535-41FD-997F-54783BA096DF}"/>
    <cellStyle name="Comma 4 2 3 3 5 2 2 3" xfId="25292" xr:uid="{7AE2F5C1-C0BC-4355-8AC3-4480C7FF0954}"/>
    <cellStyle name="Comma 4 2 3 3 5 2 3" xfId="12634" xr:uid="{32C04CB7-F1E0-45D5-8DF4-CBB32C49004A}"/>
    <cellStyle name="Comma 4 2 3 3 5 2 4" xfId="21075" xr:uid="{D5F4A469-75E1-43B7-9C5F-4CD3CDA018F2}"/>
    <cellStyle name="Comma 4 2 3 3 5 3" xfId="6265" xr:uid="{00000000-0005-0000-0000-00009A080000}"/>
    <cellStyle name="Comma 4 2 3 3 5 3 2" xfId="14707" xr:uid="{EDFE924E-B1A8-4124-8A59-083AC2364E5A}"/>
    <cellStyle name="Comma 4 2 3 3 5 3 3" xfId="23147" xr:uid="{DE82C53E-D20D-4A02-97B3-54F35721EAB1}"/>
    <cellStyle name="Comma 4 2 3 3 5 4" xfId="10489" xr:uid="{42BA166F-29DF-4675-A567-4C028BE16A2A}"/>
    <cellStyle name="Comma 4 2 3 3 5 5" xfId="18930" xr:uid="{DD12E51A-0977-43D6-9CB9-3538AC47DCD2}"/>
    <cellStyle name="Comma 4 2 3 3 6" xfId="2393" xr:uid="{00000000-0005-0000-0000-00009B080000}"/>
    <cellStyle name="Comma 4 2 3 3 6 2" xfId="6678" xr:uid="{00000000-0005-0000-0000-00009C080000}"/>
    <cellStyle name="Comma 4 2 3 3 6 2 2" xfId="15120" xr:uid="{E46E9099-CA51-4FF5-842E-D361B5DC0FDC}"/>
    <cellStyle name="Comma 4 2 3 3 6 2 3" xfId="23560" xr:uid="{B17CE0F8-14EA-4648-99E2-E73DC6C55A59}"/>
    <cellStyle name="Comma 4 2 3 3 6 3" xfId="10902" xr:uid="{CCA9600D-CEDF-4663-80D8-9B06E906AFF8}"/>
    <cellStyle name="Comma 4 2 3 3 6 4" xfId="19343" xr:uid="{CF4D1F69-3D8B-4677-A625-F266F050B4BA}"/>
    <cellStyle name="Comma 4 2 3 3 7" xfId="2370" xr:uid="{00000000-0005-0000-0000-00009D080000}"/>
    <cellStyle name="Comma 4 2 3 3 8" xfId="2771" xr:uid="{00000000-0005-0000-0000-00009E080000}"/>
    <cellStyle name="Comma 4 2 3 3 8 2" xfId="6995" xr:uid="{00000000-0005-0000-0000-00009F080000}"/>
    <cellStyle name="Comma 4 2 3 3 8 2 2" xfId="15437" xr:uid="{7DD4DCFC-68D3-4452-AD0B-3684256C38B5}"/>
    <cellStyle name="Comma 4 2 3 3 8 2 3" xfId="23877" xr:uid="{49432402-C76D-46A5-9E1F-15847272AD62}"/>
    <cellStyle name="Comma 4 2 3 3 8 3" xfId="11219" xr:uid="{EFF1A9BB-652E-469C-8E1E-1B6D57D8170A}"/>
    <cellStyle name="Comma 4 2 3 3 8 4" xfId="19660" xr:uid="{A2EDE8CD-C82F-460D-8E2D-1016BB9432E9}"/>
    <cellStyle name="Comma 4 2 3 3 9" xfId="4612" xr:uid="{00000000-0005-0000-0000-0000A0080000}"/>
    <cellStyle name="Comma 4 2 3 3 9 2" xfId="13054" xr:uid="{BA92EC25-85EF-47B6-AA78-3625E2A0EBC3}"/>
    <cellStyle name="Comma 4 2 3 3 9 3" xfId="21494" xr:uid="{ED66A796-CBDC-4ADD-B6E0-4A69F5D0F59E}"/>
    <cellStyle name="Comma 4 2 3 4" xfId="674" xr:uid="{00000000-0005-0000-0000-0000A1080000}"/>
    <cellStyle name="Comma 4 2 3 4 2" xfId="2945" xr:uid="{00000000-0005-0000-0000-0000A2080000}"/>
    <cellStyle name="Comma 4 2 3 4 2 2" xfId="7168" xr:uid="{00000000-0005-0000-0000-0000A3080000}"/>
    <cellStyle name="Comma 4 2 3 4 2 2 2" xfId="15610" xr:uid="{9FE7DAA9-CA1D-45A6-B129-892101C8F2D5}"/>
    <cellStyle name="Comma 4 2 3 4 2 2 3" xfId="24050" xr:uid="{DCF83059-DAC6-4398-96F9-7106E15724CB}"/>
    <cellStyle name="Comma 4 2 3 4 2 3" xfId="11392" xr:uid="{7BBD877B-E69D-4539-981C-FCF5224D60DD}"/>
    <cellStyle name="Comma 4 2 3 4 2 4" xfId="19833" xr:uid="{6DFF11AB-9950-4BC2-8C50-9FD5C73F5749}"/>
    <cellStyle name="Comma 4 2 3 4 3" xfId="5023" xr:uid="{00000000-0005-0000-0000-0000A4080000}"/>
    <cellStyle name="Comma 4 2 3 4 3 2" xfId="13465" xr:uid="{37040F95-ECF4-40EF-8480-FDFE1D36E5A7}"/>
    <cellStyle name="Comma 4 2 3 4 3 3" xfId="21905" xr:uid="{2870D4CC-71DC-4CA3-81C1-A101A751336C}"/>
    <cellStyle name="Comma 4 2 3 4 4" xfId="9247" xr:uid="{8F0D4A81-FBB8-44D2-9810-621528BF8F0A}"/>
    <cellStyle name="Comma 4 2 3 4 5" xfId="17688" xr:uid="{ED8B0993-F12C-4923-9D2C-8B9E46B498B8}"/>
    <cellStyle name="Comma 4 2 3 5" xfId="1127" xr:uid="{00000000-0005-0000-0000-0000A5080000}"/>
    <cellStyle name="Comma 4 2 3 5 2" xfId="3358" xr:uid="{00000000-0005-0000-0000-0000A6080000}"/>
    <cellStyle name="Comma 4 2 3 5 2 2" xfId="7581" xr:uid="{00000000-0005-0000-0000-0000A7080000}"/>
    <cellStyle name="Comma 4 2 3 5 2 2 2" xfId="16023" xr:uid="{7E5BA655-88E5-4A61-A803-A1550A8D21EE}"/>
    <cellStyle name="Comma 4 2 3 5 2 2 3" xfId="24463" xr:uid="{4D397EF4-1519-4F91-89E3-C60E2FC8BC96}"/>
    <cellStyle name="Comma 4 2 3 5 2 3" xfId="11805" xr:uid="{167065CE-1B32-40BB-8217-4F983EB53F32}"/>
    <cellStyle name="Comma 4 2 3 5 2 4" xfId="20246" xr:uid="{55F01D89-2BA3-48BE-8EB0-110420D60891}"/>
    <cellStyle name="Comma 4 2 3 5 3" xfId="5436" xr:uid="{00000000-0005-0000-0000-0000A8080000}"/>
    <cellStyle name="Comma 4 2 3 5 3 2" xfId="13878" xr:uid="{53F6ABF9-FEE0-4BFE-8839-699311B906BA}"/>
    <cellStyle name="Comma 4 2 3 5 3 3" xfId="22318" xr:uid="{ECC3A420-9400-4780-AFEB-A5E472BA2683}"/>
    <cellStyle name="Comma 4 2 3 5 4" xfId="9660" xr:uid="{353441A4-794D-4235-A70E-593FD8069CC9}"/>
    <cellStyle name="Comma 4 2 3 5 5" xfId="18101" xr:uid="{35B5C5F0-0937-4CA3-96FE-1007013F7C1F}"/>
    <cellStyle name="Comma 4 2 3 6" xfId="1541" xr:uid="{00000000-0005-0000-0000-0000A9080000}"/>
    <cellStyle name="Comma 4 2 3 6 2" xfId="3771" xr:uid="{00000000-0005-0000-0000-0000AA080000}"/>
    <cellStyle name="Comma 4 2 3 6 2 2" xfId="7994" xr:uid="{00000000-0005-0000-0000-0000AB080000}"/>
    <cellStyle name="Comma 4 2 3 6 2 2 2" xfId="16436" xr:uid="{3B8BE7D7-3A17-47D4-80E4-1643651CF2EB}"/>
    <cellStyle name="Comma 4 2 3 6 2 2 3" xfId="24876" xr:uid="{ADCEBF4F-4726-48EE-89F6-A518AAC11DD0}"/>
    <cellStyle name="Comma 4 2 3 6 2 3" xfId="12218" xr:uid="{DEE9B65D-A4D2-4EF5-8F1A-36E9734498CA}"/>
    <cellStyle name="Comma 4 2 3 6 2 4" xfId="20659" xr:uid="{73CD63FC-1020-4E11-9C63-239EDD460F81}"/>
    <cellStyle name="Comma 4 2 3 6 3" xfId="5849" xr:uid="{00000000-0005-0000-0000-0000AC080000}"/>
    <cellStyle name="Comma 4 2 3 6 3 2" xfId="14291" xr:uid="{6A20D7F7-3B63-4E66-BA9E-9D01D306B082}"/>
    <cellStyle name="Comma 4 2 3 6 3 3" xfId="22731" xr:uid="{FF4E8102-08E4-4237-A60F-D5618FC79C29}"/>
    <cellStyle name="Comma 4 2 3 6 4" xfId="10073" xr:uid="{A72D8324-01A0-493A-BB1B-DAA41999AFCA}"/>
    <cellStyle name="Comma 4 2 3 6 5" xfId="18514" xr:uid="{AF5715F6-4869-4691-B648-BB9964315648}"/>
    <cellStyle name="Comma 4 2 3 7" xfId="1955" xr:uid="{00000000-0005-0000-0000-0000AD080000}"/>
    <cellStyle name="Comma 4 2 3 7 2" xfId="4184" xr:uid="{00000000-0005-0000-0000-0000AE080000}"/>
    <cellStyle name="Comma 4 2 3 7 2 2" xfId="8407" xr:uid="{00000000-0005-0000-0000-0000AF080000}"/>
    <cellStyle name="Comma 4 2 3 7 2 2 2" xfId="16849" xr:uid="{FABA07AC-EF74-4D7D-9A8B-C1E3E973B3A0}"/>
    <cellStyle name="Comma 4 2 3 7 2 2 3" xfId="25289" xr:uid="{8EA6A82D-5016-4F6E-9366-DCAA3D5216A3}"/>
    <cellStyle name="Comma 4 2 3 7 2 3" xfId="12631" xr:uid="{2BFC2B15-BD23-4EB1-9613-1A249782CAFF}"/>
    <cellStyle name="Comma 4 2 3 7 2 4" xfId="21072" xr:uid="{691B298D-9396-488B-86B4-73337D145ECD}"/>
    <cellStyle name="Comma 4 2 3 7 3" xfId="6262" xr:uid="{00000000-0005-0000-0000-0000B0080000}"/>
    <cellStyle name="Comma 4 2 3 7 3 2" xfId="14704" xr:uid="{30812D79-AB1C-4C09-B9BD-39EE1BF2C971}"/>
    <cellStyle name="Comma 4 2 3 7 3 3" xfId="23144" xr:uid="{5FA79314-382A-4182-8AD4-CFF7397D1E8F}"/>
    <cellStyle name="Comma 4 2 3 7 4" xfId="10486" xr:uid="{258A02A8-276C-4B60-967C-905143053462}"/>
    <cellStyle name="Comma 4 2 3 7 5" xfId="18927" xr:uid="{B3E12BB9-E34C-4F12-A46C-1A8F362B316B}"/>
    <cellStyle name="Comma 4 2 3 8" xfId="2390" xr:uid="{00000000-0005-0000-0000-0000B1080000}"/>
    <cellStyle name="Comma 4 2 3 8 2" xfId="6675" xr:uid="{00000000-0005-0000-0000-0000B2080000}"/>
    <cellStyle name="Comma 4 2 3 8 2 2" xfId="15117" xr:uid="{D80322B4-D585-48B9-94CF-E91F164EF4EA}"/>
    <cellStyle name="Comma 4 2 3 8 2 3" xfId="23557" xr:uid="{634820A0-3B08-43FD-9148-CBEEA9DB27DB}"/>
    <cellStyle name="Comma 4 2 3 8 3" xfId="10899" xr:uid="{73ADA56E-E03D-4634-BA1D-828DF183A16E}"/>
    <cellStyle name="Comma 4 2 3 8 4" xfId="19340" xr:uid="{5D8D1D0A-5066-46F7-8BA4-C23D65206A8A}"/>
    <cellStyle name="Comma 4 2 3 9" xfId="2373" xr:uid="{00000000-0005-0000-0000-0000B3080000}"/>
    <cellStyle name="Comma 4 2 4" xfId="140" xr:uid="{00000000-0005-0000-0000-0000B4080000}"/>
    <cellStyle name="Comma 4 2 4 10" xfId="4613" xr:uid="{00000000-0005-0000-0000-0000B5080000}"/>
    <cellStyle name="Comma 4 2 4 10 2" xfId="13055" xr:uid="{B9CF3E6C-6A04-49FE-8E88-C87AA6D51B22}"/>
    <cellStyle name="Comma 4 2 4 10 3" xfId="21495" xr:uid="{89B91A90-7B1A-4C19-8747-69882CE12D69}"/>
    <cellStyle name="Comma 4 2 4 11" xfId="8837" xr:uid="{05146E3E-3ABF-4FFC-A0E7-DF93784C1E17}"/>
    <cellStyle name="Comma 4 2 4 12" xfId="17278" xr:uid="{292BD734-DDB4-4622-B79B-D075CA857D21}"/>
    <cellStyle name="Comma 4 2 4 2" xfId="141" xr:uid="{00000000-0005-0000-0000-0000B6080000}"/>
    <cellStyle name="Comma 4 2 4 2 10" xfId="8838" xr:uid="{E91CA50B-3BB9-4138-B0B3-D36534332E69}"/>
    <cellStyle name="Comma 4 2 4 2 11" xfId="17279" xr:uid="{E420C2E3-6AC3-4F88-B91C-DF48195CC205}"/>
    <cellStyle name="Comma 4 2 4 2 2" xfId="679" xr:uid="{00000000-0005-0000-0000-0000B7080000}"/>
    <cellStyle name="Comma 4 2 4 2 2 2" xfId="2950" xr:uid="{00000000-0005-0000-0000-0000B8080000}"/>
    <cellStyle name="Comma 4 2 4 2 2 2 2" xfId="7173" xr:uid="{00000000-0005-0000-0000-0000B9080000}"/>
    <cellStyle name="Comma 4 2 4 2 2 2 2 2" xfId="15615" xr:uid="{A2D365C7-EDCB-4A65-8294-A6CAB4E16ABB}"/>
    <cellStyle name="Comma 4 2 4 2 2 2 2 3" xfId="24055" xr:uid="{EBB74D30-0D35-4B3A-9B1D-0BC8F7F42DBD}"/>
    <cellStyle name="Comma 4 2 4 2 2 2 3" xfId="11397" xr:uid="{FA0243CF-A1C8-4F28-9E05-F3E19A649265}"/>
    <cellStyle name="Comma 4 2 4 2 2 2 4" xfId="19838" xr:uid="{AB5431DE-B3D8-4DB4-8AA4-1B44E5278690}"/>
    <cellStyle name="Comma 4 2 4 2 2 3" xfId="5028" xr:uid="{00000000-0005-0000-0000-0000BA080000}"/>
    <cellStyle name="Comma 4 2 4 2 2 3 2" xfId="13470" xr:uid="{2E989947-2AE4-4C9F-ACC4-536775840874}"/>
    <cellStyle name="Comma 4 2 4 2 2 3 3" xfId="21910" xr:uid="{769A2690-419F-4BF6-96FC-BB0D396EBD66}"/>
    <cellStyle name="Comma 4 2 4 2 2 4" xfId="9252" xr:uid="{23DAD148-4BD0-42D9-8FF7-285FBDCEB346}"/>
    <cellStyle name="Comma 4 2 4 2 2 5" xfId="17693" xr:uid="{4BC13304-35E1-4578-8E3B-B4016E5B6F19}"/>
    <cellStyle name="Comma 4 2 4 2 3" xfId="1132" xr:uid="{00000000-0005-0000-0000-0000BB080000}"/>
    <cellStyle name="Comma 4 2 4 2 3 2" xfId="3363" xr:uid="{00000000-0005-0000-0000-0000BC080000}"/>
    <cellStyle name="Comma 4 2 4 2 3 2 2" xfId="7586" xr:uid="{00000000-0005-0000-0000-0000BD080000}"/>
    <cellStyle name="Comma 4 2 4 2 3 2 2 2" xfId="16028" xr:uid="{DBFC0D0D-438B-4AE4-B0FF-97B772729A04}"/>
    <cellStyle name="Comma 4 2 4 2 3 2 2 3" xfId="24468" xr:uid="{08F2C010-A86E-4884-AD16-D64B8C53906E}"/>
    <cellStyle name="Comma 4 2 4 2 3 2 3" xfId="11810" xr:uid="{618202DB-5EF3-41C2-9324-40979774954F}"/>
    <cellStyle name="Comma 4 2 4 2 3 2 4" xfId="20251" xr:uid="{0892BA1C-E47D-4950-A913-76C8ADADBA5E}"/>
    <cellStyle name="Comma 4 2 4 2 3 3" xfId="5441" xr:uid="{00000000-0005-0000-0000-0000BE080000}"/>
    <cellStyle name="Comma 4 2 4 2 3 3 2" xfId="13883" xr:uid="{C350DF85-4398-44A6-A5F0-8C951C36F940}"/>
    <cellStyle name="Comma 4 2 4 2 3 3 3" xfId="22323" xr:uid="{093C6121-FECB-4B19-84CC-AA6D111E6CF5}"/>
    <cellStyle name="Comma 4 2 4 2 3 4" xfId="9665" xr:uid="{D192CBF0-291A-4573-BE66-9CB542C643AD}"/>
    <cellStyle name="Comma 4 2 4 2 3 5" xfId="18106" xr:uid="{1DF7A539-3DBE-4985-A16F-24E5BEF9F59D}"/>
    <cellStyle name="Comma 4 2 4 2 4" xfId="1546" xr:uid="{00000000-0005-0000-0000-0000BF080000}"/>
    <cellStyle name="Comma 4 2 4 2 4 2" xfId="3776" xr:uid="{00000000-0005-0000-0000-0000C0080000}"/>
    <cellStyle name="Comma 4 2 4 2 4 2 2" xfId="7999" xr:uid="{00000000-0005-0000-0000-0000C1080000}"/>
    <cellStyle name="Comma 4 2 4 2 4 2 2 2" xfId="16441" xr:uid="{D42F7903-70DF-4063-9D84-4F0F7349F354}"/>
    <cellStyle name="Comma 4 2 4 2 4 2 2 3" xfId="24881" xr:uid="{DDD2EB7C-A15F-46B7-9C0A-9A58A1AA522E}"/>
    <cellStyle name="Comma 4 2 4 2 4 2 3" xfId="12223" xr:uid="{44EBB9C5-6C70-4EA5-B6C1-B62EFEFC8696}"/>
    <cellStyle name="Comma 4 2 4 2 4 2 4" xfId="20664" xr:uid="{B0C227B0-ED50-4E39-8189-D072C3B72301}"/>
    <cellStyle name="Comma 4 2 4 2 4 3" xfId="5854" xr:uid="{00000000-0005-0000-0000-0000C2080000}"/>
    <cellStyle name="Comma 4 2 4 2 4 3 2" xfId="14296" xr:uid="{1B3C1B43-B100-471A-94CD-35C7C5080616}"/>
    <cellStyle name="Comma 4 2 4 2 4 3 3" xfId="22736" xr:uid="{1FD2DEED-0079-41DC-A8EB-F25C4905708B}"/>
    <cellStyle name="Comma 4 2 4 2 4 4" xfId="10078" xr:uid="{AD6AF0E6-9F8D-4282-ACAC-B1F0C2935939}"/>
    <cellStyle name="Comma 4 2 4 2 4 5" xfId="18519" xr:uid="{2196151F-0A49-48EC-A789-19DE87FD71F1}"/>
    <cellStyle name="Comma 4 2 4 2 5" xfId="1960" xr:uid="{00000000-0005-0000-0000-0000C3080000}"/>
    <cellStyle name="Comma 4 2 4 2 5 2" xfId="4189" xr:uid="{00000000-0005-0000-0000-0000C4080000}"/>
    <cellStyle name="Comma 4 2 4 2 5 2 2" xfId="8412" xr:uid="{00000000-0005-0000-0000-0000C5080000}"/>
    <cellStyle name="Comma 4 2 4 2 5 2 2 2" xfId="16854" xr:uid="{C9FF2C17-A899-4E9E-A87A-F2A56869719F}"/>
    <cellStyle name="Comma 4 2 4 2 5 2 2 3" xfId="25294" xr:uid="{9EC8F418-D1B4-4039-B97E-99496E3C98E5}"/>
    <cellStyle name="Comma 4 2 4 2 5 2 3" xfId="12636" xr:uid="{2A510FDC-9F59-4567-8C2A-27AFB8C82EED}"/>
    <cellStyle name="Comma 4 2 4 2 5 2 4" xfId="21077" xr:uid="{CF199EEB-C86E-46D5-BD18-BE2501B75DD3}"/>
    <cellStyle name="Comma 4 2 4 2 5 3" xfId="6267" xr:uid="{00000000-0005-0000-0000-0000C6080000}"/>
    <cellStyle name="Comma 4 2 4 2 5 3 2" xfId="14709" xr:uid="{57B01F10-FBB1-471A-9DD8-AF5AFD17450A}"/>
    <cellStyle name="Comma 4 2 4 2 5 3 3" xfId="23149" xr:uid="{E41B594D-3D08-4197-B085-025CCDFEB0DD}"/>
    <cellStyle name="Comma 4 2 4 2 5 4" xfId="10491" xr:uid="{B3452548-5E38-49DC-B733-AFC8CA2C07C5}"/>
    <cellStyle name="Comma 4 2 4 2 5 5" xfId="18932" xr:uid="{8E6CE446-D073-41EA-8A88-C0DA9F27E656}"/>
    <cellStyle name="Comma 4 2 4 2 6" xfId="2395" xr:uid="{00000000-0005-0000-0000-0000C7080000}"/>
    <cellStyle name="Comma 4 2 4 2 6 2" xfId="6680" xr:uid="{00000000-0005-0000-0000-0000C8080000}"/>
    <cellStyle name="Comma 4 2 4 2 6 2 2" xfId="15122" xr:uid="{D22413D6-CD05-4B63-AA14-95972A24C336}"/>
    <cellStyle name="Comma 4 2 4 2 6 2 3" xfId="23562" xr:uid="{0B290690-FCBF-46A9-AC22-7C6B8E370F25}"/>
    <cellStyle name="Comma 4 2 4 2 6 3" xfId="10904" xr:uid="{6656143A-D010-4BB3-A582-FC0E09ED232B}"/>
    <cellStyle name="Comma 4 2 4 2 6 4" xfId="19345" xr:uid="{F3F4388A-B4AC-40E3-8B93-E26A54EE8B36}"/>
    <cellStyle name="Comma 4 2 4 2 7" xfId="2368" xr:uid="{00000000-0005-0000-0000-0000C9080000}"/>
    <cellStyle name="Comma 4 2 4 2 8" xfId="2773" xr:uid="{00000000-0005-0000-0000-0000CA080000}"/>
    <cellStyle name="Comma 4 2 4 2 8 2" xfId="6997" xr:uid="{00000000-0005-0000-0000-0000CB080000}"/>
    <cellStyle name="Comma 4 2 4 2 8 2 2" xfId="15439" xr:uid="{25DBC1C7-88BB-4C10-BB77-80F692F9FA0D}"/>
    <cellStyle name="Comma 4 2 4 2 8 2 3" xfId="23879" xr:uid="{70932F05-AD8A-4A31-8828-A1E4BFFB92E1}"/>
    <cellStyle name="Comma 4 2 4 2 8 3" xfId="11221" xr:uid="{DC775D32-1F24-4C13-9658-13A0E35A859C}"/>
    <cellStyle name="Comma 4 2 4 2 8 4" xfId="19662" xr:uid="{8FB21621-8D27-4F4C-A87B-177C77C15D65}"/>
    <cellStyle name="Comma 4 2 4 2 9" xfId="4614" xr:uid="{00000000-0005-0000-0000-0000CC080000}"/>
    <cellStyle name="Comma 4 2 4 2 9 2" xfId="13056" xr:uid="{0F622814-E1D1-4D51-A466-BA813074DB56}"/>
    <cellStyle name="Comma 4 2 4 2 9 3" xfId="21496" xr:uid="{6C8F4ABB-A773-469F-AB07-B31EF5DC458B}"/>
    <cellStyle name="Comma 4 2 4 3" xfId="678" xr:uid="{00000000-0005-0000-0000-0000CD080000}"/>
    <cellStyle name="Comma 4 2 4 3 2" xfId="2949" xr:uid="{00000000-0005-0000-0000-0000CE080000}"/>
    <cellStyle name="Comma 4 2 4 3 2 2" xfId="7172" xr:uid="{00000000-0005-0000-0000-0000CF080000}"/>
    <cellStyle name="Comma 4 2 4 3 2 2 2" xfId="15614" xr:uid="{07F0F8FE-296C-4403-928D-F9FA3AC1B9A4}"/>
    <cellStyle name="Comma 4 2 4 3 2 2 3" xfId="24054" xr:uid="{7DCF4A1A-898B-481C-9CAD-09E103C61142}"/>
    <cellStyle name="Comma 4 2 4 3 2 3" xfId="11396" xr:uid="{B1C7F338-9263-4474-BD7F-666C7AA15EC5}"/>
    <cellStyle name="Comma 4 2 4 3 2 4" xfId="19837" xr:uid="{D32382A7-3408-4750-9A1C-1108696873C9}"/>
    <cellStyle name="Comma 4 2 4 3 3" xfId="5027" xr:uid="{00000000-0005-0000-0000-0000D0080000}"/>
    <cellStyle name="Comma 4 2 4 3 3 2" xfId="13469" xr:uid="{BE4B3FA0-B318-4A25-84F2-1EF6ED6D6430}"/>
    <cellStyle name="Comma 4 2 4 3 3 3" xfId="21909" xr:uid="{850BACC2-8EBA-44DE-A007-FA0B48E69575}"/>
    <cellStyle name="Comma 4 2 4 3 4" xfId="9251" xr:uid="{BF2F6C34-4961-4BBF-967D-3231D33412FF}"/>
    <cellStyle name="Comma 4 2 4 3 5" xfId="17692" xr:uid="{F77B1AF2-4279-40F6-87B5-0324FE40311E}"/>
    <cellStyle name="Comma 4 2 4 4" xfId="1131" xr:uid="{00000000-0005-0000-0000-0000D1080000}"/>
    <cellStyle name="Comma 4 2 4 4 2" xfId="3362" xr:uid="{00000000-0005-0000-0000-0000D2080000}"/>
    <cellStyle name="Comma 4 2 4 4 2 2" xfId="7585" xr:uid="{00000000-0005-0000-0000-0000D3080000}"/>
    <cellStyle name="Comma 4 2 4 4 2 2 2" xfId="16027" xr:uid="{F74AF0C2-EBDF-4C5A-AB7D-1EB0A20ADA44}"/>
    <cellStyle name="Comma 4 2 4 4 2 2 3" xfId="24467" xr:uid="{88CBF5EC-EE07-4498-A441-A40FCD3A468A}"/>
    <cellStyle name="Comma 4 2 4 4 2 3" xfId="11809" xr:uid="{2FAE5508-1E8B-458E-BB60-3099A590D67B}"/>
    <cellStyle name="Comma 4 2 4 4 2 4" xfId="20250" xr:uid="{022FDED2-5D9B-40C7-B4DE-B8085394F723}"/>
    <cellStyle name="Comma 4 2 4 4 3" xfId="5440" xr:uid="{00000000-0005-0000-0000-0000D4080000}"/>
    <cellStyle name="Comma 4 2 4 4 3 2" xfId="13882" xr:uid="{19320829-0FFF-495F-8154-871ABBF599B1}"/>
    <cellStyle name="Comma 4 2 4 4 3 3" xfId="22322" xr:uid="{3A290590-6786-46F7-A116-37A5826EA2D9}"/>
    <cellStyle name="Comma 4 2 4 4 4" xfId="9664" xr:uid="{3956641D-B208-41CA-9696-1A53A47F464A}"/>
    <cellStyle name="Comma 4 2 4 4 5" xfId="18105" xr:uid="{B66DEC56-B0CB-4C06-BEDC-C6C06C68AA3E}"/>
    <cellStyle name="Comma 4 2 4 5" xfId="1545" xr:uid="{00000000-0005-0000-0000-0000D5080000}"/>
    <cellStyle name="Comma 4 2 4 5 2" xfId="3775" xr:uid="{00000000-0005-0000-0000-0000D6080000}"/>
    <cellStyle name="Comma 4 2 4 5 2 2" xfId="7998" xr:uid="{00000000-0005-0000-0000-0000D7080000}"/>
    <cellStyle name="Comma 4 2 4 5 2 2 2" xfId="16440" xr:uid="{CD0F7AB7-E21F-43B4-BBB4-AD5224849B6E}"/>
    <cellStyle name="Comma 4 2 4 5 2 2 3" xfId="24880" xr:uid="{9D141EAC-08D9-4CB1-970A-A3F029EB4BF3}"/>
    <cellStyle name="Comma 4 2 4 5 2 3" xfId="12222" xr:uid="{674EFA43-22D2-4B25-A0A5-E0E04F801232}"/>
    <cellStyle name="Comma 4 2 4 5 2 4" xfId="20663" xr:uid="{DB74C6A2-19E5-4BC0-B28B-00785A4560FC}"/>
    <cellStyle name="Comma 4 2 4 5 3" xfId="5853" xr:uid="{00000000-0005-0000-0000-0000D8080000}"/>
    <cellStyle name="Comma 4 2 4 5 3 2" xfId="14295" xr:uid="{5E923790-2658-4943-A540-22BC6E5F3178}"/>
    <cellStyle name="Comma 4 2 4 5 3 3" xfId="22735" xr:uid="{E75D62E1-6029-4BB3-B972-D6EA85B7B308}"/>
    <cellStyle name="Comma 4 2 4 5 4" xfId="10077" xr:uid="{F14413CA-C52D-4C33-81E8-1940256FF61B}"/>
    <cellStyle name="Comma 4 2 4 5 5" xfId="18518" xr:uid="{FAD440CB-952C-47AE-920C-B035F761A0CE}"/>
    <cellStyle name="Comma 4 2 4 6" xfId="1959" xr:uid="{00000000-0005-0000-0000-0000D9080000}"/>
    <cellStyle name="Comma 4 2 4 6 2" xfId="4188" xr:uid="{00000000-0005-0000-0000-0000DA080000}"/>
    <cellStyle name="Comma 4 2 4 6 2 2" xfId="8411" xr:uid="{00000000-0005-0000-0000-0000DB080000}"/>
    <cellStyle name="Comma 4 2 4 6 2 2 2" xfId="16853" xr:uid="{E59DC699-AFCF-49BD-8CE1-72327BEACA5F}"/>
    <cellStyle name="Comma 4 2 4 6 2 2 3" xfId="25293" xr:uid="{08971808-D647-418D-ABFB-DC65CA850891}"/>
    <cellStyle name="Comma 4 2 4 6 2 3" xfId="12635" xr:uid="{CBC7EC37-A080-41D4-9F00-ED4BFCB80A90}"/>
    <cellStyle name="Comma 4 2 4 6 2 4" xfId="21076" xr:uid="{8E2C77A5-E4AC-4098-8CB5-FF562432285F}"/>
    <cellStyle name="Comma 4 2 4 6 3" xfId="6266" xr:uid="{00000000-0005-0000-0000-0000DC080000}"/>
    <cellStyle name="Comma 4 2 4 6 3 2" xfId="14708" xr:uid="{49D7C59A-830C-41BD-B944-FB0E15AB1EAF}"/>
    <cellStyle name="Comma 4 2 4 6 3 3" xfId="23148" xr:uid="{709BAF30-3F82-49C4-A079-22B08559F8C4}"/>
    <cellStyle name="Comma 4 2 4 6 4" xfId="10490" xr:uid="{1810647A-5F56-4229-949C-6B78B12CC0CE}"/>
    <cellStyle name="Comma 4 2 4 6 5" xfId="18931" xr:uid="{8100B363-9475-4A0C-B20E-6108F267EAC6}"/>
    <cellStyle name="Comma 4 2 4 7" xfId="2394" xr:uid="{00000000-0005-0000-0000-0000DD080000}"/>
    <cellStyle name="Comma 4 2 4 7 2" xfId="6679" xr:uid="{00000000-0005-0000-0000-0000DE080000}"/>
    <cellStyle name="Comma 4 2 4 7 2 2" xfId="15121" xr:uid="{6CB3F851-D4F4-413F-8D26-9F13FEBFA574}"/>
    <cellStyle name="Comma 4 2 4 7 2 3" xfId="23561" xr:uid="{621BE215-24CA-48C8-9777-FF2BD2A1CF7C}"/>
    <cellStyle name="Comma 4 2 4 7 3" xfId="10903" xr:uid="{87D93BC9-5DFE-46A9-B8D7-822160CD0F30}"/>
    <cellStyle name="Comma 4 2 4 7 4" xfId="19344" xr:uid="{ABA3FBD3-016B-43B8-9DA6-837AE17DFDA4}"/>
    <cellStyle name="Comma 4 2 4 8" xfId="2369" xr:uid="{00000000-0005-0000-0000-0000DF080000}"/>
    <cellStyle name="Comma 4 2 4 9" xfId="2772" xr:uid="{00000000-0005-0000-0000-0000E0080000}"/>
    <cellStyle name="Comma 4 2 4 9 2" xfId="6996" xr:uid="{00000000-0005-0000-0000-0000E1080000}"/>
    <cellStyle name="Comma 4 2 4 9 2 2" xfId="15438" xr:uid="{93832C24-5D82-415D-8C5A-23CBEA4AD5AF}"/>
    <cellStyle name="Comma 4 2 4 9 2 3" xfId="23878" xr:uid="{281343F9-FFE7-498F-86FC-49943E3155E4}"/>
    <cellStyle name="Comma 4 2 4 9 3" xfId="11220" xr:uid="{1721CC55-7C19-43CE-9B00-99170BC19E3E}"/>
    <cellStyle name="Comma 4 2 4 9 4" xfId="19661" xr:uid="{B8B5C61F-9F25-4D86-8326-73DDDBDBF4AC}"/>
    <cellStyle name="Comma 4 2 5" xfId="142" xr:uid="{00000000-0005-0000-0000-0000E2080000}"/>
    <cellStyle name="Comma 4 2 5 10" xfId="8839" xr:uid="{A7C6947C-FB75-4CF9-A9EE-6AC7AB59D362}"/>
    <cellStyle name="Comma 4 2 5 11" xfId="17280" xr:uid="{A4E459BA-C2A1-412F-8DD9-B88A21E6E162}"/>
    <cellStyle name="Comma 4 2 5 2" xfId="680" xr:uid="{00000000-0005-0000-0000-0000E3080000}"/>
    <cellStyle name="Comma 4 2 5 2 2" xfId="2951" xr:uid="{00000000-0005-0000-0000-0000E4080000}"/>
    <cellStyle name="Comma 4 2 5 2 2 2" xfId="7174" xr:uid="{00000000-0005-0000-0000-0000E5080000}"/>
    <cellStyle name="Comma 4 2 5 2 2 2 2" xfId="15616" xr:uid="{48626457-9581-4486-A433-B155F921F4C2}"/>
    <cellStyle name="Comma 4 2 5 2 2 2 3" xfId="24056" xr:uid="{F824A346-8AFB-4DD6-9CD6-539689722DC3}"/>
    <cellStyle name="Comma 4 2 5 2 2 3" xfId="11398" xr:uid="{95666E98-4119-4DF1-9422-EA9141C016EC}"/>
    <cellStyle name="Comma 4 2 5 2 2 4" xfId="19839" xr:uid="{933A8E14-26A1-4827-BB51-A9D30B807F79}"/>
    <cellStyle name="Comma 4 2 5 2 3" xfId="5029" xr:uid="{00000000-0005-0000-0000-0000E6080000}"/>
    <cellStyle name="Comma 4 2 5 2 3 2" xfId="13471" xr:uid="{9C8C4076-A8E6-4526-BC8D-E34AF1B1F43C}"/>
    <cellStyle name="Comma 4 2 5 2 3 3" xfId="21911" xr:uid="{2346F8F8-28AB-41FE-B526-5AD23D1B8356}"/>
    <cellStyle name="Comma 4 2 5 2 4" xfId="9253" xr:uid="{FED605B2-7F05-45B1-ACB0-26A7F94BF099}"/>
    <cellStyle name="Comma 4 2 5 2 5" xfId="17694" xr:uid="{BD910E9F-5412-411E-8844-77C6224E0444}"/>
    <cellStyle name="Comma 4 2 5 3" xfId="1133" xr:uid="{00000000-0005-0000-0000-0000E7080000}"/>
    <cellStyle name="Comma 4 2 5 3 2" xfId="3364" xr:uid="{00000000-0005-0000-0000-0000E8080000}"/>
    <cellStyle name="Comma 4 2 5 3 2 2" xfId="7587" xr:uid="{00000000-0005-0000-0000-0000E9080000}"/>
    <cellStyle name="Comma 4 2 5 3 2 2 2" xfId="16029" xr:uid="{FA97CC2D-600B-4E9A-ACB1-CDEFE2CB45BF}"/>
    <cellStyle name="Comma 4 2 5 3 2 2 3" xfId="24469" xr:uid="{20824B27-B0BA-4D4C-8CBB-50F1B3B8BB5D}"/>
    <cellStyle name="Comma 4 2 5 3 2 3" xfId="11811" xr:uid="{64A2DA1D-84D3-4413-91B9-CF344211A534}"/>
    <cellStyle name="Comma 4 2 5 3 2 4" xfId="20252" xr:uid="{E5F7ACA3-64EE-4B0F-AB3A-49D180CEC612}"/>
    <cellStyle name="Comma 4 2 5 3 3" xfId="5442" xr:uid="{00000000-0005-0000-0000-0000EA080000}"/>
    <cellStyle name="Comma 4 2 5 3 3 2" xfId="13884" xr:uid="{47E64B40-8C2A-4A12-9FC8-45F45FEE0B5B}"/>
    <cellStyle name="Comma 4 2 5 3 3 3" xfId="22324" xr:uid="{7A6D0B01-A822-468F-8D87-68C18B5E2D81}"/>
    <cellStyle name="Comma 4 2 5 3 4" xfId="9666" xr:uid="{A7790E5B-5ED1-44C8-8C83-96A416C369FC}"/>
    <cellStyle name="Comma 4 2 5 3 5" xfId="18107" xr:uid="{D1E95481-0391-40B2-95D6-A2663069C16B}"/>
    <cellStyle name="Comma 4 2 5 4" xfId="1547" xr:uid="{00000000-0005-0000-0000-0000EB080000}"/>
    <cellStyle name="Comma 4 2 5 4 2" xfId="3777" xr:uid="{00000000-0005-0000-0000-0000EC080000}"/>
    <cellStyle name="Comma 4 2 5 4 2 2" xfId="8000" xr:uid="{00000000-0005-0000-0000-0000ED080000}"/>
    <cellStyle name="Comma 4 2 5 4 2 2 2" xfId="16442" xr:uid="{55A7C6C3-D433-4ECF-9F2A-E1C42B659165}"/>
    <cellStyle name="Comma 4 2 5 4 2 2 3" xfId="24882" xr:uid="{40535D46-48A8-464D-8CED-FE9DB752E54F}"/>
    <cellStyle name="Comma 4 2 5 4 2 3" xfId="12224" xr:uid="{0C5F1E12-AF53-4E9C-9A97-CA9E23DD4D96}"/>
    <cellStyle name="Comma 4 2 5 4 2 4" xfId="20665" xr:uid="{3DE88F3C-95C7-4C82-943D-D35E6AEBBB94}"/>
    <cellStyle name="Comma 4 2 5 4 3" xfId="5855" xr:uid="{00000000-0005-0000-0000-0000EE080000}"/>
    <cellStyle name="Comma 4 2 5 4 3 2" xfId="14297" xr:uid="{8BE2BFCD-A583-4397-8F7D-68F587ECDD54}"/>
    <cellStyle name="Comma 4 2 5 4 3 3" xfId="22737" xr:uid="{26288F97-A6AF-4097-8DFE-35705CFECD4C}"/>
    <cellStyle name="Comma 4 2 5 4 4" xfId="10079" xr:uid="{3CE05F5C-5F09-4A83-AD3D-0AEBE3FF7D25}"/>
    <cellStyle name="Comma 4 2 5 4 5" xfId="18520" xr:uid="{35FEBF88-BE8F-4382-AFDC-362AE56E0A7E}"/>
    <cellStyle name="Comma 4 2 5 5" xfId="1961" xr:uid="{00000000-0005-0000-0000-0000EF080000}"/>
    <cellStyle name="Comma 4 2 5 5 2" xfId="4190" xr:uid="{00000000-0005-0000-0000-0000F0080000}"/>
    <cellStyle name="Comma 4 2 5 5 2 2" xfId="8413" xr:uid="{00000000-0005-0000-0000-0000F1080000}"/>
    <cellStyle name="Comma 4 2 5 5 2 2 2" xfId="16855" xr:uid="{E8727635-0E09-4D80-AF44-1EA4623DA68E}"/>
    <cellStyle name="Comma 4 2 5 5 2 2 3" xfId="25295" xr:uid="{66BC28F9-52DA-40BD-8789-F9FDC82EBFBC}"/>
    <cellStyle name="Comma 4 2 5 5 2 3" xfId="12637" xr:uid="{5A8EE8EB-FB8F-43FB-8354-52211A2F6CF8}"/>
    <cellStyle name="Comma 4 2 5 5 2 4" xfId="21078" xr:uid="{03DBB617-6057-4312-B095-5C9166172527}"/>
    <cellStyle name="Comma 4 2 5 5 3" xfId="6268" xr:uid="{00000000-0005-0000-0000-0000F2080000}"/>
    <cellStyle name="Comma 4 2 5 5 3 2" xfId="14710" xr:uid="{080D547C-E463-43D1-BD70-539F95C1EAB8}"/>
    <cellStyle name="Comma 4 2 5 5 3 3" xfId="23150" xr:uid="{B75E0F11-0C4A-4653-8262-95CFB1E97AD2}"/>
    <cellStyle name="Comma 4 2 5 5 4" xfId="10492" xr:uid="{29F71C0D-8427-4B4F-AFC7-694E25FEB77B}"/>
    <cellStyle name="Comma 4 2 5 5 5" xfId="18933" xr:uid="{9CFD436E-EDFF-447A-B575-A8E3EB6929DC}"/>
    <cellStyle name="Comma 4 2 5 6" xfId="2396" xr:uid="{00000000-0005-0000-0000-0000F3080000}"/>
    <cellStyle name="Comma 4 2 5 6 2" xfId="6681" xr:uid="{00000000-0005-0000-0000-0000F4080000}"/>
    <cellStyle name="Comma 4 2 5 6 2 2" xfId="15123" xr:uid="{EE6CAECA-FC5C-45D3-A8DF-6A8AD2BDFBC9}"/>
    <cellStyle name="Comma 4 2 5 6 2 3" xfId="23563" xr:uid="{47299281-2F67-4780-9BE3-0418047654FB}"/>
    <cellStyle name="Comma 4 2 5 6 3" xfId="10905" xr:uid="{35FE3CF3-DD48-46A1-AE30-C6B498B86800}"/>
    <cellStyle name="Comma 4 2 5 6 4" xfId="19346" xr:uid="{A50580CC-AFEE-4DAF-81F4-6FA8EEC84309}"/>
    <cellStyle name="Comma 4 2 5 7" xfId="2367" xr:uid="{00000000-0005-0000-0000-0000F5080000}"/>
    <cellStyle name="Comma 4 2 5 8" xfId="2774" xr:uid="{00000000-0005-0000-0000-0000F6080000}"/>
    <cellStyle name="Comma 4 2 5 8 2" xfId="6998" xr:uid="{00000000-0005-0000-0000-0000F7080000}"/>
    <cellStyle name="Comma 4 2 5 8 2 2" xfId="15440" xr:uid="{804D7F27-6F45-4ECD-B3FE-2E8A72C104F2}"/>
    <cellStyle name="Comma 4 2 5 8 2 3" xfId="23880" xr:uid="{3FE962DF-7DFB-4BB6-B01D-35BD70466D0B}"/>
    <cellStyle name="Comma 4 2 5 8 3" xfId="11222" xr:uid="{DC68D196-E91B-42C4-8BCF-A134E409AF87}"/>
    <cellStyle name="Comma 4 2 5 8 4" xfId="19663" xr:uid="{979216AC-EEC3-48CB-A3EE-E5CC8A948EA5}"/>
    <cellStyle name="Comma 4 2 5 9" xfId="4615" xr:uid="{00000000-0005-0000-0000-0000F8080000}"/>
    <cellStyle name="Comma 4 2 5 9 2" xfId="13057" xr:uid="{31F61502-6BAF-44C0-9D63-AB945985E7BD}"/>
    <cellStyle name="Comma 4 2 5 9 3" xfId="21497" xr:uid="{615CDCA2-C55F-4F4E-BED1-18BC497065C7}"/>
    <cellStyle name="Comma 4 2 6" xfId="143" xr:uid="{00000000-0005-0000-0000-0000F9080000}"/>
    <cellStyle name="Comma 4 2 6 10" xfId="8840" xr:uid="{901F159F-5F75-4795-B5EC-A68190969EBE}"/>
    <cellStyle name="Comma 4 2 6 11" xfId="17281" xr:uid="{5B386B86-C274-4280-87D9-2D03404B016B}"/>
    <cellStyle name="Comma 4 2 6 2" xfId="681" xr:uid="{00000000-0005-0000-0000-0000FA080000}"/>
    <cellStyle name="Comma 4 2 6 2 2" xfId="2952" xr:uid="{00000000-0005-0000-0000-0000FB080000}"/>
    <cellStyle name="Comma 4 2 6 2 2 2" xfId="7175" xr:uid="{00000000-0005-0000-0000-0000FC080000}"/>
    <cellStyle name="Comma 4 2 6 2 2 2 2" xfId="15617" xr:uid="{FEFBB474-E243-4E61-8171-997E2C85B038}"/>
    <cellStyle name="Comma 4 2 6 2 2 2 3" xfId="24057" xr:uid="{13E9AE62-4EBF-4318-ABE3-3581410B151F}"/>
    <cellStyle name="Comma 4 2 6 2 2 3" xfId="11399" xr:uid="{44DF1DD4-3723-4F5D-9CB1-C3DF577CF747}"/>
    <cellStyle name="Comma 4 2 6 2 2 4" xfId="19840" xr:uid="{B8458858-87C7-475A-9C6E-7F9F7F71C5D6}"/>
    <cellStyle name="Comma 4 2 6 2 3" xfId="5030" xr:uid="{00000000-0005-0000-0000-0000FD080000}"/>
    <cellStyle name="Comma 4 2 6 2 3 2" xfId="13472" xr:uid="{27584FDC-D181-4A6A-BA4F-81CB14D3AE83}"/>
    <cellStyle name="Comma 4 2 6 2 3 3" xfId="21912" xr:uid="{6F1E6102-08A5-4B4C-9D74-3A7A26B9E7F3}"/>
    <cellStyle name="Comma 4 2 6 2 4" xfId="9254" xr:uid="{EF3E6647-0857-46C2-BD86-A671ABE6D644}"/>
    <cellStyle name="Comma 4 2 6 2 5" xfId="17695" xr:uid="{E6A0C450-5764-4444-9CCE-D354944D5575}"/>
    <cellStyle name="Comma 4 2 6 3" xfId="1134" xr:uid="{00000000-0005-0000-0000-0000FE080000}"/>
    <cellStyle name="Comma 4 2 6 3 2" xfId="3365" xr:uid="{00000000-0005-0000-0000-0000FF080000}"/>
    <cellStyle name="Comma 4 2 6 3 2 2" xfId="7588" xr:uid="{00000000-0005-0000-0000-000000090000}"/>
    <cellStyle name="Comma 4 2 6 3 2 2 2" xfId="16030" xr:uid="{29C4D4D3-C926-4DFC-98F1-D54A29B0C1E2}"/>
    <cellStyle name="Comma 4 2 6 3 2 2 3" xfId="24470" xr:uid="{2630DD25-99DB-43B7-9FCA-C8F3137E5C72}"/>
    <cellStyle name="Comma 4 2 6 3 2 3" xfId="11812" xr:uid="{B8A3C60D-3EE5-4147-B0FF-FB8B9C8F85FD}"/>
    <cellStyle name="Comma 4 2 6 3 2 4" xfId="20253" xr:uid="{199FAD22-DDE1-4A76-BD9B-F304031270BE}"/>
    <cellStyle name="Comma 4 2 6 3 3" xfId="5443" xr:uid="{00000000-0005-0000-0000-000001090000}"/>
    <cellStyle name="Comma 4 2 6 3 3 2" xfId="13885" xr:uid="{394C8F04-8715-4258-8C58-1DA25641E1C6}"/>
    <cellStyle name="Comma 4 2 6 3 3 3" xfId="22325" xr:uid="{741C6E19-368A-46FD-AB30-F287575594D7}"/>
    <cellStyle name="Comma 4 2 6 3 4" xfId="9667" xr:uid="{D9D36103-F1E6-4BEF-9680-869EDE38B825}"/>
    <cellStyle name="Comma 4 2 6 3 5" xfId="18108" xr:uid="{F2DE9882-A1AE-436E-B0CE-9DEA8BA83BE3}"/>
    <cellStyle name="Comma 4 2 6 4" xfId="1548" xr:uid="{00000000-0005-0000-0000-000002090000}"/>
    <cellStyle name="Comma 4 2 6 4 2" xfId="3778" xr:uid="{00000000-0005-0000-0000-000003090000}"/>
    <cellStyle name="Comma 4 2 6 4 2 2" xfId="8001" xr:uid="{00000000-0005-0000-0000-000004090000}"/>
    <cellStyle name="Comma 4 2 6 4 2 2 2" xfId="16443" xr:uid="{0A42D0A4-5B2E-4ADF-866E-437E17A4E3FC}"/>
    <cellStyle name="Comma 4 2 6 4 2 2 3" xfId="24883" xr:uid="{E98041CC-39FE-41D6-9C03-A4C7AE932560}"/>
    <cellStyle name="Comma 4 2 6 4 2 3" xfId="12225" xr:uid="{E80BAA3A-600B-401C-A935-2D92AE207B47}"/>
    <cellStyle name="Comma 4 2 6 4 2 4" xfId="20666" xr:uid="{24170A3C-50A7-4566-801F-55B75A306C31}"/>
    <cellStyle name="Comma 4 2 6 4 3" xfId="5856" xr:uid="{00000000-0005-0000-0000-000005090000}"/>
    <cellStyle name="Comma 4 2 6 4 3 2" xfId="14298" xr:uid="{1B62A6BA-A42E-4CF9-926A-410BF38CE60C}"/>
    <cellStyle name="Comma 4 2 6 4 3 3" xfId="22738" xr:uid="{AE551858-E202-4A5E-B120-E151D0EE097F}"/>
    <cellStyle name="Comma 4 2 6 4 4" xfId="10080" xr:uid="{CE13BE67-E4E8-4A14-9160-78B804E8B5B3}"/>
    <cellStyle name="Comma 4 2 6 4 5" xfId="18521" xr:uid="{2358648C-F4A9-4EC2-AF04-780E8EFF83BD}"/>
    <cellStyle name="Comma 4 2 6 5" xfId="1962" xr:uid="{00000000-0005-0000-0000-000006090000}"/>
    <cellStyle name="Comma 4 2 6 5 2" xfId="4191" xr:uid="{00000000-0005-0000-0000-000007090000}"/>
    <cellStyle name="Comma 4 2 6 5 2 2" xfId="8414" xr:uid="{00000000-0005-0000-0000-000008090000}"/>
    <cellStyle name="Comma 4 2 6 5 2 2 2" xfId="16856" xr:uid="{900199D4-364D-4E97-8F27-0BA36872A721}"/>
    <cellStyle name="Comma 4 2 6 5 2 2 3" xfId="25296" xr:uid="{8CAA91D3-437C-4ECE-B366-E6A1E8A6E0B6}"/>
    <cellStyle name="Comma 4 2 6 5 2 3" xfId="12638" xr:uid="{F35684EF-7E22-49C2-A105-BFD7D0DB6E2B}"/>
    <cellStyle name="Comma 4 2 6 5 2 4" xfId="21079" xr:uid="{3858DBFF-8DFC-446F-A0BB-45D66B60AEB3}"/>
    <cellStyle name="Comma 4 2 6 5 3" xfId="6269" xr:uid="{00000000-0005-0000-0000-000009090000}"/>
    <cellStyle name="Comma 4 2 6 5 3 2" xfId="14711" xr:uid="{310F3192-DBD0-4C2F-B80C-BE68B2EF4B3C}"/>
    <cellStyle name="Comma 4 2 6 5 3 3" xfId="23151" xr:uid="{60466638-70A1-4C32-A272-E2CF84CF6F6F}"/>
    <cellStyle name="Comma 4 2 6 5 4" xfId="10493" xr:uid="{648FFCD0-6F3A-47E1-B672-687156F87D85}"/>
    <cellStyle name="Comma 4 2 6 5 5" xfId="18934" xr:uid="{F8B09A57-B27D-42FE-987D-11CA2F96E501}"/>
    <cellStyle name="Comma 4 2 6 6" xfId="2397" xr:uid="{00000000-0005-0000-0000-00000A090000}"/>
    <cellStyle name="Comma 4 2 6 6 2" xfId="6682" xr:uid="{00000000-0005-0000-0000-00000B090000}"/>
    <cellStyle name="Comma 4 2 6 6 2 2" xfId="15124" xr:uid="{1CF9A1DD-7989-4289-A5A2-0D7213096F6D}"/>
    <cellStyle name="Comma 4 2 6 6 2 3" xfId="23564" xr:uid="{716D9F7F-87B0-4630-872E-B8E36314B39C}"/>
    <cellStyle name="Comma 4 2 6 6 3" xfId="10906" xr:uid="{71E73E22-6003-46EA-B84B-065DE603BFA8}"/>
    <cellStyle name="Comma 4 2 6 6 4" xfId="19347" xr:uid="{84A3330B-2F31-4A6A-A21D-B1AB5C53B76F}"/>
    <cellStyle name="Comma 4 2 6 7" xfId="2366" xr:uid="{00000000-0005-0000-0000-00000C090000}"/>
    <cellStyle name="Comma 4 2 6 8" xfId="2775" xr:uid="{00000000-0005-0000-0000-00000D090000}"/>
    <cellStyle name="Comma 4 2 6 8 2" xfId="6999" xr:uid="{00000000-0005-0000-0000-00000E090000}"/>
    <cellStyle name="Comma 4 2 6 8 2 2" xfId="15441" xr:uid="{74491729-D706-43AB-B79D-993785B89C8C}"/>
    <cellStyle name="Comma 4 2 6 8 2 3" xfId="23881" xr:uid="{FD6B7C39-86FE-4D62-8E32-6D2E555762D0}"/>
    <cellStyle name="Comma 4 2 6 8 3" xfId="11223" xr:uid="{56E55D72-3C28-499E-AF25-F94956E1AA98}"/>
    <cellStyle name="Comma 4 2 6 8 4" xfId="19664" xr:uid="{65C0D9D4-1BD4-4A94-9434-8B2F1916625F}"/>
    <cellStyle name="Comma 4 2 6 9" xfId="4616" xr:uid="{00000000-0005-0000-0000-00000F090000}"/>
    <cellStyle name="Comma 4 2 6 9 2" xfId="13058" xr:uid="{AE2A7951-353E-4BC9-BDDD-3A13E7C7A752}"/>
    <cellStyle name="Comma 4 2 6 9 3" xfId="21498" xr:uid="{83824066-33BB-4A69-B89C-A789644AA6E5}"/>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15442" xr:uid="{3370367F-B351-4317-8AD2-98CF3DD7464D}"/>
    <cellStyle name="Comma 4 3 2 10 2 3" xfId="23882" xr:uid="{DF1D7698-9940-4928-9058-D188B14FEC62}"/>
    <cellStyle name="Comma 4 3 2 10 3" xfId="11224" xr:uid="{AD5755DB-E1A2-4833-8D83-4ADD9214948D}"/>
    <cellStyle name="Comma 4 3 2 10 4" xfId="19665" xr:uid="{94467D9B-0C11-48C8-AE82-E64E8F4544F5}"/>
    <cellStyle name="Comma 4 3 2 11" xfId="4617" xr:uid="{00000000-0005-0000-0000-000014090000}"/>
    <cellStyle name="Comma 4 3 2 11 2" xfId="13059" xr:uid="{602629E4-21AD-48FB-90BE-E76777E6BCE1}"/>
    <cellStyle name="Comma 4 3 2 11 3" xfId="21499" xr:uid="{B29461A9-95C9-452F-B5C7-3E2F666EEC42}"/>
    <cellStyle name="Comma 4 3 2 12" xfId="8841" xr:uid="{B67C674C-E8C6-45CB-8C88-3C41605B5549}"/>
    <cellStyle name="Comma 4 3 2 13" xfId="17282" xr:uid="{BC65D70C-1358-4836-A788-AF8CC3E11E72}"/>
    <cellStyle name="Comma 4 3 2 2" xfId="146" xr:uid="{00000000-0005-0000-0000-000015090000}"/>
    <cellStyle name="Comma 4 3 2 2 10" xfId="4618" xr:uid="{00000000-0005-0000-0000-000016090000}"/>
    <cellStyle name="Comma 4 3 2 2 10 2" xfId="13060" xr:uid="{45987483-50DB-4E4C-B15E-AF0C324D5D4C}"/>
    <cellStyle name="Comma 4 3 2 2 10 3" xfId="21500" xr:uid="{5D70898F-F84A-4F11-954B-C24DF58455C5}"/>
    <cellStyle name="Comma 4 3 2 2 11" xfId="8842" xr:uid="{6B8C5D50-94FB-4470-ADE8-F4DC109FE244}"/>
    <cellStyle name="Comma 4 3 2 2 12" xfId="17283" xr:uid="{1C92AF9C-2561-4F9F-9C51-B448B71F5E1C}"/>
    <cellStyle name="Comma 4 3 2 2 2" xfId="147" xr:uid="{00000000-0005-0000-0000-000017090000}"/>
    <cellStyle name="Comma 4 3 2 2 2 10" xfId="8843" xr:uid="{D7803414-607F-4935-8CF2-BA3F33EC3AA9}"/>
    <cellStyle name="Comma 4 3 2 2 2 11" xfId="17284" xr:uid="{DBC5B0DE-F00F-47A3-8597-1BDF6DD9CEC4}"/>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15620" xr:uid="{349A9ED3-D623-499C-8C96-BD7607C548F8}"/>
    <cellStyle name="Comma 4 3 2 2 2 2 2 2 3" xfId="24060" xr:uid="{AD8C12FA-C4DD-439C-9C8E-0D9A3A117AC4}"/>
    <cellStyle name="Comma 4 3 2 2 2 2 2 3" xfId="11402" xr:uid="{DA9AFD31-0086-45C9-BE04-2B40C41EE585}"/>
    <cellStyle name="Comma 4 3 2 2 2 2 2 4" xfId="19843" xr:uid="{559D07DD-08CA-44F3-810B-8AA4AE454F29}"/>
    <cellStyle name="Comma 4 3 2 2 2 2 3" xfId="5033" xr:uid="{00000000-0005-0000-0000-00001B090000}"/>
    <cellStyle name="Comma 4 3 2 2 2 2 3 2" xfId="13475" xr:uid="{ECF58AC7-18DF-41D8-BAE6-4CBDB080CB6B}"/>
    <cellStyle name="Comma 4 3 2 2 2 2 3 3" xfId="21915" xr:uid="{B189A810-1EB8-4809-9B6E-B48CEE05E9CC}"/>
    <cellStyle name="Comma 4 3 2 2 2 2 4" xfId="9257" xr:uid="{60AAB75B-3131-4AF1-981C-7B282321DE8B}"/>
    <cellStyle name="Comma 4 3 2 2 2 2 5" xfId="17698" xr:uid="{A74B3EE5-2AF4-4F75-A0F2-6D6064D9E0CA}"/>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16033" xr:uid="{83B75A44-B465-40F9-8BC6-E0DABFD17315}"/>
    <cellStyle name="Comma 4 3 2 2 2 3 2 2 3" xfId="24473" xr:uid="{1E8EFAB6-003D-4DB9-8FBA-D89BCC731E2D}"/>
    <cellStyle name="Comma 4 3 2 2 2 3 2 3" xfId="11815" xr:uid="{CD93D519-00E1-4464-8C86-6B6A09F81493}"/>
    <cellStyle name="Comma 4 3 2 2 2 3 2 4" xfId="20256" xr:uid="{97617876-8B24-4F3F-981C-55898C0E7F09}"/>
    <cellStyle name="Comma 4 3 2 2 2 3 3" xfId="5446" xr:uid="{00000000-0005-0000-0000-00001F090000}"/>
    <cellStyle name="Comma 4 3 2 2 2 3 3 2" xfId="13888" xr:uid="{C84329A7-28CC-4FE9-B8B4-8A8B975081BF}"/>
    <cellStyle name="Comma 4 3 2 2 2 3 3 3" xfId="22328" xr:uid="{FBFD2596-085E-4734-AC6F-199D3FF5D79A}"/>
    <cellStyle name="Comma 4 3 2 2 2 3 4" xfId="9670" xr:uid="{73407246-D458-4AEC-9F91-43F9DD3C4C04}"/>
    <cellStyle name="Comma 4 3 2 2 2 3 5" xfId="18111" xr:uid="{E17BFA52-F065-4C5B-BE76-A3815A538C3D}"/>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16446" xr:uid="{BBD31AA1-CDA5-4CC3-A4A7-6709AC583969}"/>
    <cellStyle name="Comma 4 3 2 2 2 4 2 2 3" xfId="24886" xr:uid="{C1F8E903-7EE2-42A4-9962-F6AEC64E4F2C}"/>
    <cellStyle name="Comma 4 3 2 2 2 4 2 3" xfId="12228" xr:uid="{57D33425-2FD8-494A-94AD-198F20AA3366}"/>
    <cellStyle name="Comma 4 3 2 2 2 4 2 4" xfId="20669" xr:uid="{D832F32E-BEEE-4193-8937-C9F2ADCB86DC}"/>
    <cellStyle name="Comma 4 3 2 2 2 4 3" xfId="5859" xr:uid="{00000000-0005-0000-0000-000023090000}"/>
    <cellStyle name="Comma 4 3 2 2 2 4 3 2" xfId="14301" xr:uid="{4A521552-A6C8-40EA-9A46-1AB4C5F6DC66}"/>
    <cellStyle name="Comma 4 3 2 2 2 4 3 3" xfId="22741" xr:uid="{AA451BBB-EB4B-4E11-BDCA-8DE4BF845582}"/>
    <cellStyle name="Comma 4 3 2 2 2 4 4" xfId="10083" xr:uid="{23C26221-1300-41F8-975C-8E05E15E5BCD}"/>
    <cellStyle name="Comma 4 3 2 2 2 4 5" xfId="18524" xr:uid="{8AD03148-E98B-4511-8E41-98C713A728F7}"/>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16859" xr:uid="{66D121F7-F365-4795-8623-53A430165A0F}"/>
    <cellStyle name="Comma 4 3 2 2 2 5 2 2 3" xfId="25299" xr:uid="{A077C02A-7A40-4831-86F4-62861808F2C3}"/>
    <cellStyle name="Comma 4 3 2 2 2 5 2 3" xfId="12641" xr:uid="{3A44AC1A-D38E-429C-AE9D-F8457C34FF89}"/>
    <cellStyle name="Comma 4 3 2 2 2 5 2 4" xfId="21082" xr:uid="{E49420D5-994F-4490-9CB1-11FD26E3D845}"/>
    <cellStyle name="Comma 4 3 2 2 2 5 3" xfId="6272" xr:uid="{00000000-0005-0000-0000-000027090000}"/>
    <cellStyle name="Comma 4 3 2 2 2 5 3 2" xfId="14714" xr:uid="{17A7CE16-D9CC-47FE-9304-C765A60E2E68}"/>
    <cellStyle name="Comma 4 3 2 2 2 5 3 3" xfId="23154" xr:uid="{71B9F859-C396-4E67-8ED8-3034B7EA0A14}"/>
    <cellStyle name="Comma 4 3 2 2 2 5 4" xfId="10496" xr:uid="{22831D15-3045-4A7B-9F82-C02CD6FDFAB2}"/>
    <cellStyle name="Comma 4 3 2 2 2 5 5" xfId="18937" xr:uid="{F77E27A2-9DD9-4E5C-9746-9146DDE32542}"/>
    <cellStyle name="Comma 4 3 2 2 2 6" xfId="2400" xr:uid="{00000000-0005-0000-0000-000028090000}"/>
    <cellStyle name="Comma 4 3 2 2 2 6 2" xfId="6685" xr:uid="{00000000-0005-0000-0000-000029090000}"/>
    <cellStyle name="Comma 4 3 2 2 2 6 2 2" xfId="15127" xr:uid="{2BF7CD2C-007C-46BE-87F7-E9348064D52B}"/>
    <cellStyle name="Comma 4 3 2 2 2 6 2 3" xfId="23567" xr:uid="{024C6318-F1D5-408C-9756-4AAF30A377A3}"/>
    <cellStyle name="Comma 4 3 2 2 2 6 3" xfId="10909" xr:uid="{C38FB6DD-52AF-490B-A875-4386D781CBD5}"/>
    <cellStyle name="Comma 4 3 2 2 2 6 4" xfId="19350" xr:uid="{EF146587-2C31-4673-B5EF-563B5B332388}"/>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15444" xr:uid="{BFD57CE1-83FE-486A-A4BB-9CAB0BE9D67D}"/>
    <cellStyle name="Comma 4 3 2 2 2 8 2 3" xfId="23884" xr:uid="{A3F59083-C2AD-477B-9779-0EAC9B2AFFE1}"/>
    <cellStyle name="Comma 4 3 2 2 2 8 3" xfId="11226" xr:uid="{92499838-680E-4EDA-A003-EADE9FAB9432}"/>
    <cellStyle name="Comma 4 3 2 2 2 8 4" xfId="19667" xr:uid="{60D44EFC-23DE-4C7D-8BB6-8D0274E6732E}"/>
    <cellStyle name="Comma 4 3 2 2 2 9" xfId="4619" xr:uid="{00000000-0005-0000-0000-00002D090000}"/>
    <cellStyle name="Comma 4 3 2 2 2 9 2" xfId="13061" xr:uid="{B4B43940-3FC9-405A-A9F6-D9C5981A2223}"/>
    <cellStyle name="Comma 4 3 2 2 2 9 3" xfId="21501" xr:uid="{CC1FC92A-FFC7-4EB5-AFB1-33FEE32F01D1}"/>
    <cellStyle name="Comma 4 3 2 2 3" xfId="683" xr:uid="{00000000-0005-0000-0000-00002E090000}"/>
    <cellStyle name="Comma 4 3 2 2 3 2" xfId="2954" xr:uid="{00000000-0005-0000-0000-00002F090000}"/>
    <cellStyle name="Comma 4 3 2 2 3 2 2" xfId="7177" xr:uid="{00000000-0005-0000-0000-000030090000}"/>
    <cellStyle name="Comma 4 3 2 2 3 2 2 2" xfId="15619" xr:uid="{B02DE763-3FC8-44D2-86AF-250C75E15C7B}"/>
    <cellStyle name="Comma 4 3 2 2 3 2 2 3" xfId="24059" xr:uid="{075E2AEE-7818-4AEF-BF63-4C6AE06C2FA8}"/>
    <cellStyle name="Comma 4 3 2 2 3 2 3" xfId="11401" xr:uid="{1580D9F5-C8B8-4A60-BF58-0BEEF6EB80FD}"/>
    <cellStyle name="Comma 4 3 2 2 3 2 4" xfId="19842" xr:uid="{23D5E614-130E-4F83-9160-B0F5174397AE}"/>
    <cellStyle name="Comma 4 3 2 2 3 3" xfId="5032" xr:uid="{00000000-0005-0000-0000-000031090000}"/>
    <cellStyle name="Comma 4 3 2 2 3 3 2" xfId="13474" xr:uid="{F1335472-17D9-4CB9-804A-B44024BDFD7C}"/>
    <cellStyle name="Comma 4 3 2 2 3 3 3" xfId="21914" xr:uid="{07A9095A-BEB9-485D-A716-07303EF9D7EF}"/>
    <cellStyle name="Comma 4 3 2 2 3 4" xfId="9256" xr:uid="{171A66E1-4AED-4DD4-9CB1-72AFFC73E846}"/>
    <cellStyle name="Comma 4 3 2 2 3 5" xfId="17697" xr:uid="{3D54CD7C-ECE1-4D6A-B9EA-D6B810F50447}"/>
    <cellStyle name="Comma 4 3 2 2 4" xfId="1136" xr:uid="{00000000-0005-0000-0000-000032090000}"/>
    <cellStyle name="Comma 4 3 2 2 4 2" xfId="3367" xr:uid="{00000000-0005-0000-0000-000033090000}"/>
    <cellStyle name="Comma 4 3 2 2 4 2 2" xfId="7590" xr:uid="{00000000-0005-0000-0000-000034090000}"/>
    <cellStyle name="Comma 4 3 2 2 4 2 2 2" xfId="16032" xr:uid="{D003836B-4004-41BB-AE26-BA02244CC7ED}"/>
    <cellStyle name="Comma 4 3 2 2 4 2 2 3" xfId="24472" xr:uid="{D41F2A5D-D64C-4A8A-A824-283638EFE42F}"/>
    <cellStyle name="Comma 4 3 2 2 4 2 3" xfId="11814" xr:uid="{3BA58B88-5BFC-4087-BFB2-5D53D6D308B3}"/>
    <cellStyle name="Comma 4 3 2 2 4 2 4" xfId="20255" xr:uid="{95735463-6FDA-4583-B3AB-6E54FDA1321B}"/>
    <cellStyle name="Comma 4 3 2 2 4 3" xfId="5445" xr:uid="{00000000-0005-0000-0000-000035090000}"/>
    <cellStyle name="Comma 4 3 2 2 4 3 2" xfId="13887" xr:uid="{88A070F6-1299-47C1-BFF9-52CAD705D213}"/>
    <cellStyle name="Comma 4 3 2 2 4 3 3" xfId="22327" xr:uid="{1C508CA2-59E6-42D4-99EB-27A4A2E7C28E}"/>
    <cellStyle name="Comma 4 3 2 2 4 4" xfId="9669" xr:uid="{231C5151-63DB-4548-A62E-B5391473B4A0}"/>
    <cellStyle name="Comma 4 3 2 2 4 5" xfId="18110" xr:uid="{B68FAD4F-0A67-4591-ABC0-6E4AC47DABD3}"/>
    <cellStyle name="Comma 4 3 2 2 5" xfId="1550" xr:uid="{00000000-0005-0000-0000-000036090000}"/>
    <cellStyle name="Comma 4 3 2 2 5 2" xfId="3780" xr:uid="{00000000-0005-0000-0000-000037090000}"/>
    <cellStyle name="Comma 4 3 2 2 5 2 2" xfId="8003" xr:uid="{00000000-0005-0000-0000-000038090000}"/>
    <cellStyle name="Comma 4 3 2 2 5 2 2 2" xfId="16445" xr:uid="{5B13CF43-A5CC-4360-AB01-267FA6F592A5}"/>
    <cellStyle name="Comma 4 3 2 2 5 2 2 3" xfId="24885" xr:uid="{BE951934-9915-4A28-B22F-85EACBF8FB7F}"/>
    <cellStyle name="Comma 4 3 2 2 5 2 3" xfId="12227" xr:uid="{ABAB44A2-E649-414D-B00B-E4998D959E5A}"/>
    <cellStyle name="Comma 4 3 2 2 5 2 4" xfId="20668" xr:uid="{26DB88FF-A1A9-4CFC-AAD6-7B6762D7DC00}"/>
    <cellStyle name="Comma 4 3 2 2 5 3" xfId="5858" xr:uid="{00000000-0005-0000-0000-000039090000}"/>
    <cellStyle name="Comma 4 3 2 2 5 3 2" xfId="14300" xr:uid="{EF29483B-C42E-4746-B067-6F5A9C171B73}"/>
    <cellStyle name="Comma 4 3 2 2 5 3 3" xfId="22740" xr:uid="{C5682F63-1C4D-4510-AEC9-B22D0BC5EE58}"/>
    <cellStyle name="Comma 4 3 2 2 5 4" xfId="10082" xr:uid="{55809050-23C5-4ADD-A648-CFD2E76D7ABD}"/>
    <cellStyle name="Comma 4 3 2 2 5 5" xfId="18523" xr:uid="{56CD0891-662A-474B-B5B7-087005A5BD6A}"/>
    <cellStyle name="Comma 4 3 2 2 6" xfId="1964" xr:uid="{00000000-0005-0000-0000-00003A090000}"/>
    <cellStyle name="Comma 4 3 2 2 6 2" xfId="4193" xr:uid="{00000000-0005-0000-0000-00003B090000}"/>
    <cellStyle name="Comma 4 3 2 2 6 2 2" xfId="8416" xr:uid="{00000000-0005-0000-0000-00003C090000}"/>
    <cellStyle name="Comma 4 3 2 2 6 2 2 2" xfId="16858" xr:uid="{1E00CD15-302B-495F-B09A-E9FDF06AA6D1}"/>
    <cellStyle name="Comma 4 3 2 2 6 2 2 3" xfId="25298" xr:uid="{F0C5C1D4-11D9-47D3-864E-45425DD7BE67}"/>
    <cellStyle name="Comma 4 3 2 2 6 2 3" xfId="12640" xr:uid="{6B80A586-321F-40E3-BBFA-AF4A24C8DFD9}"/>
    <cellStyle name="Comma 4 3 2 2 6 2 4" xfId="21081" xr:uid="{4B275858-C0C6-4EA3-B88B-CA0914D71FAC}"/>
    <cellStyle name="Comma 4 3 2 2 6 3" xfId="6271" xr:uid="{00000000-0005-0000-0000-00003D090000}"/>
    <cellStyle name="Comma 4 3 2 2 6 3 2" xfId="14713" xr:uid="{FFF5AC49-81C2-40F7-855F-97C575650DF1}"/>
    <cellStyle name="Comma 4 3 2 2 6 3 3" xfId="23153" xr:uid="{D07B10B0-2F57-42D2-8A42-EECF78C123A1}"/>
    <cellStyle name="Comma 4 3 2 2 6 4" xfId="10495" xr:uid="{5B7CA74D-07C0-4222-898E-23C983486E0F}"/>
    <cellStyle name="Comma 4 3 2 2 6 5" xfId="18936" xr:uid="{C85FA7DF-BFE4-432A-B8CD-5DFFB0B15B7E}"/>
    <cellStyle name="Comma 4 3 2 2 7" xfId="2399" xr:uid="{00000000-0005-0000-0000-00003E090000}"/>
    <cellStyle name="Comma 4 3 2 2 7 2" xfId="6684" xr:uid="{00000000-0005-0000-0000-00003F090000}"/>
    <cellStyle name="Comma 4 3 2 2 7 2 2" xfId="15126" xr:uid="{E8FEC662-C6C1-4C22-83CE-2EE7A150148B}"/>
    <cellStyle name="Comma 4 3 2 2 7 2 3" xfId="23566" xr:uid="{3FF4D165-82E4-4866-B65D-0BA52B4DEC49}"/>
    <cellStyle name="Comma 4 3 2 2 7 3" xfId="10908" xr:uid="{38F5FE2D-96B9-4E72-962D-2E055AEF2006}"/>
    <cellStyle name="Comma 4 3 2 2 7 4" xfId="19349" xr:uid="{9255B022-567F-476E-BC36-4F4E7737A9C4}"/>
    <cellStyle name="Comma 4 3 2 2 8" xfId="2364" xr:uid="{00000000-0005-0000-0000-000040090000}"/>
    <cellStyle name="Comma 4 3 2 2 9" xfId="2777" xr:uid="{00000000-0005-0000-0000-000041090000}"/>
    <cellStyle name="Comma 4 3 2 2 9 2" xfId="7001" xr:uid="{00000000-0005-0000-0000-000042090000}"/>
    <cellStyle name="Comma 4 3 2 2 9 2 2" xfId="15443" xr:uid="{31AED1F2-6B88-4462-B3BE-F60251E64697}"/>
    <cellStyle name="Comma 4 3 2 2 9 2 3" xfId="23883" xr:uid="{34802185-86FF-48B7-95E3-C4B103F8023A}"/>
    <cellStyle name="Comma 4 3 2 2 9 3" xfId="11225" xr:uid="{14CDC1AF-05E3-4273-997B-15B9A6075566}"/>
    <cellStyle name="Comma 4 3 2 2 9 4" xfId="19666" xr:uid="{192068DD-6047-4192-86EC-15723A19EACE}"/>
    <cellStyle name="Comma 4 3 2 3" xfId="148" xr:uid="{00000000-0005-0000-0000-000043090000}"/>
    <cellStyle name="Comma 4 3 2 3 10" xfId="8844" xr:uid="{C924746C-F4F6-476B-BF07-AA3BF3C57772}"/>
    <cellStyle name="Comma 4 3 2 3 11" xfId="17285" xr:uid="{B1ED4EB2-BDA9-4379-8CA2-86A189807FAA}"/>
    <cellStyle name="Comma 4 3 2 3 2" xfId="685" xr:uid="{00000000-0005-0000-0000-000044090000}"/>
    <cellStyle name="Comma 4 3 2 3 2 2" xfId="2956" xr:uid="{00000000-0005-0000-0000-000045090000}"/>
    <cellStyle name="Comma 4 3 2 3 2 2 2" xfId="7179" xr:uid="{00000000-0005-0000-0000-000046090000}"/>
    <cellStyle name="Comma 4 3 2 3 2 2 2 2" xfId="15621" xr:uid="{89A9002D-F86A-4EAD-9305-237DE190E08E}"/>
    <cellStyle name="Comma 4 3 2 3 2 2 2 3" xfId="24061" xr:uid="{1B0F1315-66CC-4E25-804D-1B5E4AB5C3FE}"/>
    <cellStyle name="Comma 4 3 2 3 2 2 3" xfId="11403" xr:uid="{FAF93A78-453B-4958-B065-744530848926}"/>
    <cellStyle name="Comma 4 3 2 3 2 2 4" xfId="19844" xr:uid="{D86DF7EE-B24D-4A47-BB31-557580DDCB0D}"/>
    <cellStyle name="Comma 4 3 2 3 2 3" xfId="5034" xr:uid="{00000000-0005-0000-0000-000047090000}"/>
    <cellStyle name="Comma 4 3 2 3 2 3 2" xfId="13476" xr:uid="{55861B18-E303-4DCE-9003-B7A4F1B6E9F8}"/>
    <cellStyle name="Comma 4 3 2 3 2 3 3" xfId="21916" xr:uid="{F019520B-D955-47C6-B7BE-FE1C98F46B35}"/>
    <cellStyle name="Comma 4 3 2 3 2 4" xfId="9258" xr:uid="{4CD28CA5-315B-4086-B23E-442C522300BB}"/>
    <cellStyle name="Comma 4 3 2 3 2 5" xfId="17699" xr:uid="{6DEBD3A5-2957-4F02-AE9E-1708715EF069}"/>
    <cellStyle name="Comma 4 3 2 3 3" xfId="1138" xr:uid="{00000000-0005-0000-0000-000048090000}"/>
    <cellStyle name="Comma 4 3 2 3 3 2" xfId="3369" xr:uid="{00000000-0005-0000-0000-000049090000}"/>
    <cellStyle name="Comma 4 3 2 3 3 2 2" xfId="7592" xr:uid="{00000000-0005-0000-0000-00004A090000}"/>
    <cellStyle name="Comma 4 3 2 3 3 2 2 2" xfId="16034" xr:uid="{FCD845B9-8BF8-4D60-95E8-650DC16C033E}"/>
    <cellStyle name="Comma 4 3 2 3 3 2 2 3" xfId="24474" xr:uid="{3B2660DC-BB49-41CA-AC18-466604547E12}"/>
    <cellStyle name="Comma 4 3 2 3 3 2 3" xfId="11816" xr:uid="{577B84E3-927D-4A6B-B003-EED8FF96701D}"/>
    <cellStyle name="Comma 4 3 2 3 3 2 4" xfId="20257" xr:uid="{57551A1C-F0A8-4FAE-A1E8-6C7EAE9AC2C9}"/>
    <cellStyle name="Comma 4 3 2 3 3 3" xfId="5447" xr:uid="{00000000-0005-0000-0000-00004B090000}"/>
    <cellStyle name="Comma 4 3 2 3 3 3 2" xfId="13889" xr:uid="{376AA7FC-A9B6-487C-ADD7-C8A1F9DE6B5B}"/>
    <cellStyle name="Comma 4 3 2 3 3 3 3" xfId="22329" xr:uid="{A5A1F0C6-2A50-442B-A226-9345740014B9}"/>
    <cellStyle name="Comma 4 3 2 3 3 4" xfId="9671" xr:uid="{3167D944-010E-436E-B835-B39C14A67424}"/>
    <cellStyle name="Comma 4 3 2 3 3 5" xfId="18112" xr:uid="{2F209712-2884-4760-833A-EF2D957F2856}"/>
    <cellStyle name="Comma 4 3 2 3 4" xfId="1552" xr:uid="{00000000-0005-0000-0000-00004C090000}"/>
    <cellStyle name="Comma 4 3 2 3 4 2" xfId="3782" xr:uid="{00000000-0005-0000-0000-00004D090000}"/>
    <cellStyle name="Comma 4 3 2 3 4 2 2" xfId="8005" xr:uid="{00000000-0005-0000-0000-00004E090000}"/>
    <cellStyle name="Comma 4 3 2 3 4 2 2 2" xfId="16447" xr:uid="{EEED56C9-B70F-44EB-95EE-16709858FB8B}"/>
    <cellStyle name="Comma 4 3 2 3 4 2 2 3" xfId="24887" xr:uid="{BD990D4C-4E92-4ACF-AB02-D25613CFCB07}"/>
    <cellStyle name="Comma 4 3 2 3 4 2 3" xfId="12229" xr:uid="{384D44D7-2349-4C43-8280-8094F2342C93}"/>
    <cellStyle name="Comma 4 3 2 3 4 2 4" xfId="20670" xr:uid="{CF67EADF-62DD-4F9D-892A-95663F918DCF}"/>
    <cellStyle name="Comma 4 3 2 3 4 3" xfId="5860" xr:uid="{00000000-0005-0000-0000-00004F090000}"/>
    <cellStyle name="Comma 4 3 2 3 4 3 2" xfId="14302" xr:uid="{0AEEB0D3-77E9-44F1-92B7-73FCF080B7FA}"/>
    <cellStyle name="Comma 4 3 2 3 4 3 3" xfId="22742" xr:uid="{334E8274-2EFD-4193-9F2C-CAA1D61DB2C4}"/>
    <cellStyle name="Comma 4 3 2 3 4 4" xfId="10084" xr:uid="{A35052D4-183C-45C5-B05B-F7DCC4CFE0F3}"/>
    <cellStyle name="Comma 4 3 2 3 4 5" xfId="18525" xr:uid="{4D98264C-E6DF-45A1-80C0-B256AEAFDBEB}"/>
    <cellStyle name="Comma 4 3 2 3 5" xfId="1966" xr:uid="{00000000-0005-0000-0000-000050090000}"/>
    <cellStyle name="Comma 4 3 2 3 5 2" xfId="4195" xr:uid="{00000000-0005-0000-0000-000051090000}"/>
    <cellStyle name="Comma 4 3 2 3 5 2 2" xfId="8418" xr:uid="{00000000-0005-0000-0000-000052090000}"/>
    <cellStyle name="Comma 4 3 2 3 5 2 2 2" xfId="16860" xr:uid="{3E613C60-03CD-4440-8DB3-11740F518443}"/>
    <cellStyle name="Comma 4 3 2 3 5 2 2 3" xfId="25300" xr:uid="{364296D3-2882-4706-82A4-A2727E29E89E}"/>
    <cellStyle name="Comma 4 3 2 3 5 2 3" xfId="12642" xr:uid="{EB182196-DD34-4D12-8D55-98B4C6865D74}"/>
    <cellStyle name="Comma 4 3 2 3 5 2 4" xfId="21083" xr:uid="{B88E3F62-8E66-4120-A52E-B32ED23E4262}"/>
    <cellStyle name="Comma 4 3 2 3 5 3" xfId="6273" xr:uid="{00000000-0005-0000-0000-000053090000}"/>
    <cellStyle name="Comma 4 3 2 3 5 3 2" xfId="14715" xr:uid="{0E77ACDF-F2B8-48ED-908E-20CA163F2CC9}"/>
    <cellStyle name="Comma 4 3 2 3 5 3 3" xfId="23155" xr:uid="{B4155B3B-8453-49BC-B868-04EC1674345C}"/>
    <cellStyle name="Comma 4 3 2 3 5 4" xfId="10497" xr:uid="{AA0FD63B-8454-4D33-A63F-50CD0DCB32D1}"/>
    <cellStyle name="Comma 4 3 2 3 5 5" xfId="18938" xr:uid="{89F80825-8819-40AD-AE7E-0EB25AF6F8E9}"/>
    <cellStyle name="Comma 4 3 2 3 6" xfId="2401" xr:uid="{00000000-0005-0000-0000-000054090000}"/>
    <cellStyle name="Comma 4 3 2 3 6 2" xfId="6686" xr:uid="{00000000-0005-0000-0000-000055090000}"/>
    <cellStyle name="Comma 4 3 2 3 6 2 2" xfId="15128" xr:uid="{84259EFD-A1BA-4855-9AA7-03E81153B332}"/>
    <cellStyle name="Comma 4 3 2 3 6 2 3" xfId="23568" xr:uid="{867BC3BD-2F58-4753-BCD6-C972A501712A}"/>
    <cellStyle name="Comma 4 3 2 3 6 3" xfId="10910" xr:uid="{887442F8-236A-4F1F-BFC5-B5DAD6BF72C5}"/>
    <cellStyle name="Comma 4 3 2 3 6 4" xfId="19351" xr:uid="{85E8310E-B97C-4744-A357-3B91F94EF797}"/>
    <cellStyle name="Comma 4 3 2 3 7" xfId="2362" xr:uid="{00000000-0005-0000-0000-000056090000}"/>
    <cellStyle name="Comma 4 3 2 3 8" xfId="2779" xr:uid="{00000000-0005-0000-0000-000057090000}"/>
    <cellStyle name="Comma 4 3 2 3 8 2" xfId="7003" xr:uid="{00000000-0005-0000-0000-000058090000}"/>
    <cellStyle name="Comma 4 3 2 3 8 2 2" xfId="15445" xr:uid="{CC382300-246F-4736-A4DF-29C61050D014}"/>
    <cellStyle name="Comma 4 3 2 3 8 2 3" xfId="23885" xr:uid="{6ADFC45D-86C1-45F0-9737-22763D0DF0C2}"/>
    <cellStyle name="Comma 4 3 2 3 8 3" xfId="11227" xr:uid="{72B7AD49-1304-4F62-B411-D30F0786F31C}"/>
    <cellStyle name="Comma 4 3 2 3 8 4" xfId="19668" xr:uid="{1CA18BBA-FEAC-45E9-9539-C1A662920BB8}"/>
    <cellStyle name="Comma 4 3 2 3 9" xfId="4620" xr:uid="{00000000-0005-0000-0000-000059090000}"/>
    <cellStyle name="Comma 4 3 2 3 9 2" xfId="13062" xr:uid="{4FD911C2-5CE0-4137-BF40-EB3ECF4A85E8}"/>
    <cellStyle name="Comma 4 3 2 3 9 3" xfId="21502" xr:uid="{B1DFCD28-E77D-4B42-9C3D-AC9E35A97BAD}"/>
    <cellStyle name="Comma 4 3 2 4" xfId="682" xr:uid="{00000000-0005-0000-0000-00005A090000}"/>
    <cellStyle name="Comma 4 3 2 4 2" xfId="2953" xr:uid="{00000000-0005-0000-0000-00005B090000}"/>
    <cellStyle name="Comma 4 3 2 4 2 2" xfId="7176" xr:uid="{00000000-0005-0000-0000-00005C090000}"/>
    <cellStyle name="Comma 4 3 2 4 2 2 2" xfId="15618" xr:uid="{67BBE418-6E90-443A-BF3A-9240253D5164}"/>
    <cellStyle name="Comma 4 3 2 4 2 2 3" xfId="24058" xr:uid="{2F8DBCE4-4A9B-43E9-88E4-233FE8B40478}"/>
    <cellStyle name="Comma 4 3 2 4 2 3" xfId="11400" xr:uid="{FC3B80E4-07A1-4272-84B5-BFFF8C8C3D6F}"/>
    <cellStyle name="Comma 4 3 2 4 2 4" xfId="19841" xr:uid="{2EE05C80-0A65-4235-9D22-07CBBF1261FB}"/>
    <cellStyle name="Comma 4 3 2 4 3" xfId="5031" xr:uid="{00000000-0005-0000-0000-00005D090000}"/>
    <cellStyle name="Comma 4 3 2 4 3 2" xfId="13473" xr:uid="{219D8124-138A-4737-8461-AF2704F84595}"/>
    <cellStyle name="Comma 4 3 2 4 3 3" xfId="21913" xr:uid="{3EDE3C8B-916D-4E22-AC09-574A006146AC}"/>
    <cellStyle name="Comma 4 3 2 4 4" xfId="9255" xr:uid="{6C08E8A6-6791-4F53-A28F-5BD1C5902B7B}"/>
    <cellStyle name="Comma 4 3 2 4 5" xfId="17696" xr:uid="{2063707E-0920-4CE9-9C6B-61FA7AA0189F}"/>
    <cellStyle name="Comma 4 3 2 5" xfId="1135" xr:uid="{00000000-0005-0000-0000-00005E090000}"/>
    <cellStyle name="Comma 4 3 2 5 2" xfId="3366" xr:uid="{00000000-0005-0000-0000-00005F090000}"/>
    <cellStyle name="Comma 4 3 2 5 2 2" xfId="7589" xr:uid="{00000000-0005-0000-0000-000060090000}"/>
    <cellStyle name="Comma 4 3 2 5 2 2 2" xfId="16031" xr:uid="{F10AA85A-4C2B-461C-8B59-C0652B513791}"/>
    <cellStyle name="Comma 4 3 2 5 2 2 3" xfId="24471" xr:uid="{2F2F23FE-E7DB-4A08-83D2-928EF3104DEE}"/>
    <cellStyle name="Comma 4 3 2 5 2 3" xfId="11813" xr:uid="{5CCAFD56-04A5-4C7E-80BD-FFE79E4B8724}"/>
    <cellStyle name="Comma 4 3 2 5 2 4" xfId="20254" xr:uid="{359E6007-5F90-453B-909A-3B71A01E165E}"/>
    <cellStyle name="Comma 4 3 2 5 3" xfId="5444" xr:uid="{00000000-0005-0000-0000-000061090000}"/>
    <cellStyle name="Comma 4 3 2 5 3 2" xfId="13886" xr:uid="{9FA0A9E7-9B2C-4DF8-A8E8-3E84FFFB325B}"/>
    <cellStyle name="Comma 4 3 2 5 3 3" xfId="22326" xr:uid="{914121C9-B1C3-42E0-B11E-79711F943CC2}"/>
    <cellStyle name="Comma 4 3 2 5 4" xfId="9668" xr:uid="{7462607E-E1C1-4323-8B05-30D657BA4DDC}"/>
    <cellStyle name="Comma 4 3 2 5 5" xfId="18109" xr:uid="{E32C62F4-FCE9-425D-AB33-893DEF73CE68}"/>
    <cellStyle name="Comma 4 3 2 6" xfId="1549" xr:uid="{00000000-0005-0000-0000-000062090000}"/>
    <cellStyle name="Comma 4 3 2 6 2" xfId="3779" xr:uid="{00000000-0005-0000-0000-000063090000}"/>
    <cellStyle name="Comma 4 3 2 6 2 2" xfId="8002" xr:uid="{00000000-0005-0000-0000-000064090000}"/>
    <cellStyle name="Comma 4 3 2 6 2 2 2" xfId="16444" xr:uid="{160B6DCF-DB1A-4835-BEA3-34578ADC7A71}"/>
    <cellStyle name="Comma 4 3 2 6 2 2 3" xfId="24884" xr:uid="{1F123A56-E012-407D-9799-4F4364BE1BC2}"/>
    <cellStyle name="Comma 4 3 2 6 2 3" xfId="12226" xr:uid="{C0670220-05E4-4944-BF7D-22D5902852B3}"/>
    <cellStyle name="Comma 4 3 2 6 2 4" xfId="20667" xr:uid="{719A320F-C15D-4631-A297-A015251D8F4A}"/>
    <cellStyle name="Comma 4 3 2 6 3" xfId="5857" xr:uid="{00000000-0005-0000-0000-000065090000}"/>
    <cellStyle name="Comma 4 3 2 6 3 2" xfId="14299" xr:uid="{5BA50A53-34E6-423F-8139-99874228908D}"/>
    <cellStyle name="Comma 4 3 2 6 3 3" xfId="22739" xr:uid="{A377DE0D-B582-47BF-BB08-12AABAC2057F}"/>
    <cellStyle name="Comma 4 3 2 6 4" xfId="10081" xr:uid="{1D86F07A-1FFB-43F2-B1CA-C5673DBF3F60}"/>
    <cellStyle name="Comma 4 3 2 6 5" xfId="18522" xr:uid="{FE8D9422-3524-483B-9B8E-E1B06DFB02E5}"/>
    <cellStyle name="Comma 4 3 2 7" xfId="1963" xr:uid="{00000000-0005-0000-0000-000066090000}"/>
    <cellStyle name="Comma 4 3 2 7 2" xfId="4192" xr:uid="{00000000-0005-0000-0000-000067090000}"/>
    <cellStyle name="Comma 4 3 2 7 2 2" xfId="8415" xr:uid="{00000000-0005-0000-0000-000068090000}"/>
    <cellStyle name="Comma 4 3 2 7 2 2 2" xfId="16857" xr:uid="{4D7508B3-8666-4FCF-9629-48F539346D05}"/>
    <cellStyle name="Comma 4 3 2 7 2 2 3" xfId="25297" xr:uid="{AB3E226B-5A39-46BF-A076-4EE53DB7D92B}"/>
    <cellStyle name="Comma 4 3 2 7 2 3" xfId="12639" xr:uid="{71E412EF-A6A9-4146-9655-6A22942225C5}"/>
    <cellStyle name="Comma 4 3 2 7 2 4" xfId="21080" xr:uid="{68E55B0E-2DD3-4C6A-8911-A1D86F59BF2E}"/>
    <cellStyle name="Comma 4 3 2 7 3" xfId="6270" xr:uid="{00000000-0005-0000-0000-000069090000}"/>
    <cellStyle name="Comma 4 3 2 7 3 2" xfId="14712" xr:uid="{BB727633-7A24-4060-A116-2CF3CBF54197}"/>
    <cellStyle name="Comma 4 3 2 7 3 3" xfId="23152" xr:uid="{B29DBC4B-5354-405A-A050-4D14D4E0ADF9}"/>
    <cellStyle name="Comma 4 3 2 7 4" xfId="10494" xr:uid="{8485855D-A214-4D9D-BF9F-EF637BD79E3E}"/>
    <cellStyle name="Comma 4 3 2 7 5" xfId="18935" xr:uid="{86507F93-FCED-4CC5-8464-47506C6A0E01}"/>
    <cellStyle name="Comma 4 3 2 8" xfId="2398" xr:uid="{00000000-0005-0000-0000-00006A090000}"/>
    <cellStyle name="Comma 4 3 2 8 2" xfId="6683" xr:uid="{00000000-0005-0000-0000-00006B090000}"/>
    <cellStyle name="Comma 4 3 2 8 2 2" xfId="15125" xr:uid="{8B4B7B3C-7132-418B-BCDD-ECC074B4CC41}"/>
    <cellStyle name="Comma 4 3 2 8 2 3" xfId="23565" xr:uid="{788D453D-F7D4-4DEE-A4FF-7D718E405F34}"/>
    <cellStyle name="Comma 4 3 2 8 3" xfId="10907" xr:uid="{CDE0A0C8-4459-4C98-91F2-3C25C6A58BB3}"/>
    <cellStyle name="Comma 4 3 2 8 4" xfId="19348" xr:uid="{CBB816AE-180C-4849-A026-58C4E189D19A}"/>
    <cellStyle name="Comma 4 3 2 9" xfId="2365" xr:uid="{00000000-0005-0000-0000-00006C090000}"/>
    <cellStyle name="Comma 4 3 3" xfId="149" xr:uid="{00000000-0005-0000-0000-00006D090000}"/>
    <cellStyle name="Comma 4 3 3 10" xfId="4621" xr:uid="{00000000-0005-0000-0000-00006E090000}"/>
    <cellStyle name="Comma 4 3 3 10 2" xfId="13063" xr:uid="{6707C971-973F-44C9-AB0C-0F94C6CCCA64}"/>
    <cellStyle name="Comma 4 3 3 10 3" xfId="21503" xr:uid="{98B91381-192A-4F89-870D-882EC593299D}"/>
    <cellStyle name="Comma 4 3 3 11" xfId="8845" xr:uid="{F34E439E-1D09-4840-824B-6EBD94179D0B}"/>
    <cellStyle name="Comma 4 3 3 12" xfId="17286" xr:uid="{2C779EA9-CF95-4A2D-9390-4C7EF82E5911}"/>
    <cellStyle name="Comma 4 3 3 2" xfId="150" xr:uid="{00000000-0005-0000-0000-00006F090000}"/>
    <cellStyle name="Comma 4 3 3 2 10" xfId="8846" xr:uid="{12942B9C-894B-4117-A8CD-D2B243A3CAFA}"/>
    <cellStyle name="Comma 4 3 3 2 11" xfId="17287" xr:uid="{813CCD18-8771-4288-B864-29838A89C448}"/>
    <cellStyle name="Comma 4 3 3 2 2" xfId="687" xr:uid="{00000000-0005-0000-0000-000070090000}"/>
    <cellStyle name="Comma 4 3 3 2 2 2" xfId="2958" xr:uid="{00000000-0005-0000-0000-000071090000}"/>
    <cellStyle name="Comma 4 3 3 2 2 2 2" xfId="7181" xr:uid="{00000000-0005-0000-0000-000072090000}"/>
    <cellStyle name="Comma 4 3 3 2 2 2 2 2" xfId="15623" xr:uid="{CB0DD2D0-740C-4612-9B63-4BEEF18005C8}"/>
    <cellStyle name="Comma 4 3 3 2 2 2 2 3" xfId="24063" xr:uid="{6AFEADF9-019F-41BB-9717-46C503928930}"/>
    <cellStyle name="Comma 4 3 3 2 2 2 3" xfId="11405" xr:uid="{BD169955-3F68-49DA-B01E-F613E0F3C469}"/>
    <cellStyle name="Comma 4 3 3 2 2 2 4" xfId="19846" xr:uid="{A52C4751-7536-4036-B669-C1E4F90E7C82}"/>
    <cellStyle name="Comma 4 3 3 2 2 3" xfId="5036" xr:uid="{00000000-0005-0000-0000-000073090000}"/>
    <cellStyle name="Comma 4 3 3 2 2 3 2" xfId="13478" xr:uid="{E8988D2A-D333-48BF-BDD5-4A807CF757DE}"/>
    <cellStyle name="Comma 4 3 3 2 2 3 3" xfId="21918" xr:uid="{7A69751F-950C-4504-BC29-B3B110C3F71E}"/>
    <cellStyle name="Comma 4 3 3 2 2 4" xfId="9260" xr:uid="{18FBF17E-5A8A-4847-9CE7-FECA89A383DF}"/>
    <cellStyle name="Comma 4 3 3 2 2 5" xfId="17701" xr:uid="{4B4DCF03-80EB-4C2E-99E8-BFD64299297F}"/>
    <cellStyle name="Comma 4 3 3 2 3" xfId="1140" xr:uid="{00000000-0005-0000-0000-000074090000}"/>
    <cellStyle name="Comma 4 3 3 2 3 2" xfId="3371" xr:uid="{00000000-0005-0000-0000-000075090000}"/>
    <cellStyle name="Comma 4 3 3 2 3 2 2" xfId="7594" xr:uid="{00000000-0005-0000-0000-000076090000}"/>
    <cellStyle name="Comma 4 3 3 2 3 2 2 2" xfId="16036" xr:uid="{6FBDEB3C-E5ED-46DB-9E28-18F3320FD7C6}"/>
    <cellStyle name="Comma 4 3 3 2 3 2 2 3" xfId="24476" xr:uid="{17E7E1F7-78D5-4FD5-9A36-EF50DEB12410}"/>
    <cellStyle name="Comma 4 3 3 2 3 2 3" xfId="11818" xr:uid="{A7BE911E-4C63-4E99-A6AB-65361CC934E8}"/>
    <cellStyle name="Comma 4 3 3 2 3 2 4" xfId="20259" xr:uid="{E639F94D-77B2-42AD-9F8F-42C493A2E737}"/>
    <cellStyle name="Comma 4 3 3 2 3 3" xfId="5449" xr:uid="{00000000-0005-0000-0000-000077090000}"/>
    <cellStyle name="Comma 4 3 3 2 3 3 2" xfId="13891" xr:uid="{1D7C8139-3D21-42BA-B263-AF85451A4A94}"/>
    <cellStyle name="Comma 4 3 3 2 3 3 3" xfId="22331" xr:uid="{C3D27D15-D50C-4B56-ABC0-CD4870686F4B}"/>
    <cellStyle name="Comma 4 3 3 2 3 4" xfId="9673" xr:uid="{2E732A30-5B8D-426D-9D1A-E87F25A9FA79}"/>
    <cellStyle name="Comma 4 3 3 2 3 5" xfId="18114" xr:uid="{3604ADE6-B08D-46E3-9C4E-5549620FE855}"/>
    <cellStyle name="Comma 4 3 3 2 4" xfId="1554" xr:uid="{00000000-0005-0000-0000-000078090000}"/>
    <cellStyle name="Comma 4 3 3 2 4 2" xfId="3784" xr:uid="{00000000-0005-0000-0000-000079090000}"/>
    <cellStyle name="Comma 4 3 3 2 4 2 2" xfId="8007" xr:uid="{00000000-0005-0000-0000-00007A090000}"/>
    <cellStyle name="Comma 4 3 3 2 4 2 2 2" xfId="16449" xr:uid="{B7691736-AAE8-40BE-B48C-39AD01B106CA}"/>
    <cellStyle name="Comma 4 3 3 2 4 2 2 3" xfId="24889" xr:uid="{39CFD9A6-B4DF-42C6-B489-C1A181739257}"/>
    <cellStyle name="Comma 4 3 3 2 4 2 3" xfId="12231" xr:uid="{DD892018-4D7D-4B9C-AA8A-6F9E6CCFD63E}"/>
    <cellStyle name="Comma 4 3 3 2 4 2 4" xfId="20672" xr:uid="{FC036123-4E2C-4FEB-A6E8-475A7420D769}"/>
    <cellStyle name="Comma 4 3 3 2 4 3" xfId="5862" xr:uid="{00000000-0005-0000-0000-00007B090000}"/>
    <cellStyle name="Comma 4 3 3 2 4 3 2" xfId="14304" xr:uid="{E3AFF156-12FC-406E-9D6A-3AF4D76B2D65}"/>
    <cellStyle name="Comma 4 3 3 2 4 3 3" xfId="22744" xr:uid="{2F73BE20-BDF4-4597-B420-F9938368E80F}"/>
    <cellStyle name="Comma 4 3 3 2 4 4" xfId="10086" xr:uid="{605C2C37-864F-458C-90FF-20E78A73FE92}"/>
    <cellStyle name="Comma 4 3 3 2 4 5" xfId="18527" xr:uid="{4CF40D62-7C01-42F9-B9A5-1B5B58696D18}"/>
    <cellStyle name="Comma 4 3 3 2 5" xfId="1968" xr:uid="{00000000-0005-0000-0000-00007C090000}"/>
    <cellStyle name="Comma 4 3 3 2 5 2" xfId="4197" xr:uid="{00000000-0005-0000-0000-00007D090000}"/>
    <cellStyle name="Comma 4 3 3 2 5 2 2" xfId="8420" xr:uid="{00000000-0005-0000-0000-00007E090000}"/>
    <cellStyle name="Comma 4 3 3 2 5 2 2 2" xfId="16862" xr:uid="{DC1A215F-B6BB-4948-9FE9-8B28009E4B7F}"/>
    <cellStyle name="Comma 4 3 3 2 5 2 2 3" xfId="25302" xr:uid="{E1792BB4-F430-438D-AC5B-AA16FDD1EA6B}"/>
    <cellStyle name="Comma 4 3 3 2 5 2 3" xfId="12644" xr:uid="{4315A3F4-750C-45E0-B2E6-AAB7C0A14CD2}"/>
    <cellStyle name="Comma 4 3 3 2 5 2 4" xfId="21085" xr:uid="{02118DCB-BA3F-44AE-A211-E198221E69E3}"/>
    <cellStyle name="Comma 4 3 3 2 5 3" xfId="6275" xr:uid="{00000000-0005-0000-0000-00007F090000}"/>
    <cellStyle name="Comma 4 3 3 2 5 3 2" xfId="14717" xr:uid="{C052A083-52D3-4C36-92F0-40081A8B034C}"/>
    <cellStyle name="Comma 4 3 3 2 5 3 3" xfId="23157" xr:uid="{16CBF826-D714-4062-91BD-804E7531AFB5}"/>
    <cellStyle name="Comma 4 3 3 2 5 4" xfId="10499" xr:uid="{1757C2AA-4F1C-454F-9181-C95F2972A016}"/>
    <cellStyle name="Comma 4 3 3 2 5 5" xfId="18940" xr:uid="{10773CCD-B0F6-46DB-8FE2-0495288E5E10}"/>
    <cellStyle name="Comma 4 3 3 2 6" xfId="2403" xr:uid="{00000000-0005-0000-0000-000080090000}"/>
    <cellStyle name="Comma 4 3 3 2 6 2" xfId="6688" xr:uid="{00000000-0005-0000-0000-000081090000}"/>
    <cellStyle name="Comma 4 3 3 2 6 2 2" xfId="15130" xr:uid="{BB78424D-03B5-42F7-B59B-0A968726B4B5}"/>
    <cellStyle name="Comma 4 3 3 2 6 2 3" xfId="23570" xr:uid="{0F04BCBF-92E3-4190-8555-285225361A74}"/>
    <cellStyle name="Comma 4 3 3 2 6 3" xfId="10912" xr:uid="{CFD52CDE-A421-4566-A78B-2BC8FA548FE7}"/>
    <cellStyle name="Comma 4 3 3 2 6 4" xfId="19353" xr:uid="{0613B572-E157-4188-A5B2-DFE165F65763}"/>
    <cellStyle name="Comma 4 3 3 2 7" xfId="2360" xr:uid="{00000000-0005-0000-0000-000082090000}"/>
    <cellStyle name="Comma 4 3 3 2 8" xfId="2781" xr:uid="{00000000-0005-0000-0000-000083090000}"/>
    <cellStyle name="Comma 4 3 3 2 8 2" xfId="7005" xr:uid="{00000000-0005-0000-0000-000084090000}"/>
    <cellStyle name="Comma 4 3 3 2 8 2 2" xfId="15447" xr:uid="{1BD3E2FC-B749-4CDD-9A79-5B4CB14144B8}"/>
    <cellStyle name="Comma 4 3 3 2 8 2 3" xfId="23887" xr:uid="{19C42677-EED4-4A9E-A7C6-85F30869F0C6}"/>
    <cellStyle name="Comma 4 3 3 2 8 3" xfId="11229" xr:uid="{E3C3A806-4D44-465D-80FF-94051EA9924F}"/>
    <cellStyle name="Comma 4 3 3 2 8 4" xfId="19670" xr:uid="{1263FB6C-4AA0-43F9-B451-221761C0A30C}"/>
    <cellStyle name="Comma 4 3 3 2 9" xfId="4622" xr:uid="{00000000-0005-0000-0000-000085090000}"/>
    <cellStyle name="Comma 4 3 3 2 9 2" xfId="13064" xr:uid="{7E0A2330-9290-40EC-BD4C-06E0BEACE559}"/>
    <cellStyle name="Comma 4 3 3 2 9 3" xfId="21504" xr:uid="{506B8944-A924-416B-A503-BFF6C6D9C97D}"/>
    <cellStyle name="Comma 4 3 3 3" xfId="686" xr:uid="{00000000-0005-0000-0000-000086090000}"/>
    <cellStyle name="Comma 4 3 3 3 2" xfId="2957" xr:uid="{00000000-0005-0000-0000-000087090000}"/>
    <cellStyle name="Comma 4 3 3 3 2 2" xfId="7180" xr:uid="{00000000-0005-0000-0000-000088090000}"/>
    <cellStyle name="Comma 4 3 3 3 2 2 2" xfId="15622" xr:uid="{594CE8D9-0A49-478B-B261-C60D24BF6043}"/>
    <cellStyle name="Comma 4 3 3 3 2 2 3" xfId="24062" xr:uid="{1DD804D1-8977-4BE5-A762-311E494F4EFE}"/>
    <cellStyle name="Comma 4 3 3 3 2 3" xfId="11404" xr:uid="{48F003BE-C735-4566-BF7D-7D537A7365A2}"/>
    <cellStyle name="Comma 4 3 3 3 2 4" xfId="19845" xr:uid="{50E6598F-063C-4773-9238-40509990B40A}"/>
    <cellStyle name="Comma 4 3 3 3 3" xfId="5035" xr:uid="{00000000-0005-0000-0000-000089090000}"/>
    <cellStyle name="Comma 4 3 3 3 3 2" xfId="13477" xr:uid="{CB64969D-B3D6-4CF0-A709-C7D71A646A1B}"/>
    <cellStyle name="Comma 4 3 3 3 3 3" xfId="21917" xr:uid="{55885793-F259-4442-B7DF-81ED376B9751}"/>
    <cellStyle name="Comma 4 3 3 3 4" xfId="9259" xr:uid="{6A2136AD-FB17-48E7-9EB6-555E5A7AF91F}"/>
    <cellStyle name="Comma 4 3 3 3 5" xfId="17700" xr:uid="{1C0A9427-4077-4639-8D2E-57E638F79ABB}"/>
    <cellStyle name="Comma 4 3 3 4" xfId="1139" xr:uid="{00000000-0005-0000-0000-00008A090000}"/>
    <cellStyle name="Comma 4 3 3 4 2" xfId="3370" xr:uid="{00000000-0005-0000-0000-00008B090000}"/>
    <cellStyle name="Comma 4 3 3 4 2 2" xfId="7593" xr:uid="{00000000-0005-0000-0000-00008C090000}"/>
    <cellStyle name="Comma 4 3 3 4 2 2 2" xfId="16035" xr:uid="{3BF997C3-8990-476E-B977-0BB2ACF7AA9B}"/>
    <cellStyle name="Comma 4 3 3 4 2 2 3" xfId="24475" xr:uid="{A1CF67DA-C01B-4807-B59A-AE12192766F3}"/>
    <cellStyle name="Comma 4 3 3 4 2 3" xfId="11817" xr:uid="{33468B0C-E4B4-491C-B8F6-08BFDD6BA940}"/>
    <cellStyle name="Comma 4 3 3 4 2 4" xfId="20258" xr:uid="{4F70B1BA-AFCE-4CAF-A3F2-F435F4C493DF}"/>
    <cellStyle name="Comma 4 3 3 4 3" xfId="5448" xr:uid="{00000000-0005-0000-0000-00008D090000}"/>
    <cellStyle name="Comma 4 3 3 4 3 2" xfId="13890" xr:uid="{D2BCFFF9-C913-4635-8F83-D49B9E20A3D0}"/>
    <cellStyle name="Comma 4 3 3 4 3 3" xfId="22330" xr:uid="{0ADF231D-2FC0-46F8-A654-5AE7B594FD5A}"/>
    <cellStyle name="Comma 4 3 3 4 4" xfId="9672" xr:uid="{A78A07FD-177E-406E-A7CA-F9970ECAA6D3}"/>
    <cellStyle name="Comma 4 3 3 4 5" xfId="18113" xr:uid="{2E00B0B9-D96F-43DC-8E5B-43DD4DAB6CCF}"/>
    <cellStyle name="Comma 4 3 3 5" xfId="1553" xr:uid="{00000000-0005-0000-0000-00008E090000}"/>
    <cellStyle name="Comma 4 3 3 5 2" xfId="3783" xr:uid="{00000000-0005-0000-0000-00008F090000}"/>
    <cellStyle name="Comma 4 3 3 5 2 2" xfId="8006" xr:uid="{00000000-0005-0000-0000-000090090000}"/>
    <cellStyle name="Comma 4 3 3 5 2 2 2" xfId="16448" xr:uid="{7DF57F5D-E313-4E16-B9A3-B6C99905832F}"/>
    <cellStyle name="Comma 4 3 3 5 2 2 3" xfId="24888" xr:uid="{22993906-56F9-4A58-9C98-D7E8541F04C4}"/>
    <cellStyle name="Comma 4 3 3 5 2 3" xfId="12230" xr:uid="{5FA53295-D597-4DC9-B15D-4CD01268AB7E}"/>
    <cellStyle name="Comma 4 3 3 5 2 4" xfId="20671" xr:uid="{B9D2EC6F-A1A5-4005-93A8-5D4B23DF0E2A}"/>
    <cellStyle name="Comma 4 3 3 5 3" xfId="5861" xr:uid="{00000000-0005-0000-0000-000091090000}"/>
    <cellStyle name="Comma 4 3 3 5 3 2" xfId="14303" xr:uid="{435294C9-2F83-48F9-80F4-938B013510FF}"/>
    <cellStyle name="Comma 4 3 3 5 3 3" xfId="22743" xr:uid="{E4EC8596-8BE7-446F-8CB0-B6A6ED5446A0}"/>
    <cellStyle name="Comma 4 3 3 5 4" xfId="10085" xr:uid="{66A6443B-F267-4E1D-987A-FD1E523462B3}"/>
    <cellStyle name="Comma 4 3 3 5 5" xfId="18526" xr:uid="{38126077-1A8C-488F-96AE-1AA10A5985B0}"/>
    <cellStyle name="Comma 4 3 3 6" xfId="1967" xr:uid="{00000000-0005-0000-0000-000092090000}"/>
    <cellStyle name="Comma 4 3 3 6 2" xfId="4196" xr:uid="{00000000-0005-0000-0000-000093090000}"/>
    <cellStyle name="Comma 4 3 3 6 2 2" xfId="8419" xr:uid="{00000000-0005-0000-0000-000094090000}"/>
    <cellStyle name="Comma 4 3 3 6 2 2 2" xfId="16861" xr:uid="{6EBDA4F5-E321-457A-8884-F005FF0E24D8}"/>
    <cellStyle name="Comma 4 3 3 6 2 2 3" xfId="25301" xr:uid="{7AD7C0D5-9219-4AB8-B42B-D81EBB01EEE5}"/>
    <cellStyle name="Comma 4 3 3 6 2 3" xfId="12643" xr:uid="{7679C035-2F5D-45BF-9715-A8B44DC163F5}"/>
    <cellStyle name="Comma 4 3 3 6 2 4" xfId="21084" xr:uid="{D45BF0E2-E85C-4698-A0B2-FC0B5C80D79D}"/>
    <cellStyle name="Comma 4 3 3 6 3" xfId="6274" xr:uid="{00000000-0005-0000-0000-000095090000}"/>
    <cellStyle name="Comma 4 3 3 6 3 2" xfId="14716" xr:uid="{397855F7-75F1-44D7-B2F2-4B493E9F35D9}"/>
    <cellStyle name="Comma 4 3 3 6 3 3" xfId="23156" xr:uid="{C5C585E8-29C7-4FAE-A4FB-BF747FEBF594}"/>
    <cellStyle name="Comma 4 3 3 6 4" xfId="10498" xr:uid="{858E2F75-C631-464B-9024-AB23F10614A5}"/>
    <cellStyle name="Comma 4 3 3 6 5" xfId="18939" xr:uid="{244DE9ED-1787-4DF1-B8EB-9CEC1FD8B73D}"/>
    <cellStyle name="Comma 4 3 3 7" xfId="2402" xr:uid="{00000000-0005-0000-0000-000096090000}"/>
    <cellStyle name="Comma 4 3 3 7 2" xfId="6687" xr:uid="{00000000-0005-0000-0000-000097090000}"/>
    <cellStyle name="Comma 4 3 3 7 2 2" xfId="15129" xr:uid="{AD7B63F5-3F82-4F72-B3EE-5B569A319A14}"/>
    <cellStyle name="Comma 4 3 3 7 2 3" xfId="23569" xr:uid="{D27F59BB-F6A9-43FD-9E55-3DA02CF2D997}"/>
    <cellStyle name="Comma 4 3 3 7 3" xfId="10911" xr:uid="{E763419F-30FE-42C2-83CE-ED29B5D2CA81}"/>
    <cellStyle name="Comma 4 3 3 7 4" xfId="19352" xr:uid="{3F89536B-FFB4-46B0-BC66-7BF9DEFCF7B7}"/>
    <cellStyle name="Comma 4 3 3 8" xfId="2361" xr:uid="{00000000-0005-0000-0000-000098090000}"/>
    <cellStyle name="Comma 4 3 3 9" xfId="2780" xr:uid="{00000000-0005-0000-0000-000099090000}"/>
    <cellStyle name="Comma 4 3 3 9 2" xfId="7004" xr:uid="{00000000-0005-0000-0000-00009A090000}"/>
    <cellStyle name="Comma 4 3 3 9 2 2" xfId="15446" xr:uid="{EEA55E12-D9D4-40FB-985B-B46184295315}"/>
    <cellStyle name="Comma 4 3 3 9 2 3" xfId="23886" xr:uid="{8DE77510-38CC-4079-967F-39377D2087E5}"/>
    <cellStyle name="Comma 4 3 3 9 3" xfId="11228" xr:uid="{D56586DD-EEE1-4E87-BB77-E69A07E44A76}"/>
    <cellStyle name="Comma 4 3 3 9 4" xfId="19669" xr:uid="{98E75079-174A-4836-975C-EA3826FA8D84}"/>
    <cellStyle name="Comma 4 3 4" xfId="151" xr:uid="{00000000-0005-0000-0000-00009B090000}"/>
    <cellStyle name="Comma 4 3 4 10" xfId="8847" xr:uid="{D9AB90AA-13F1-4DB7-A196-641F2715092E}"/>
    <cellStyle name="Comma 4 3 4 11" xfId="17288" xr:uid="{05693B36-3308-4A1A-B1D5-4F402B71263B}"/>
    <cellStyle name="Comma 4 3 4 2" xfId="688" xr:uid="{00000000-0005-0000-0000-00009C090000}"/>
    <cellStyle name="Comma 4 3 4 2 2" xfId="2959" xr:uid="{00000000-0005-0000-0000-00009D090000}"/>
    <cellStyle name="Comma 4 3 4 2 2 2" xfId="7182" xr:uid="{00000000-0005-0000-0000-00009E090000}"/>
    <cellStyle name="Comma 4 3 4 2 2 2 2" xfId="15624" xr:uid="{98B569DF-24CF-498E-A04A-00C7C52DEC9D}"/>
    <cellStyle name="Comma 4 3 4 2 2 2 3" xfId="24064" xr:uid="{FA393073-F43E-49D5-95E7-F48B42E8263F}"/>
    <cellStyle name="Comma 4 3 4 2 2 3" xfId="11406" xr:uid="{AAC07042-6A46-4D10-85D6-056D3A3B3CBC}"/>
    <cellStyle name="Comma 4 3 4 2 2 4" xfId="19847" xr:uid="{CB6F7E43-AE38-4478-A1BF-4B0FD72C3658}"/>
    <cellStyle name="Comma 4 3 4 2 3" xfId="5037" xr:uid="{00000000-0005-0000-0000-00009F090000}"/>
    <cellStyle name="Comma 4 3 4 2 3 2" xfId="13479" xr:uid="{5D6DE788-2A22-4D3F-B922-033D4C564608}"/>
    <cellStyle name="Comma 4 3 4 2 3 3" xfId="21919" xr:uid="{1A9261AE-8F82-4348-A77C-3D365F168A47}"/>
    <cellStyle name="Comma 4 3 4 2 4" xfId="9261" xr:uid="{F4CD657D-2E0E-4B16-8CED-21ADE38F5D90}"/>
    <cellStyle name="Comma 4 3 4 2 5" xfId="17702" xr:uid="{54B501C3-70BA-4D9B-979B-43325AFDF95C}"/>
    <cellStyle name="Comma 4 3 4 3" xfId="1141" xr:uid="{00000000-0005-0000-0000-0000A0090000}"/>
    <cellStyle name="Comma 4 3 4 3 2" xfId="3372" xr:uid="{00000000-0005-0000-0000-0000A1090000}"/>
    <cellStyle name="Comma 4 3 4 3 2 2" xfId="7595" xr:uid="{00000000-0005-0000-0000-0000A2090000}"/>
    <cellStyle name="Comma 4 3 4 3 2 2 2" xfId="16037" xr:uid="{B531BD28-9D5B-4A88-8832-770F18C53B2D}"/>
    <cellStyle name="Comma 4 3 4 3 2 2 3" xfId="24477" xr:uid="{6C4EDA05-EC63-44C3-BEA2-11BEB97E71D2}"/>
    <cellStyle name="Comma 4 3 4 3 2 3" xfId="11819" xr:uid="{EE50CE5C-F3CC-4227-9890-9BD6E5B83103}"/>
    <cellStyle name="Comma 4 3 4 3 2 4" xfId="20260" xr:uid="{405FBCFE-B6A9-4686-B37C-005405D85B36}"/>
    <cellStyle name="Comma 4 3 4 3 3" xfId="5450" xr:uid="{00000000-0005-0000-0000-0000A3090000}"/>
    <cellStyle name="Comma 4 3 4 3 3 2" xfId="13892" xr:uid="{36AA5720-CD41-4B8D-908E-E9006B7C6F0A}"/>
    <cellStyle name="Comma 4 3 4 3 3 3" xfId="22332" xr:uid="{BDAB8075-1D2C-4A66-ADA4-BBAC719EBF72}"/>
    <cellStyle name="Comma 4 3 4 3 4" xfId="9674" xr:uid="{219DC05A-D74C-4567-876E-BD3F32D81AEB}"/>
    <cellStyle name="Comma 4 3 4 3 5" xfId="18115" xr:uid="{378BC3B9-89BE-4758-A911-62DE7465CF69}"/>
    <cellStyle name="Comma 4 3 4 4" xfId="1555" xr:uid="{00000000-0005-0000-0000-0000A4090000}"/>
    <cellStyle name="Comma 4 3 4 4 2" xfId="3785" xr:uid="{00000000-0005-0000-0000-0000A5090000}"/>
    <cellStyle name="Comma 4 3 4 4 2 2" xfId="8008" xr:uid="{00000000-0005-0000-0000-0000A6090000}"/>
    <cellStyle name="Comma 4 3 4 4 2 2 2" xfId="16450" xr:uid="{1FF37C65-A1F4-4225-AB43-B3821CEE8C8A}"/>
    <cellStyle name="Comma 4 3 4 4 2 2 3" xfId="24890" xr:uid="{19EBE7B0-5F27-46A3-AC5C-729D25E3E01D}"/>
    <cellStyle name="Comma 4 3 4 4 2 3" xfId="12232" xr:uid="{D5DDACA9-4891-4940-B00F-EC286BD47FE0}"/>
    <cellStyle name="Comma 4 3 4 4 2 4" xfId="20673" xr:uid="{1E09A334-667A-45FE-85EE-25B253F813D9}"/>
    <cellStyle name="Comma 4 3 4 4 3" xfId="5863" xr:uid="{00000000-0005-0000-0000-0000A7090000}"/>
    <cellStyle name="Comma 4 3 4 4 3 2" xfId="14305" xr:uid="{9F711BA1-5427-4606-904D-E7CBC544BC62}"/>
    <cellStyle name="Comma 4 3 4 4 3 3" xfId="22745" xr:uid="{81C4D744-F89C-4234-8620-C8DC80F83DBB}"/>
    <cellStyle name="Comma 4 3 4 4 4" xfId="10087" xr:uid="{0F8F96D5-4B2C-45CF-B459-6422342C3D53}"/>
    <cellStyle name="Comma 4 3 4 4 5" xfId="18528" xr:uid="{1B12A13A-96E8-428C-B9E2-5DFEFD60B977}"/>
    <cellStyle name="Comma 4 3 4 5" xfId="1969" xr:uid="{00000000-0005-0000-0000-0000A8090000}"/>
    <cellStyle name="Comma 4 3 4 5 2" xfId="4198" xr:uid="{00000000-0005-0000-0000-0000A9090000}"/>
    <cellStyle name="Comma 4 3 4 5 2 2" xfId="8421" xr:uid="{00000000-0005-0000-0000-0000AA090000}"/>
    <cellStyle name="Comma 4 3 4 5 2 2 2" xfId="16863" xr:uid="{92855CC7-04EF-4454-A827-877B1E1BBEDD}"/>
    <cellStyle name="Comma 4 3 4 5 2 2 3" xfId="25303" xr:uid="{9371E12F-7CBB-4328-8272-27D33C556015}"/>
    <cellStyle name="Comma 4 3 4 5 2 3" xfId="12645" xr:uid="{E36265C0-B9C9-4C99-9EDC-DEDE883D9A00}"/>
    <cellStyle name="Comma 4 3 4 5 2 4" xfId="21086" xr:uid="{AD1AF1BC-27D9-495D-9DDB-9956BF04875F}"/>
    <cellStyle name="Comma 4 3 4 5 3" xfId="6276" xr:uid="{00000000-0005-0000-0000-0000AB090000}"/>
    <cellStyle name="Comma 4 3 4 5 3 2" xfId="14718" xr:uid="{E0123D57-37B2-4C4A-BE9A-45B88F58DDCF}"/>
    <cellStyle name="Comma 4 3 4 5 3 3" xfId="23158" xr:uid="{834031DD-2A66-4F26-9F7B-5DEE2D0873C4}"/>
    <cellStyle name="Comma 4 3 4 5 4" xfId="10500" xr:uid="{3C0E59A1-8D0C-4DFA-BD2E-C33602B5FCDA}"/>
    <cellStyle name="Comma 4 3 4 5 5" xfId="18941" xr:uid="{F63DD88E-4E49-41C8-99B4-325B5B5073D5}"/>
    <cellStyle name="Comma 4 3 4 6" xfId="2404" xr:uid="{00000000-0005-0000-0000-0000AC090000}"/>
    <cellStyle name="Comma 4 3 4 6 2" xfId="6689" xr:uid="{00000000-0005-0000-0000-0000AD090000}"/>
    <cellStyle name="Comma 4 3 4 6 2 2" xfId="15131" xr:uid="{3C70EA33-ED50-47B8-BA8E-3D2AE417B8CB}"/>
    <cellStyle name="Comma 4 3 4 6 2 3" xfId="23571" xr:uid="{C5E04A2B-3D87-45B4-B650-845FA529DBC7}"/>
    <cellStyle name="Comma 4 3 4 6 3" xfId="10913" xr:uid="{3FFF0316-5FD1-4E89-8C3B-4357A0C984FC}"/>
    <cellStyle name="Comma 4 3 4 6 4" xfId="19354" xr:uid="{F97C7194-C9E1-47DF-8BD3-1D389CA6FA45}"/>
    <cellStyle name="Comma 4 3 4 7" xfId="2700" xr:uid="{00000000-0005-0000-0000-0000AE090000}"/>
    <cellStyle name="Comma 4 3 4 8" xfId="2782" xr:uid="{00000000-0005-0000-0000-0000AF090000}"/>
    <cellStyle name="Comma 4 3 4 8 2" xfId="7006" xr:uid="{00000000-0005-0000-0000-0000B0090000}"/>
    <cellStyle name="Comma 4 3 4 8 2 2" xfId="15448" xr:uid="{66BDB684-C2CA-47F0-9234-9FDF68DFA06A}"/>
    <cellStyle name="Comma 4 3 4 8 2 3" xfId="23888" xr:uid="{F678D352-41A2-4C34-88F9-7A08A408EEF5}"/>
    <cellStyle name="Comma 4 3 4 8 3" xfId="11230" xr:uid="{ED3360FF-90BA-46BC-AB48-2706E4BAC8BC}"/>
    <cellStyle name="Comma 4 3 4 8 4" xfId="19671" xr:uid="{7202F4C0-14A6-4600-BDF9-210F16844901}"/>
    <cellStyle name="Comma 4 3 4 9" xfId="4623" xr:uid="{00000000-0005-0000-0000-0000B1090000}"/>
    <cellStyle name="Comma 4 3 4 9 2" xfId="13065" xr:uid="{BC83A1FB-76E5-4D98-897D-4026A25B8545}"/>
    <cellStyle name="Comma 4 3 4 9 3" xfId="21505" xr:uid="{A9227CF5-CE83-4B52-A7BD-3813CE141952}"/>
    <cellStyle name="Comma 4 3 5" xfId="152" xr:uid="{00000000-0005-0000-0000-0000B2090000}"/>
    <cellStyle name="Comma 4 3 5 10" xfId="8848" xr:uid="{A17E6743-CBA0-4D30-ADEA-6BC6B0BBA13D}"/>
    <cellStyle name="Comma 4 3 5 11" xfId="17289" xr:uid="{E7F5C140-3AAA-4C00-9007-0E724CF4FE36}"/>
    <cellStyle name="Comma 4 3 5 2" xfId="689" xr:uid="{00000000-0005-0000-0000-0000B3090000}"/>
    <cellStyle name="Comma 4 3 5 2 2" xfId="2960" xr:uid="{00000000-0005-0000-0000-0000B4090000}"/>
    <cellStyle name="Comma 4 3 5 2 2 2" xfId="7183" xr:uid="{00000000-0005-0000-0000-0000B5090000}"/>
    <cellStyle name="Comma 4 3 5 2 2 2 2" xfId="15625" xr:uid="{D5F23A87-9693-4BFA-A5A1-6F63AEB4D5D4}"/>
    <cellStyle name="Comma 4 3 5 2 2 2 3" xfId="24065" xr:uid="{10892921-86DF-4980-94DA-68E58390BC5E}"/>
    <cellStyle name="Comma 4 3 5 2 2 3" xfId="11407" xr:uid="{1B9C79CB-9A2A-4439-94CD-413F926E582E}"/>
    <cellStyle name="Comma 4 3 5 2 2 4" xfId="19848" xr:uid="{B40FEEA0-0D7C-4797-B8EB-D208B8743960}"/>
    <cellStyle name="Comma 4 3 5 2 3" xfId="5038" xr:uid="{00000000-0005-0000-0000-0000B6090000}"/>
    <cellStyle name="Comma 4 3 5 2 3 2" xfId="13480" xr:uid="{C1FDF7E5-5647-4486-8BAF-40CE2321297A}"/>
    <cellStyle name="Comma 4 3 5 2 3 3" xfId="21920" xr:uid="{514B71C5-B45A-4E19-B1F8-4CBDF5885A01}"/>
    <cellStyle name="Comma 4 3 5 2 4" xfId="9262" xr:uid="{47F05D87-BF9E-41D7-918A-F98D78B998CA}"/>
    <cellStyle name="Comma 4 3 5 2 5" xfId="17703" xr:uid="{1FCD7800-85FE-4320-91BF-021A795EDD95}"/>
    <cellStyle name="Comma 4 3 5 3" xfId="1142" xr:uid="{00000000-0005-0000-0000-0000B7090000}"/>
    <cellStyle name="Comma 4 3 5 3 2" xfId="3373" xr:uid="{00000000-0005-0000-0000-0000B8090000}"/>
    <cellStyle name="Comma 4 3 5 3 2 2" xfId="7596" xr:uid="{00000000-0005-0000-0000-0000B9090000}"/>
    <cellStyle name="Comma 4 3 5 3 2 2 2" xfId="16038" xr:uid="{38A821B1-0753-4EFD-8583-A1B8CAE97A05}"/>
    <cellStyle name="Comma 4 3 5 3 2 2 3" xfId="24478" xr:uid="{83AA59B4-E989-4DD2-9352-F84CA26864B7}"/>
    <cellStyle name="Comma 4 3 5 3 2 3" xfId="11820" xr:uid="{8AA3C275-9219-4E34-908D-BDC9C2B56548}"/>
    <cellStyle name="Comma 4 3 5 3 2 4" xfId="20261" xr:uid="{7252C71F-8FAC-4227-8CE8-0307A25EB886}"/>
    <cellStyle name="Comma 4 3 5 3 3" xfId="5451" xr:uid="{00000000-0005-0000-0000-0000BA090000}"/>
    <cellStyle name="Comma 4 3 5 3 3 2" xfId="13893" xr:uid="{F6294CC9-18C8-4829-82EC-01162CC3568E}"/>
    <cellStyle name="Comma 4 3 5 3 3 3" xfId="22333" xr:uid="{BF66E3C7-7319-4D02-8330-66C760CB349B}"/>
    <cellStyle name="Comma 4 3 5 3 4" xfId="9675" xr:uid="{03356BD4-274B-45BF-80DF-B95F3FD1D6AA}"/>
    <cellStyle name="Comma 4 3 5 3 5" xfId="18116" xr:uid="{049BBE44-C47D-47D4-8512-18C1AC446F60}"/>
    <cellStyle name="Comma 4 3 5 4" xfId="1556" xr:uid="{00000000-0005-0000-0000-0000BB090000}"/>
    <cellStyle name="Comma 4 3 5 4 2" xfId="3786" xr:uid="{00000000-0005-0000-0000-0000BC090000}"/>
    <cellStyle name="Comma 4 3 5 4 2 2" xfId="8009" xr:uid="{00000000-0005-0000-0000-0000BD090000}"/>
    <cellStyle name="Comma 4 3 5 4 2 2 2" xfId="16451" xr:uid="{3A5779C9-A9B2-41CE-9040-0A03CF239331}"/>
    <cellStyle name="Comma 4 3 5 4 2 2 3" xfId="24891" xr:uid="{F3321FD6-3D6A-425D-B115-76025030F9F6}"/>
    <cellStyle name="Comma 4 3 5 4 2 3" xfId="12233" xr:uid="{2654766A-770A-4FE4-9E87-96FB98FF2CC2}"/>
    <cellStyle name="Comma 4 3 5 4 2 4" xfId="20674" xr:uid="{CC3A474F-5BC3-4545-BB0A-2918EF6903A8}"/>
    <cellStyle name="Comma 4 3 5 4 3" xfId="5864" xr:uid="{00000000-0005-0000-0000-0000BE090000}"/>
    <cellStyle name="Comma 4 3 5 4 3 2" xfId="14306" xr:uid="{02963E27-C9F6-445F-8FCF-9E714C99E6C7}"/>
    <cellStyle name="Comma 4 3 5 4 3 3" xfId="22746" xr:uid="{122EEEF5-46D9-4A06-8BA6-E9E06E0DD14D}"/>
    <cellStyle name="Comma 4 3 5 4 4" xfId="10088" xr:uid="{59C9B2EC-7FCC-43F5-955E-855298175879}"/>
    <cellStyle name="Comma 4 3 5 4 5" xfId="18529" xr:uid="{02DF95B2-E064-4527-9058-7D7B8720B7BE}"/>
    <cellStyle name="Comma 4 3 5 5" xfId="1970" xr:uid="{00000000-0005-0000-0000-0000BF090000}"/>
    <cellStyle name="Comma 4 3 5 5 2" xfId="4199" xr:uid="{00000000-0005-0000-0000-0000C0090000}"/>
    <cellStyle name="Comma 4 3 5 5 2 2" xfId="8422" xr:uid="{00000000-0005-0000-0000-0000C1090000}"/>
    <cellStyle name="Comma 4 3 5 5 2 2 2" xfId="16864" xr:uid="{71CF7E3B-BEE4-4DA8-8C84-AF9AB11EB2C0}"/>
    <cellStyle name="Comma 4 3 5 5 2 2 3" xfId="25304" xr:uid="{CAB0DB98-C1CB-4CA4-88FF-DB7A6B1EB195}"/>
    <cellStyle name="Comma 4 3 5 5 2 3" xfId="12646" xr:uid="{858E6510-A9A4-40C6-A052-CB09EA4F314A}"/>
    <cellStyle name="Comma 4 3 5 5 2 4" xfId="21087" xr:uid="{111CA375-2502-4399-A1A2-DB48500F4DE0}"/>
    <cellStyle name="Comma 4 3 5 5 3" xfId="6277" xr:uid="{00000000-0005-0000-0000-0000C2090000}"/>
    <cellStyle name="Comma 4 3 5 5 3 2" xfId="14719" xr:uid="{0784FA90-4BE1-4A57-BAD8-3B79B34BEFB1}"/>
    <cellStyle name="Comma 4 3 5 5 3 3" xfId="23159" xr:uid="{2DCDF360-83F6-4381-A5D9-F3902179D392}"/>
    <cellStyle name="Comma 4 3 5 5 4" xfId="10501" xr:uid="{25A4EEF1-D301-4A38-8DD2-B1F48BC71726}"/>
    <cellStyle name="Comma 4 3 5 5 5" xfId="18942" xr:uid="{48B3F8AD-09F1-41D3-97FE-FE978ED261E9}"/>
    <cellStyle name="Comma 4 3 5 6" xfId="2405" xr:uid="{00000000-0005-0000-0000-0000C3090000}"/>
    <cellStyle name="Comma 4 3 5 6 2" xfId="6690" xr:uid="{00000000-0005-0000-0000-0000C4090000}"/>
    <cellStyle name="Comma 4 3 5 6 2 2" xfId="15132" xr:uid="{510D1734-7182-4410-A398-30F849E2B351}"/>
    <cellStyle name="Comma 4 3 5 6 2 3" xfId="23572" xr:uid="{F00FE952-3D0F-4539-B203-15706590BE7D}"/>
    <cellStyle name="Comma 4 3 5 6 3" xfId="10914" xr:uid="{E9577334-AE38-4424-941A-FF6059895924}"/>
    <cellStyle name="Comma 4 3 5 6 4" xfId="19355" xr:uid="{6AB31CFA-CFB6-49DD-A8FC-15E1D6A228F5}"/>
    <cellStyle name="Comma 4 3 5 7" xfId="2701" xr:uid="{00000000-0005-0000-0000-0000C5090000}"/>
    <cellStyle name="Comma 4 3 5 8" xfId="2783" xr:uid="{00000000-0005-0000-0000-0000C6090000}"/>
    <cellStyle name="Comma 4 3 5 8 2" xfId="7007" xr:uid="{00000000-0005-0000-0000-0000C7090000}"/>
    <cellStyle name="Comma 4 3 5 8 2 2" xfId="15449" xr:uid="{548B594C-ECCC-476F-A190-EF54173569A0}"/>
    <cellStyle name="Comma 4 3 5 8 2 3" xfId="23889" xr:uid="{2851FD57-D09A-472A-B33D-C100ACC9277E}"/>
    <cellStyle name="Comma 4 3 5 8 3" xfId="11231" xr:uid="{96E96829-A828-47C9-8251-42C0B61FEA48}"/>
    <cellStyle name="Comma 4 3 5 8 4" xfId="19672" xr:uid="{D037FF75-B9BA-4D1A-9E65-7FE508C3F5D3}"/>
    <cellStyle name="Comma 4 3 5 9" xfId="4624" xr:uid="{00000000-0005-0000-0000-0000C8090000}"/>
    <cellStyle name="Comma 4 3 5 9 2" xfId="13066" xr:uid="{97E6EB1E-497E-4C44-AA5E-CF33ADAE857D}"/>
    <cellStyle name="Comma 4 3 5 9 3" xfId="21506" xr:uid="{40368B54-AC65-4DAD-A10C-1582D6710062}"/>
    <cellStyle name="Comma 4 4" xfId="153" xr:uid="{00000000-0005-0000-0000-0000C9090000}"/>
    <cellStyle name="Comma 4 4 10" xfId="2784" xr:uid="{00000000-0005-0000-0000-0000CA090000}"/>
    <cellStyle name="Comma 4 4 10 2" xfId="7008" xr:uid="{00000000-0005-0000-0000-0000CB090000}"/>
    <cellStyle name="Comma 4 4 10 2 2" xfId="15450" xr:uid="{3234F720-9D36-467A-8A61-315FC224856A}"/>
    <cellStyle name="Comma 4 4 10 2 3" xfId="23890" xr:uid="{FC1328A9-8A26-4D0D-9E0C-D6817C588257}"/>
    <cellStyle name="Comma 4 4 10 3" xfId="11232" xr:uid="{A4F1B8A7-CCB5-4F5B-8932-17CEA5A2B62C}"/>
    <cellStyle name="Comma 4 4 10 4" xfId="19673" xr:uid="{E9F36961-6073-468E-AE8B-2811FC3CF151}"/>
    <cellStyle name="Comma 4 4 11" xfId="4625" xr:uid="{00000000-0005-0000-0000-0000CC090000}"/>
    <cellStyle name="Comma 4 4 11 2" xfId="13067" xr:uid="{909F0B08-D1C1-4931-9CFD-AFA983A93B32}"/>
    <cellStyle name="Comma 4 4 11 3" xfId="21507" xr:uid="{085C8432-EE58-4887-B7D2-F907D1D834A8}"/>
    <cellStyle name="Comma 4 4 12" xfId="8849" xr:uid="{C0BC37EF-FDF1-4384-BC13-FAE01553D66D}"/>
    <cellStyle name="Comma 4 4 13" xfId="17290" xr:uid="{5070F628-3021-496B-8F64-0D68694D1EFE}"/>
    <cellStyle name="Comma 4 4 2" xfId="154" xr:uid="{00000000-0005-0000-0000-0000CD090000}"/>
    <cellStyle name="Comma 4 4 2 10" xfId="4626" xr:uid="{00000000-0005-0000-0000-0000CE090000}"/>
    <cellStyle name="Comma 4 4 2 10 2" xfId="13068" xr:uid="{C041CEAE-720F-4EA3-9956-7F29652341D4}"/>
    <cellStyle name="Comma 4 4 2 10 3" xfId="21508" xr:uid="{A6525D70-1D19-4A42-8FC4-D31304F5599F}"/>
    <cellStyle name="Comma 4 4 2 11" xfId="8850" xr:uid="{E43B7D69-642C-4DEF-98A8-C30A213D1D49}"/>
    <cellStyle name="Comma 4 4 2 12" xfId="17291" xr:uid="{F799D6A4-91A6-42AB-B84B-9974AF22EA9E}"/>
    <cellStyle name="Comma 4 4 2 2" xfId="155" xr:uid="{00000000-0005-0000-0000-0000CF090000}"/>
    <cellStyle name="Comma 4 4 2 2 10" xfId="8851" xr:uid="{5BDD9F9C-3A51-4A70-B9D5-C76AB5DE69E2}"/>
    <cellStyle name="Comma 4 4 2 2 11" xfId="17292" xr:uid="{3AC1DAE9-808A-4797-BB52-9931B53DF16A}"/>
    <cellStyle name="Comma 4 4 2 2 2" xfId="692" xr:uid="{00000000-0005-0000-0000-0000D0090000}"/>
    <cellStyle name="Comma 4 4 2 2 2 2" xfId="2963" xr:uid="{00000000-0005-0000-0000-0000D1090000}"/>
    <cellStyle name="Comma 4 4 2 2 2 2 2" xfId="7186" xr:uid="{00000000-0005-0000-0000-0000D2090000}"/>
    <cellStyle name="Comma 4 4 2 2 2 2 2 2" xfId="15628" xr:uid="{59E5182D-AFA7-48A7-851A-BE607DE63E30}"/>
    <cellStyle name="Comma 4 4 2 2 2 2 2 3" xfId="24068" xr:uid="{D8566940-F5B5-4EAB-881C-E7060A55848A}"/>
    <cellStyle name="Comma 4 4 2 2 2 2 3" xfId="11410" xr:uid="{C7FA3DC8-AF97-4091-A8FD-134EBEA18745}"/>
    <cellStyle name="Comma 4 4 2 2 2 2 4" xfId="19851" xr:uid="{6C646213-3516-4AD8-AFCA-D1A6EA85B18C}"/>
    <cellStyle name="Comma 4 4 2 2 2 3" xfId="5041" xr:uid="{00000000-0005-0000-0000-0000D3090000}"/>
    <cellStyle name="Comma 4 4 2 2 2 3 2" xfId="13483" xr:uid="{18526A42-5107-4532-8DF2-B64C1BDA19C0}"/>
    <cellStyle name="Comma 4 4 2 2 2 3 3" xfId="21923" xr:uid="{74BED5EF-95EC-4ED8-ABAB-D68D129125CC}"/>
    <cellStyle name="Comma 4 4 2 2 2 4" xfId="9265" xr:uid="{AC8ECFEC-A229-4590-A1B9-39C672A5F7CB}"/>
    <cellStyle name="Comma 4 4 2 2 2 5" xfId="17706" xr:uid="{CBEF0285-D065-4913-9574-96B4CE8F3A2A}"/>
    <cellStyle name="Comma 4 4 2 2 3" xfId="1145" xr:uid="{00000000-0005-0000-0000-0000D4090000}"/>
    <cellStyle name="Comma 4 4 2 2 3 2" xfId="3376" xr:uid="{00000000-0005-0000-0000-0000D5090000}"/>
    <cellStyle name="Comma 4 4 2 2 3 2 2" xfId="7599" xr:uid="{00000000-0005-0000-0000-0000D6090000}"/>
    <cellStyle name="Comma 4 4 2 2 3 2 2 2" xfId="16041" xr:uid="{020B430C-4C86-48A5-AC39-D029FD152FA9}"/>
    <cellStyle name="Comma 4 4 2 2 3 2 2 3" xfId="24481" xr:uid="{2805B3C4-477C-41F4-B6E5-A83D430A4C23}"/>
    <cellStyle name="Comma 4 4 2 2 3 2 3" xfId="11823" xr:uid="{98598D7B-A3BA-4374-848F-CD546A0E937A}"/>
    <cellStyle name="Comma 4 4 2 2 3 2 4" xfId="20264" xr:uid="{22A69C8D-05DD-4037-87AF-74E3B6F9A122}"/>
    <cellStyle name="Comma 4 4 2 2 3 3" xfId="5454" xr:uid="{00000000-0005-0000-0000-0000D7090000}"/>
    <cellStyle name="Comma 4 4 2 2 3 3 2" xfId="13896" xr:uid="{511CCE16-A793-4AB2-8B72-2592DA712405}"/>
    <cellStyle name="Comma 4 4 2 2 3 3 3" xfId="22336" xr:uid="{5AAF9EA6-CD2D-4EE9-998F-F5BF08D26DD7}"/>
    <cellStyle name="Comma 4 4 2 2 3 4" xfId="9678" xr:uid="{CFB6E5A1-A20D-4A00-8085-59871C646066}"/>
    <cellStyle name="Comma 4 4 2 2 3 5" xfId="18119" xr:uid="{9AB868D1-8758-4DB6-A695-32E172745DAB}"/>
    <cellStyle name="Comma 4 4 2 2 4" xfId="1559" xr:uid="{00000000-0005-0000-0000-0000D8090000}"/>
    <cellStyle name="Comma 4 4 2 2 4 2" xfId="3789" xr:uid="{00000000-0005-0000-0000-0000D9090000}"/>
    <cellStyle name="Comma 4 4 2 2 4 2 2" xfId="8012" xr:uid="{00000000-0005-0000-0000-0000DA090000}"/>
    <cellStyle name="Comma 4 4 2 2 4 2 2 2" xfId="16454" xr:uid="{373BCA97-FBD4-4761-B4EF-EC2C75F91F94}"/>
    <cellStyle name="Comma 4 4 2 2 4 2 2 3" xfId="24894" xr:uid="{26028BDA-F245-49CB-8621-1551A54FF658}"/>
    <cellStyle name="Comma 4 4 2 2 4 2 3" xfId="12236" xr:uid="{F9CD8816-4E33-4027-9CA2-C16C73A326A4}"/>
    <cellStyle name="Comma 4 4 2 2 4 2 4" xfId="20677" xr:uid="{F1513749-8669-4D12-BABB-9F4F058AA92E}"/>
    <cellStyle name="Comma 4 4 2 2 4 3" xfId="5867" xr:uid="{00000000-0005-0000-0000-0000DB090000}"/>
    <cellStyle name="Comma 4 4 2 2 4 3 2" xfId="14309" xr:uid="{5A542B17-16F0-4DEA-AEA6-1D0142433C4F}"/>
    <cellStyle name="Comma 4 4 2 2 4 3 3" xfId="22749" xr:uid="{36010901-3250-49B9-9314-BCF8A7A51194}"/>
    <cellStyle name="Comma 4 4 2 2 4 4" xfId="10091" xr:uid="{DDAB1C99-174D-44F7-8F02-4757ACCD5BDF}"/>
    <cellStyle name="Comma 4 4 2 2 4 5" xfId="18532" xr:uid="{2F8C4E97-E3CB-4829-AA4A-0938EFAD9864}"/>
    <cellStyle name="Comma 4 4 2 2 5" xfId="1973" xr:uid="{00000000-0005-0000-0000-0000DC090000}"/>
    <cellStyle name="Comma 4 4 2 2 5 2" xfId="4202" xr:uid="{00000000-0005-0000-0000-0000DD090000}"/>
    <cellStyle name="Comma 4 4 2 2 5 2 2" xfId="8425" xr:uid="{00000000-0005-0000-0000-0000DE090000}"/>
    <cellStyle name="Comma 4 4 2 2 5 2 2 2" xfId="16867" xr:uid="{16A6A964-E4ED-4C12-AEE2-9439E96850FD}"/>
    <cellStyle name="Comma 4 4 2 2 5 2 2 3" xfId="25307" xr:uid="{3B4DF9A5-1176-4A06-88B6-0F272F9C86FA}"/>
    <cellStyle name="Comma 4 4 2 2 5 2 3" xfId="12649" xr:uid="{E4A0989D-56A1-41C8-8DCF-2775B6DFE726}"/>
    <cellStyle name="Comma 4 4 2 2 5 2 4" xfId="21090" xr:uid="{18631F85-D7D9-4036-AB4A-FA4DA5DBDA8C}"/>
    <cellStyle name="Comma 4 4 2 2 5 3" xfId="6280" xr:uid="{00000000-0005-0000-0000-0000DF090000}"/>
    <cellStyle name="Comma 4 4 2 2 5 3 2" xfId="14722" xr:uid="{07B860A2-4687-489D-996D-88CA92989EF2}"/>
    <cellStyle name="Comma 4 4 2 2 5 3 3" xfId="23162" xr:uid="{C7732247-3350-4628-872F-73898DA88809}"/>
    <cellStyle name="Comma 4 4 2 2 5 4" xfId="10504" xr:uid="{ED51F844-DD02-4245-82B7-479C79149CD3}"/>
    <cellStyle name="Comma 4 4 2 2 5 5" xfId="18945" xr:uid="{A5403F67-9FC5-485B-8D46-4B6CB877F0D0}"/>
    <cellStyle name="Comma 4 4 2 2 6" xfId="2408" xr:uid="{00000000-0005-0000-0000-0000E0090000}"/>
    <cellStyle name="Comma 4 4 2 2 6 2" xfId="6693" xr:uid="{00000000-0005-0000-0000-0000E1090000}"/>
    <cellStyle name="Comma 4 4 2 2 6 2 2" xfId="15135" xr:uid="{A30661F8-1322-4524-BDF7-8806955F7906}"/>
    <cellStyle name="Comma 4 4 2 2 6 2 3" xfId="23575" xr:uid="{87342BBD-1614-4C20-825F-6B96DAD63CA1}"/>
    <cellStyle name="Comma 4 4 2 2 6 3" xfId="10917" xr:uid="{3919287C-0367-4E66-9CCE-D017FE99B74A}"/>
    <cellStyle name="Comma 4 4 2 2 6 4" xfId="19358" xr:uid="{FA391527-E1E4-4FAC-9D95-1DBDCE534A2F}"/>
    <cellStyle name="Comma 4 4 2 2 7" xfId="2704" xr:uid="{00000000-0005-0000-0000-0000E2090000}"/>
    <cellStyle name="Comma 4 4 2 2 8" xfId="2786" xr:uid="{00000000-0005-0000-0000-0000E3090000}"/>
    <cellStyle name="Comma 4 4 2 2 8 2" xfId="7010" xr:uid="{00000000-0005-0000-0000-0000E4090000}"/>
    <cellStyle name="Comma 4 4 2 2 8 2 2" xfId="15452" xr:uid="{AACAD68A-0077-4E33-9989-32C39C3A17D2}"/>
    <cellStyle name="Comma 4 4 2 2 8 2 3" xfId="23892" xr:uid="{85506042-0F0B-48BF-9134-8F7B641C986D}"/>
    <cellStyle name="Comma 4 4 2 2 8 3" xfId="11234" xr:uid="{90E25E02-2742-4A1B-90EE-AB869C575A8C}"/>
    <cellStyle name="Comma 4 4 2 2 8 4" xfId="19675" xr:uid="{B6E4F55E-40A9-4476-B6A3-CF677021B448}"/>
    <cellStyle name="Comma 4 4 2 2 9" xfId="4627" xr:uid="{00000000-0005-0000-0000-0000E5090000}"/>
    <cellStyle name="Comma 4 4 2 2 9 2" xfId="13069" xr:uid="{BF445E9E-0F91-49A9-846E-D51C19CDA71B}"/>
    <cellStyle name="Comma 4 4 2 2 9 3" xfId="21509" xr:uid="{E0A5CA53-B79A-439C-9F5B-56373D0CBAF9}"/>
    <cellStyle name="Comma 4 4 2 3" xfId="691" xr:uid="{00000000-0005-0000-0000-0000E6090000}"/>
    <cellStyle name="Comma 4 4 2 3 2" xfId="2962" xr:uid="{00000000-0005-0000-0000-0000E7090000}"/>
    <cellStyle name="Comma 4 4 2 3 2 2" xfId="7185" xr:uid="{00000000-0005-0000-0000-0000E8090000}"/>
    <cellStyle name="Comma 4 4 2 3 2 2 2" xfId="15627" xr:uid="{057379F7-FA0D-48B0-A161-D87654BDA2E5}"/>
    <cellStyle name="Comma 4 4 2 3 2 2 3" xfId="24067" xr:uid="{60ECAD69-7932-4ED4-A101-FFB8F0A19DA1}"/>
    <cellStyle name="Comma 4 4 2 3 2 3" xfId="11409" xr:uid="{5BFBC15E-62B0-4517-9B4F-CC163570B05C}"/>
    <cellStyle name="Comma 4 4 2 3 2 4" xfId="19850" xr:uid="{4B2AE847-493A-4D33-B769-2956177BB337}"/>
    <cellStyle name="Comma 4 4 2 3 3" xfId="5040" xr:uid="{00000000-0005-0000-0000-0000E9090000}"/>
    <cellStyle name="Comma 4 4 2 3 3 2" xfId="13482" xr:uid="{F10E800C-9C6F-43DB-BBF0-50716BB717F7}"/>
    <cellStyle name="Comma 4 4 2 3 3 3" xfId="21922" xr:uid="{1BB2AAC0-A2C4-4929-AFEA-28E0C39DBF7A}"/>
    <cellStyle name="Comma 4 4 2 3 4" xfId="9264" xr:uid="{5AB500D6-D581-42AB-98D8-962DB4A5F404}"/>
    <cellStyle name="Comma 4 4 2 3 5" xfId="17705" xr:uid="{035F0013-3250-4321-BBF2-686656B1143F}"/>
    <cellStyle name="Comma 4 4 2 4" xfId="1144" xr:uid="{00000000-0005-0000-0000-0000EA090000}"/>
    <cellStyle name="Comma 4 4 2 4 2" xfId="3375" xr:uid="{00000000-0005-0000-0000-0000EB090000}"/>
    <cellStyle name="Comma 4 4 2 4 2 2" xfId="7598" xr:uid="{00000000-0005-0000-0000-0000EC090000}"/>
    <cellStyle name="Comma 4 4 2 4 2 2 2" xfId="16040" xr:uid="{3D031250-389A-4226-B678-A2BAC7CB4B29}"/>
    <cellStyle name="Comma 4 4 2 4 2 2 3" xfId="24480" xr:uid="{1005B019-6D16-4F31-B9BC-2DC277A48CAC}"/>
    <cellStyle name="Comma 4 4 2 4 2 3" xfId="11822" xr:uid="{3EBA660D-3A4E-40AD-87A4-3CDC9B5ACBA9}"/>
    <cellStyle name="Comma 4 4 2 4 2 4" xfId="20263" xr:uid="{8CFC601E-82C5-45AF-8FD4-C660500FC95C}"/>
    <cellStyle name="Comma 4 4 2 4 3" xfId="5453" xr:uid="{00000000-0005-0000-0000-0000ED090000}"/>
    <cellStyle name="Comma 4 4 2 4 3 2" xfId="13895" xr:uid="{C66B3F47-71FC-41F5-B692-9FE34BEE3804}"/>
    <cellStyle name="Comma 4 4 2 4 3 3" xfId="22335" xr:uid="{CEB670CA-E722-44E6-BA42-6511DA37A65B}"/>
    <cellStyle name="Comma 4 4 2 4 4" xfId="9677" xr:uid="{6A51C607-7155-4648-BBDB-42D872A17879}"/>
    <cellStyle name="Comma 4 4 2 4 5" xfId="18118" xr:uid="{2D0FCF21-291A-436C-B5EB-BEF0D6BB6BA2}"/>
    <cellStyle name="Comma 4 4 2 5" xfId="1558" xr:uid="{00000000-0005-0000-0000-0000EE090000}"/>
    <cellStyle name="Comma 4 4 2 5 2" xfId="3788" xr:uid="{00000000-0005-0000-0000-0000EF090000}"/>
    <cellStyle name="Comma 4 4 2 5 2 2" xfId="8011" xr:uid="{00000000-0005-0000-0000-0000F0090000}"/>
    <cellStyle name="Comma 4 4 2 5 2 2 2" xfId="16453" xr:uid="{C4084027-0EF1-4571-9E75-E29D47108E7C}"/>
    <cellStyle name="Comma 4 4 2 5 2 2 3" xfId="24893" xr:uid="{BF1B0837-213B-4E4B-8DC9-0289544B5495}"/>
    <cellStyle name="Comma 4 4 2 5 2 3" xfId="12235" xr:uid="{2D5CEB80-1ED5-4461-8219-23CFE5793A3B}"/>
    <cellStyle name="Comma 4 4 2 5 2 4" xfId="20676" xr:uid="{CF868DFB-60E2-4333-A46E-CA4A5A5AFFF8}"/>
    <cellStyle name="Comma 4 4 2 5 3" xfId="5866" xr:uid="{00000000-0005-0000-0000-0000F1090000}"/>
    <cellStyle name="Comma 4 4 2 5 3 2" xfId="14308" xr:uid="{CE8D04B1-A94B-4C3D-BCB8-0341E2405B5A}"/>
    <cellStyle name="Comma 4 4 2 5 3 3" xfId="22748" xr:uid="{C4D8CE71-EA44-4193-9FF5-FABBD69FC011}"/>
    <cellStyle name="Comma 4 4 2 5 4" xfId="10090" xr:uid="{D1ED2CA0-6C16-4349-B321-A4A2E6CC477E}"/>
    <cellStyle name="Comma 4 4 2 5 5" xfId="18531" xr:uid="{203A2A23-C24A-4640-98A1-66EB35FA9449}"/>
    <cellStyle name="Comma 4 4 2 6" xfId="1972" xr:uid="{00000000-0005-0000-0000-0000F2090000}"/>
    <cellStyle name="Comma 4 4 2 6 2" xfId="4201" xr:uid="{00000000-0005-0000-0000-0000F3090000}"/>
    <cellStyle name="Comma 4 4 2 6 2 2" xfId="8424" xr:uid="{00000000-0005-0000-0000-0000F4090000}"/>
    <cellStyle name="Comma 4 4 2 6 2 2 2" xfId="16866" xr:uid="{B7207218-A67E-48E9-AE7E-BE8652AAC4CA}"/>
    <cellStyle name="Comma 4 4 2 6 2 2 3" xfId="25306" xr:uid="{E591001B-1764-4D35-A7EC-99CB1AE07672}"/>
    <cellStyle name="Comma 4 4 2 6 2 3" xfId="12648" xr:uid="{3BCAA1FD-A1F8-4A1A-8477-95D2B2E9798A}"/>
    <cellStyle name="Comma 4 4 2 6 2 4" xfId="21089" xr:uid="{47E0C683-1AD0-4C32-A767-DDEB4E5EBB48}"/>
    <cellStyle name="Comma 4 4 2 6 3" xfId="6279" xr:uid="{00000000-0005-0000-0000-0000F5090000}"/>
    <cellStyle name="Comma 4 4 2 6 3 2" xfId="14721" xr:uid="{881C527B-EB87-4786-A50D-5EAA0F8E891E}"/>
    <cellStyle name="Comma 4 4 2 6 3 3" xfId="23161" xr:uid="{CC955FFD-85B7-45E5-B7CB-8F20082B0472}"/>
    <cellStyle name="Comma 4 4 2 6 4" xfId="10503" xr:uid="{3A0EE885-3EF3-4F37-89CF-C84F08DC69EE}"/>
    <cellStyle name="Comma 4 4 2 6 5" xfId="18944" xr:uid="{7BAA3727-0D24-47D4-97B9-8AE616AC1906}"/>
    <cellStyle name="Comma 4 4 2 7" xfId="2407" xr:uid="{00000000-0005-0000-0000-0000F6090000}"/>
    <cellStyle name="Comma 4 4 2 7 2" xfId="6692" xr:uid="{00000000-0005-0000-0000-0000F7090000}"/>
    <cellStyle name="Comma 4 4 2 7 2 2" xfId="15134" xr:uid="{2D17C8C3-F301-44ED-BF34-51E0FEB29549}"/>
    <cellStyle name="Comma 4 4 2 7 2 3" xfId="23574" xr:uid="{CAD187F4-2239-45FD-B66E-D9E74C8EFBC4}"/>
    <cellStyle name="Comma 4 4 2 7 3" xfId="10916" xr:uid="{755FB26E-F4A4-4912-B06A-F8186F555EB2}"/>
    <cellStyle name="Comma 4 4 2 7 4" xfId="19357" xr:uid="{1283FA40-E10F-4DAF-B8B9-DF0D4640EB85}"/>
    <cellStyle name="Comma 4 4 2 8" xfId="2703" xr:uid="{00000000-0005-0000-0000-0000F8090000}"/>
    <cellStyle name="Comma 4 4 2 9" xfId="2785" xr:uid="{00000000-0005-0000-0000-0000F9090000}"/>
    <cellStyle name="Comma 4 4 2 9 2" xfId="7009" xr:uid="{00000000-0005-0000-0000-0000FA090000}"/>
    <cellStyle name="Comma 4 4 2 9 2 2" xfId="15451" xr:uid="{1203F831-9A9F-4F0E-896F-1BA313DBE80B}"/>
    <cellStyle name="Comma 4 4 2 9 2 3" xfId="23891" xr:uid="{6093D24C-6794-4819-93E1-0DBA999AEFC3}"/>
    <cellStyle name="Comma 4 4 2 9 3" xfId="11233" xr:uid="{6FC07244-9B0A-4206-8CF8-AC917A37A491}"/>
    <cellStyle name="Comma 4 4 2 9 4" xfId="19674" xr:uid="{1B17B53B-3A17-4D58-B41D-18A7CB9F695E}"/>
    <cellStyle name="Comma 4 4 3" xfId="156" xr:uid="{00000000-0005-0000-0000-0000FB090000}"/>
    <cellStyle name="Comma 4 4 3 10" xfId="8852" xr:uid="{E31314B7-2D9E-4664-8716-859CB6C8B942}"/>
    <cellStyle name="Comma 4 4 3 11" xfId="17293" xr:uid="{4F78C0E0-F7E3-475E-A8D2-B3EC00043010}"/>
    <cellStyle name="Comma 4 4 3 2" xfId="693" xr:uid="{00000000-0005-0000-0000-0000FC090000}"/>
    <cellStyle name="Comma 4 4 3 2 2" xfId="2964" xr:uid="{00000000-0005-0000-0000-0000FD090000}"/>
    <cellStyle name="Comma 4 4 3 2 2 2" xfId="7187" xr:uid="{00000000-0005-0000-0000-0000FE090000}"/>
    <cellStyle name="Comma 4 4 3 2 2 2 2" xfId="15629" xr:uid="{4016A425-EFC6-43C0-8056-DA4E61AC7457}"/>
    <cellStyle name="Comma 4 4 3 2 2 2 3" xfId="24069" xr:uid="{0BAEE192-DBCB-400E-BF63-0448D334D862}"/>
    <cellStyle name="Comma 4 4 3 2 2 3" xfId="11411" xr:uid="{33BDB1D3-34A5-443E-8ACC-22CB885B8352}"/>
    <cellStyle name="Comma 4 4 3 2 2 4" xfId="19852" xr:uid="{242EA28A-C2D7-48F8-A63B-C932F3B585EA}"/>
    <cellStyle name="Comma 4 4 3 2 3" xfId="5042" xr:uid="{00000000-0005-0000-0000-0000FF090000}"/>
    <cellStyle name="Comma 4 4 3 2 3 2" xfId="13484" xr:uid="{2FDFF08D-3BAA-43E9-963B-77198D39C25B}"/>
    <cellStyle name="Comma 4 4 3 2 3 3" xfId="21924" xr:uid="{C3FA6862-79C9-42E4-8004-BA1E7E7B3761}"/>
    <cellStyle name="Comma 4 4 3 2 4" xfId="9266" xr:uid="{C97F8F50-790C-46E7-B9D6-B65A0886D4EC}"/>
    <cellStyle name="Comma 4 4 3 2 5" xfId="17707" xr:uid="{A607BBEE-DDAD-485C-B29B-312BCDE88018}"/>
    <cellStyle name="Comma 4 4 3 3" xfId="1146" xr:uid="{00000000-0005-0000-0000-0000000A0000}"/>
    <cellStyle name="Comma 4 4 3 3 2" xfId="3377" xr:uid="{00000000-0005-0000-0000-0000010A0000}"/>
    <cellStyle name="Comma 4 4 3 3 2 2" xfId="7600" xr:uid="{00000000-0005-0000-0000-0000020A0000}"/>
    <cellStyle name="Comma 4 4 3 3 2 2 2" xfId="16042" xr:uid="{6D447533-0571-49DC-AAD0-824DDB59E7A4}"/>
    <cellStyle name="Comma 4 4 3 3 2 2 3" xfId="24482" xr:uid="{6FBC3A7A-A4F0-415E-BEC7-F148088A2056}"/>
    <cellStyle name="Comma 4 4 3 3 2 3" xfId="11824" xr:uid="{E3DFF2F3-0D4F-4E73-AD75-B6902F7C7D2A}"/>
    <cellStyle name="Comma 4 4 3 3 2 4" xfId="20265" xr:uid="{66866FEB-6F31-457A-BEC9-C924428E0E59}"/>
    <cellStyle name="Comma 4 4 3 3 3" xfId="5455" xr:uid="{00000000-0005-0000-0000-0000030A0000}"/>
    <cellStyle name="Comma 4 4 3 3 3 2" xfId="13897" xr:uid="{0199CAB9-3A30-4B4C-AD14-929E57E4629C}"/>
    <cellStyle name="Comma 4 4 3 3 3 3" xfId="22337" xr:uid="{CA520E4F-FB8F-4F28-AAD0-A7CBE3DCFE0E}"/>
    <cellStyle name="Comma 4 4 3 3 4" xfId="9679" xr:uid="{BEC17E77-B1EF-457D-8276-754CB11579C5}"/>
    <cellStyle name="Comma 4 4 3 3 5" xfId="18120" xr:uid="{811384B1-1236-43C4-B548-3F6F22ED5063}"/>
    <cellStyle name="Comma 4 4 3 4" xfId="1560" xr:uid="{00000000-0005-0000-0000-0000040A0000}"/>
    <cellStyle name="Comma 4 4 3 4 2" xfId="3790" xr:uid="{00000000-0005-0000-0000-0000050A0000}"/>
    <cellStyle name="Comma 4 4 3 4 2 2" xfId="8013" xr:uid="{00000000-0005-0000-0000-0000060A0000}"/>
    <cellStyle name="Comma 4 4 3 4 2 2 2" xfId="16455" xr:uid="{2BCDCF11-CB2A-4AA1-A744-2FA21D97244B}"/>
    <cellStyle name="Comma 4 4 3 4 2 2 3" xfId="24895" xr:uid="{D0C69907-1FC0-4D7D-B4C7-E486B3758595}"/>
    <cellStyle name="Comma 4 4 3 4 2 3" xfId="12237" xr:uid="{EC01558B-66C6-4B70-8F21-08AEB257005F}"/>
    <cellStyle name="Comma 4 4 3 4 2 4" xfId="20678" xr:uid="{31D4D986-232D-4AF7-A607-756B2127AB4C}"/>
    <cellStyle name="Comma 4 4 3 4 3" xfId="5868" xr:uid="{00000000-0005-0000-0000-0000070A0000}"/>
    <cellStyle name="Comma 4 4 3 4 3 2" xfId="14310" xr:uid="{B8BBA54D-FA95-43B6-BB5D-E4681F1596BE}"/>
    <cellStyle name="Comma 4 4 3 4 3 3" xfId="22750" xr:uid="{9650CFB2-3D66-40B6-85C1-D7AD7B9C0F45}"/>
    <cellStyle name="Comma 4 4 3 4 4" xfId="10092" xr:uid="{4698FA80-45ED-41C6-BD61-21490E66ED12}"/>
    <cellStyle name="Comma 4 4 3 4 5" xfId="18533" xr:uid="{D40726F3-6395-4E4A-9BC6-EEF62506DC8F}"/>
    <cellStyle name="Comma 4 4 3 5" xfId="1974" xr:uid="{00000000-0005-0000-0000-0000080A0000}"/>
    <cellStyle name="Comma 4 4 3 5 2" xfId="4203" xr:uid="{00000000-0005-0000-0000-0000090A0000}"/>
    <cellStyle name="Comma 4 4 3 5 2 2" xfId="8426" xr:uid="{00000000-0005-0000-0000-00000A0A0000}"/>
    <cellStyle name="Comma 4 4 3 5 2 2 2" xfId="16868" xr:uid="{24DA8CC0-7AF9-42A2-9619-B6F12141372C}"/>
    <cellStyle name="Comma 4 4 3 5 2 2 3" xfId="25308" xr:uid="{3EA355B3-33E4-479C-988F-8C23AE818804}"/>
    <cellStyle name="Comma 4 4 3 5 2 3" xfId="12650" xr:uid="{F0D33132-CC5B-4667-8E39-510223D51671}"/>
    <cellStyle name="Comma 4 4 3 5 2 4" xfId="21091" xr:uid="{A5202668-10E7-423D-8036-3BEB1C581FEB}"/>
    <cellStyle name="Comma 4 4 3 5 3" xfId="6281" xr:uid="{00000000-0005-0000-0000-00000B0A0000}"/>
    <cellStyle name="Comma 4 4 3 5 3 2" xfId="14723" xr:uid="{60553B38-838C-481C-98D2-8888428B3C62}"/>
    <cellStyle name="Comma 4 4 3 5 3 3" xfId="23163" xr:uid="{654A1AC4-378A-4D45-9FA3-90B65DE9076D}"/>
    <cellStyle name="Comma 4 4 3 5 4" xfId="10505" xr:uid="{F7418DF1-933F-4C5D-8C0A-C32FF7AEDD28}"/>
    <cellStyle name="Comma 4 4 3 5 5" xfId="18946" xr:uid="{1FE3FB2E-56D8-46E5-8380-C8028CE0E4FE}"/>
    <cellStyle name="Comma 4 4 3 6" xfId="2409" xr:uid="{00000000-0005-0000-0000-00000C0A0000}"/>
    <cellStyle name="Comma 4 4 3 6 2" xfId="6694" xr:uid="{00000000-0005-0000-0000-00000D0A0000}"/>
    <cellStyle name="Comma 4 4 3 6 2 2" xfId="15136" xr:uid="{26BF2D01-1FE0-4272-8256-43BBD006469C}"/>
    <cellStyle name="Comma 4 4 3 6 2 3" xfId="23576" xr:uid="{163F1697-FE48-4016-93B9-7AAF5BD441F5}"/>
    <cellStyle name="Comma 4 4 3 6 3" xfId="10918" xr:uid="{18E7B2CB-064F-409A-8134-61A62C623490}"/>
    <cellStyle name="Comma 4 4 3 6 4" xfId="19359" xr:uid="{A061D699-BD70-4633-A21D-FB2FD99EBF08}"/>
    <cellStyle name="Comma 4 4 3 7" xfId="2705" xr:uid="{00000000-0005-0000-0000-00000E0A0000}"/>
    <cellStyle name="Comma 4 4 3 8" xfId="2787" xr:uid="{00000000-0005-0000-0000-00000F0A0000}"/>
    <cellStyle name="Comma 4 4 3 8 2" xfId="7011" xr:uid="{00000000-0005-0000-0000-0000100A0000}"/>
    <cellStyle name="Comma 4 4 3 8 2 2" xfId="15453" xr:uid="{8B7E556E-3E2E-4745-8E6B-0438A4625F17}"/>
    <cellStyle name="Comma 4 4 3 8 2 3" xfId="23893" xr:uid="{D0C9A624-B36D-4688-840E-D70E5F2ACC1D}"/>
    <cellStyle name="Comma 4 4 3 8 3" xfId="11235" xr:uid="{5EA37675-1512-400E-AB79-840A98D87546}"/>
    <cellStyle name="Comma 4 4 3 8 4" xfId="19676" xr:uid="{D468988B-70F1-4E3C-BE91-EAC7A849193C}"/>
    <cellStyle name="Comma 4 4 3 9" xfId="4628" xr:uid="{00000000-0005-0000-0000-0000110A0000}"/>
    <cellStyle name="Comma 4 4 3 9 2" xfId="13070" xr:uid="{A5EB3EB7-D601-4CD7-B1C1-6A3F2A20A185}"/>
    <cellStyle name="Comma 4 4 3 9 3" xfId="21510" xr:uid="{6C66D481-590B-4DA3-AF61-0B0D75172390}"/>
    <cellStyle name="Comma 4 4 4" xfId="690" xr:uid="{00000000-0005-0000-0000-0000120A0000}"/>
    <cellStyle name="Comma 4 4 4 2" xfId="2961" xr:uid="{00000000-0005-0000-0000-0000130A0000}"/>
    <cellStyle name="Comma 4 4 4 2 2" xfId="7184" xr:uid="{00000000-0005-0000-0000-0000140A0000}"/>
    <cellStyle name="Comma 4 4 4 2 2 2" xfId="15626" xr:uid="{E64E1821-8865-48A6-9B11-072E2A1C2C6C}"/>
    <cellStyle name="Comma 4 4 4 2 2 3" xfId="24066" xr:uid="{CA3749BF-FB1E-46F1-860B-21115DBADEDD}"/>
    <cellStyle name="Comma 4 4 4 2 3" xfId="11408" xr:uid="{C66596F9-B750-4A2B-9AD6-96AD4A258D96}"/>
    <cellStyle name="Comma 4 4 4 2 4" xfId="19849" xr:uid="{014185A6-549E-4D05-AB7D-355BBCC530E3}"/>
    <cellStyle name="Comma 4 4 4 3" xfId="5039" xr:uid="{00000000-0005-0000-0000-0000150A0000}"/>
    <cellStyle name="Comma 4 4 4 3 2" xfId="13481" xr:uid="{25B3283E-AB8A-4BA0-AD12-C09F643CB40A}"/>
    <cellStyle name="Comma 4 4 4 3 3" xfId="21921" xr:uid="{07B697A0-55D7-4719-8527-804C2C4193F1}"/>
    <cellStyle name="Comma 4 4 4 4" xfId="9263" xr:uid="{0100F0A9-EB93-45B7-B380-542FC16582E9}"/>
    <cellStyle name="Comma 4 4 4 5" xfId="17704" xr:uid="{BE8854F6-176B-4C36-BF9F-672DE5B380FD}"/>
    <cellStyle name="Comma 4 4 5" xfId="1143" xr:uid="{00000000-0005-0000-0000-0000160A0000}"/>
    <cellStyle name="Comma 4 4 5 2" xfId="3374" xr:uid="{00000000-0005-0000-0000-0000170A0000}"/>
    <cellStyle name="Comma 4 4 5 2 2" xfId="7597" xr:uid="{00000000-0005-0000-0000-0000180A0000}"/>
    <cellStyle name="Comma 4 4 5 2 2 2" xfId="16039" xr:uid="{1725FD0A-2ABF-4202-9149-25780D14E5E4}"/>
    <cellStyle name="Comma 4 4 5 2 2 3" xfId="24479" xr:uid="{8D5E0D83-3835-40D0-9137-A062E744941B}"/>
    <cellStyle name="Comma 4 4 5 2 3" xfId="11821" xr:uid="{E83F5B54-9521-46F4-B931-3FEE4488DCA4}"/>
    <cellStyle name="Comma 4 4 5 2 4" xfId="20262" xr:uid="{9F5866C5-7FE1-40C1-8B4D-2D5E4A1ADF48}"/>
    <cellStyle name="Comma 4 4 5 3" xfId="5452" xr:uid="{00000000-0005-0000-0000-0000190A0000}"/>
    <cellStyle name="Comma 4 4 5 3 2" xfId="13894" xr:uid="{5A637792-11C0-40DA-BE7C-5FDA186725E0}"/>
    <cellStyle name="Comma 4 4 5 3 3" xfId="22334" xr:uid="{CD4C9404-C430-4EDF-A23F-6654D2C5B8C0}"/>
    <cellStyle name="Comma 4 4 5 4" xfId="9676" xr:uid="{5B12AE39-A247-49E8-AD8C-EC0DF6AFFBDA}"/>
    <cellStyle name="Comma 4 4 5 5" xfId="18117" xr:uid="{0BF95940-96F1-4932-A249-F2F3E3FD255C}"/>
    <cellStyle name="Comma 4 4 6" xfId="1557" xr:uid="{00000000-0005-0000-0000-00001A0A0000}"/>
    <cellStyle name="Comma 4 4 6 2" xfId="3787" xr:uid="{00000000-0005-0000-0000-00001B0A0000}"/>
    <cellStyle name="Comma 4 4 6 2 2" xfId="8010" xr:uid="{00000000-0005-0000-0000-00001C0A0000}"/>
    <cellStyle name="Comma 4 4 6 2 2 2" xfId="16452" xr:uid="{98F34F61-1652-4EE9-906E-EBE599AE28EE}"/>
    <cellStyle name="Comma 4 4 6 2 2 3" xfId="24892" xr:uid="{FAA05D63-8730-4F9D-A535-41E6ED354994}"/>
    <cellStyle name="Comma 4 4 6 2 3" xfId="12234" xr:uid="{7F95AE84-870F-4750-899D-BB82B7DB96A7}"/>
    <cellStyle name="Comma 4 4 6 2 4" xfId="20675" xr:uid="{42943D37-5D4C-4937-8537-52CB3E0F099C}"/>
    <cellStyle name="Comma 4 4 6 3" xfId="5865" xr:uid="{00000000-0005-0000-0000-00001D0A0000}"/>
    <cellStyle name="Comma 4 4 6 3 2" xfId="14307" xr:uid="{3434FA19-0D8E-4AE1-8F5C-F932CC20899E}"/>
    <cellStyle name="Comma 4 4 6 3 3" xfId="22747" xr:uid="{627246E1-E640-49EC-928A-CC93B8C44414}"/>
    <cellStyle name="Comma 4 4 6 4" xfId="10089" xr:uid="{29E83FC2-0C87-474A-A48A-299720BC17D1}"/>
    <cellStyle name="Comma 4 4 6 5" xfId="18530" xr:uid="{6FBB3120-0100-4179-A102-575054C250E9}"/>
    <cellStyle name="Comma 4 4 7" xfId="1971" xr:uid="{00000000-0005-0000-0000-00001E0A0000}"/>
    <cellStyle name="Comma 4 4 7 2" xfId="4200" xr:uid="{00000000-0005-0000-0000-00001F0A0000}"/>
    <cellStyle name="Comma 4 4 7 2 2" xfId="8423" xr:uid="{00000000-0005-0000-0000-0000200A0000}"/>
    <cellStyle name="Comma 4 4 7 2 2 2" xfId="16865" xr:uid="{245009EF-57E3-4DF7-B6B5-A6963A5F0B19}"/>
    <cellStyle name="Comma 4 4 7 2 2 3" xfId="25305" xr:uid="{9024F88B-2A5B-4B5A-B7A2-049B4D0F576D}"/>
    <cellStyle name="Comma 4 4 7 2 3" xfId="12647" xr:uid="{51CCCB34-5AB2-49CC-AD6C-2A81E9F3C252}"/>
    <cellStyle name="Comma 4 4 7 2 4" xfId="21088" xr:uid="{3ABFDF96-C8B5-4B26-A1DC-1FCB1C8E4D25}"/>
    <cellStyle name="Comma 4 4 7 3" xfId="6278" xr:uid="{00000000-0005-0000-0000-0000210A0000}"/>
    <cellStyle name="Comma 4 4 7 3 2" xfId="14720" xr:uid="{2BB894EA-A5B1-4DDB-9E83-0B0B0EDFF18B}"/>
    <cellStyle name="Comma 4 4 7 3 3" xfId="23160" xr:uid="{B76A5B39-5F35-4540-81D2-E469A92471E8}"/>
    <cellStyle name="Comma 4 4 7 4" xfId="10502" xr:uid="{DD64EE4C-E112-439E-ABEE-5DF873609F8D}"/>
    <cellStyle name="Comma 4 4 7 5" xfId="18943" xr:uid="{34549D94-8DA1-48F3-892D-1EAED657D333}"/>
    <cellStyle name="Comma 4 4 8" xfId="2406" xr:uid="{00000000-0005-0000-0000-0000220A0000}"/>
    <cellStyle name="Comma 4 4 8 2" xfId="6691" xr:uid="{00000000-0005-0000-0000-0000230A0000}"/>
    <cellStyle name="Comma 4 4 8 2 2" xfId="15133" xr:uid="{84B0BFF7-E103-4D92-82C6-439588A803BC}"/>
    <cellStyle name="Comma 4 4 8 2 3" xfId="23573" xr:uid="{8009FD5C-7CA9-442D-9161-AF0365BED95C}"/>
    <cellStyle name="Comma 4 4 8 3" xfId="10915" xr:uid="{92C44B28-BFFE-499C-8B77-901DB6DDF63F}"/>
    <cellStyle name="Comma 4 4 8 4" xfId="19356" xr:uid="{FE65B069-C28D-42F0-B082-251714AF88CD}"/>
    <cellStyle name="Comma 4 4 9" xfId="2702" xr:uid="{00000000-0005-0000-0000-0000240A0000}"/>
    <cellStyle name="Comma 4 5" xfId="157" xr:uid="{00000000-0005-0000-0000-0000250A0000}"/>
    <cellStyle name="Comma 4 5 10" xfId="4629" xr:uid="{00000000-0005-0000-0000-0000260A0000}"/>
    <cellStyle name="Comma 4 5 10 2" xfId="13071" xr:uid="{7DC25747-FCA9-4E4E-B631-DF62C9F849FF}"/>
    <cellStyle name="Comma 4 5 10 3" xfId="21511" xr:uid="{6FCAED56-1602-4DC8-B864-452388B0FBE1}"/>
    <cellStyle name="Comma 4 5 11" xfId="8853" xr:uid="{42719DAC-B985-47F7-B2EF-412DDBB68E6D}"/>
    <cellStyle name="Comma 4 5 12" xfId="17294" xr:uid="{844D2E84-2C98-4253-8135-3241EB6E258E}"/>
    <cellStyle name="Comma 4 5 2" xfId="158" xr:uid="{00000000-0005-0000-0000-0000270A0000}"/>
    <cellStyle name="Comma 4 5 2 10" xfId="8854" xr:uid="{C2D813E4-6366-44F8-9E73-331CF1A47AF7}"/>
    <cellStyle name="Comma 4 5 2 11" xfId="17295" xr:uid="{B3D8B41B-6BFC-47F5-A17D-48AB70AF75C1}"/>
    <cellStyle name="Comma 4 5 2 2" xfId="695" xr:uid="{00000000-0005-0000-0000-0000280A0000}"/>
    <cellStyle name="Comma 4 5 2 2 2" xfId="2966" xr:uid="{00000000-0005-0000-0000-0000290A0000}"/>
    <cellStyle name="Comma 4 5 2 2 2 2" xfId="7189" xr:uid="{00000000-0005-0000-0000-00002A0A0000}"/>
    <cellStyle name="Comma 4 5 2 2 2 2 2" xfId="15631" xr:uid="{48B06553-3C87-4974-8CF6-8FEC9AE0C318}"/>
    <cellStyle name="Comma 4 5 2 2 2 2 3" xfId="24071" xr:uid="{D6818127-7F00-47C5-833D-B91F79C7DBC0}"/>
    <cellStyle name="Comma 4 5 2 2 2 3" xfId="11413" xr:uid="{8D552B5F-7FA9-4883-9AA4-3CAE68B6BD44}"/>
    <cellStyle name="Comma 4 5 2 2 2 4" xfId="19854" xr:uid="{897DC712-3036-4EC2-923E-D3881CFA8018}"/>
    <cellStyle name="Comma 4 5 2 2 3" xfId="5044" xr:uid="{00000000-0005-0000-0000-00002B0A0000}"/>
    <cellStyle name="Comma 4 5 2 2 3 2" xfId="13486" xr:uid="{2CC33611-0907-4333-818E-4DD857F7ED7A}"/>
    <cellStyle name="Comma 4 5 2 2 3 3" xfId="21926" xr:uid="{6C9F6F17-1E49-4EB5-9E8F-52D7B051F545}"/>
    <cellStyle name="Comma 4 5 2 2 4" xfId="9268" xr:uid="{3BF7E797-3F3B-4EC5-A3F2-A1344E308F5B}"/>
    <cellStyle name="Comma 4 5 2 2 5" xfId="17709" xr:uid="{02226695-1A41-4CFC-8976-5438420BFA8D}"/>
    <cellStyle name="Comma 4 5 2 3" xfId="1148" xr:uid="{00000000-0005-0000-0000-00002C0A0000}"/>
    <cellStyle name="Comma 4 5 2 3 2" xfId="3379" xr:uid="{00000000-0005-0000-0000-00002D0A0000}"/>
    <cellStyle name="Comma 4 5 2 3 2 2" xfId="7602" xr:uid="{00000000-0005-0000-0000-00002E0A0000}"/>
    <cellStyle name="Comma 4 5 2 3 2 2 2" xfId="16044" xr:uid="{200BC8A0-E546-400D-A822-E7CF47626CC9}"/>
    <cellStyle name="Comma 4 5 2 3 2 2 3" xfId="24484" xr:uid="{964A3544-36B3-466B-BE9A-B436DD67AAA6}"/>
    <cellStyle name="Comma 4 5 2 3 2 3" xfId="11826" xr:uid="{E19E1CB5-CA48-4EF4-890D-359E32D62C8E}"/>
    <cellStyle name="Comma 4 5 2 3 2 4" xfId="20267" xr:uid="{D8E55206-E0A3-4517-863E-4598E51E697C}"/>
    <cellStyle name="Comma 4 5 2 3 3" xfId="5457" xr:uid="{00000000-0005-0000-0000-00002F0A0000}"/>
    <cellStyle name="Comma 4 5 2 3 3 2" xfId="13899" xr:uid="{2CAC8017-E1C5-41BC-92DE-1881847B019C}"/>
    <cellStyle name="Comma 4 5 2 3 3 3" xfId="22339" xr:uid="{ECF17D20-09DD-42BE-9CEB-C615B70473EB}"/>
    <cellStyle name="Comma 4 5 2 3 4" xfId="9681" xr:uid="{FC565A30-42DC-4D35-A045-59D30B5E8771}"/>
    <cellStyle name="Comma 4 5 2 3 5" xfId="18122" xr:uid="{61218BA8-E951-458C-B590-9401AAE17B30}"/>
    <cellStyle name="Comma 4 5 2 4" xfId="1562" xr:uid="{00000000-0005-0000-0000-0000300A0000}"/>
    <cellStyle name="Comma 4 5 2 4 2" xfId="3792" xr:uid="{00000000-0005-0000-0000-0000310A0000}"/>
    <cellStyle name="Comma 4 5 2 4 2 2" xfId="8015" xr:uid="{00000000-0005-0000-0000-0000320A0000}"/>
    <cellStyle name="Comma 4 5 2 4 2 2 2" xfId="16457" xr:uid="{87CEDD36-AB9A-4B84-8CCD-9D7C4F3E356B}"/>
    <cellStyle name="Comma 4 5 2 4 2 2 3" xfId="24897" xr:uid="{A2AEFC88-A498-4221-83D5-92092ADEC66A}"/>
    <cellStyle name="Comma 4 5 2 4 2 3" xfId="12239" xr:uid="{862EBA7A-1FEE-43E2-881F-4133C7386EFB}"/>
    <cellStyle name="Comma 4 5 2 4 2 4" xfId="20680" xr:uid="{E915D5C2-04C7-4921-BA14-8BBD57D58F64}"/>
    <cellStyle name="Comma 4 5 2 4 3" xfId="5870" xr:uid="{00000000-0005-0000-0000-0000330A0000}"/>
    <cellStyle name="Comma 4 5 2 4 3 2" xfId="14312" xr:uid="{A3212D85-BB49-4858-8D77-741581297DFB}"/>
    <cellStyle name="Comma 4 5 2 4 3 3" xfId="22752" xr:uid="{2E683917-AEA5-4914-B5A1-37ACFB7449DB}"/>
    <cellStyle name="Comma 4 5 2 4 4" xfId="10094" xr:uid="{E0BBBEF7-4F81-4949-9863-4973E9D57447}"/>
    <cellStyle name="Comma 4 5 2 4 5" xfId="18535" xr:uid="{A4EFE6DA-71AA-4416-ACF4-3B10F4AD6C59}"/>
    <cellStyle name="Comma 4 5 2 5" xfId="1976" xr:uid="{00000000-0005-0000-0000-0000340A0000}"/>
    <cellStyle name="Comma 4 5 2 5 2" xfId="4205" xr:uid="{00000000-0005-0000-0000-0000350A0000}"/>
    <cellStyle name="Comma 4 5 2 5 2 2" xfId="8428" xr:uid="{00000000-0005-0000-0000-0000360A0000}"/>
    <cellStyle name="Comma 4 5 2 5 2 2 2" xfId="16870" xr:uid="{3884451B-5DA1-476A-A1F0-EEBE5F0EB8AD}"/>
    <cellStyle name="Comma 4 5 2 5 2 2 3" xfId="25310" xr:uid="{A4D49D57-6066-4153-AAA3-F29B5474A4FE}"/>
    <cellStyle name="Comma 4 5 2 5 2 3" xfId="12652" xr:uid="{A9852578-4042-418F-9A1A-0D6A02E138BF}"/>
    <cellStyle name="Comma 4 5 2 5 2 4" xfId="21093" xr:uid="{E276621F-B9E9-41E5-B4D1-37CD0AEEA1F4}"/>
    <cellStyle name="Comma 4 5 2 5 3" xfId="6283" xr:uid="{00000000-0005-0000-0000-0000370A0000}"/>
    <cellStyle name="Comma 4 5 2 5 3 2" xfId="14725" xr:uid="{7C8CBA31-887C-47CF-8DD9-4F37CEFEB9C0}"/>
    <cellStyle name="Comma 4 5 2 5 3 3" xfId="23165" xr:uid="{56A5FC25-9E1E-47C0-ACA2-B2EBC2C0F5B9}"/>
    <cellStyle name="Comma 4 5 2 5 4" xfId="10507" xr:uid="{63C0DA83-0B62-451C-B385-B865B85B6C8C}"/>
    <cellStyle name="Comma 4 5 2 5 5" xfId="18948" xr:uid="{FB291684-DF9F-479F-8A26-AF390C33EB25}"/>
    <cellStyle name="Comma 4 5 2 6" xfId="2411" xr:uid="{00000000-0005-0000-0000-0000380A0000}"/>
    <cellStyle name="Comma 4 5 2 6 2" xfId="6696" xr:uid="{00000000-0005-0000-0000-0000390A0000}"/>
    <cellStyle name="Comma 4 5 2 6 2 2" xfId="15138" xr:uid="{4D1C3167-D0A0-4C5C-AEE4-1B5983E776B2}"/>
    <cellStyle name="Comma 4 5 2 6 2 3" xfId="23578" xr:uid="{732DB783-B9C5-4272-AF2B-027B1763EAC4}"/>
    <cellStyle name="Comma 4 5 2 6 3" xfId="10920" xr:uid="{32CB26FC-47AA-454E-908F-BDA7AD3E8340}"/>
    <cellStyle name="Comma 4 5 2 6 4" xfId="19361" xr:uid="{661FFDC0-D029-4AE2-9922-C1F1A8F1E56A}"/>
    <cellStyle name="Comma 4 5 2 7" xfId="2707" xr:uid="{00000000-0005-0000-0000-00003A0A0000}"/>
    <cellStyle name="Comma 4 5 2 8" xfId="2789" xr:uid="{00000000-0005-0000-0000-00003B0A0000}"/>
    <cellStyle name="Comma 4 5 2 8 2" xfId="7013" xr:uid="{00000000-0005-0000-0000-00003C0A0000}"/>
    <cellStyle name="Comma 4 5 2 8 2 2" xfId="15455" xr:uid="{4B9AA4BD-0EE7-40A2-BD5B-2F75F77A48BA}"/>
    <cellStyle name="Comma 4 5 2 8 2 3" xfId="23895" xr:uid="{3501DCDF-6D61-4B01-B5FD-E81366C39588}"/>
    <cellStyle name="Comma 4 5 2 8 3" xfId="11237" xr:uid="{36F3DBCB-40B4-4151-882D-AD8CBB31D836}"/>
    <cellStyle name="Comma 4 5 2 8 4" xfId="19678" xr:uid="{D13916CC-BC03-444C-B4DA-1A3A01319173}"/>
    <cellStyle name="Comma 4 5 2 9" xfId="4630" xr:uid="{00000000-0005-0000-0000-00003D0A0000}"/>
    <cellStyle name="Comma 4 5 2 9 2" xfId="13072" xr:uid="{0E2BBEA7-09DB-4CAA-906A-57802B5CC032}"/>
    <cellStyle name="Comma 4 5 2 9 3" xfId="21512" xr:uid="{57D162B9-1594-442C-BAFA-DFBB9F75441A}"/>
    <cellStyle name="Comma 4 5 3" xfId="694" xr:uid="{00000000-0005-0000-0000-00003E0A0000}"/>
    <cellStyle name="Comma 4 5 3 2" xfId="2965" xr:uid="{00000000-0005-0000-0000-00003F0A0000}"/>
    <cellStyle name="Comma 4 5 3 2 2" xfId="7188" xr:uid="{00000000-0005-0000-0000-0000400A0000}"/>
    <cellStyle name="Comma 4 5 3 2 2 2" xfId="15630" xr:uid="{131E0390-C4A7-42D0-9C12-8E452788EF8B}"/>
    <cellStyle name="Comma 4 5 3 2 2 3" xfId="24070" xr:uid="{75A8B5DB-7A91-45C5-971D-045A52BC3FBC}"/>
    <cellStyle name="Comma 4 5 3 2 3" xfId="11412" xr:uid="{0734F80A-B9D6-4A1B-96C4-4BB0668A69ED}"/>
    <cellStyle name="Comma 4 5 3 2 4" xfId="19853" xr:uid="{6A9FC0AF-1C02-4631-A3C9-8244DA06D977}"/>
    <cellStyle name="Comma 4 5 3 3" xfId="5043" xr:uid="{00000000-0005-0000-0000-0000410A0000}"/>
    <cellStyle name="Comma 4 5 3 3 2" xfId="13485" xr:uid="{DC8BC958-806F-48EA-8C7A-2156D27A15A6}"/>
    <cellStyle name="Comma 4 5 3 3 3" xfId="21925" xr:uid="{30133C05-30A7-4B3F-B2DD-224E9D307F99}"/>
    <cellStyle name="Comma 4 5 3 4" xfId="9267" xr:uid="{B33F5DC1-E496-4D91-AB2D-17BA18779F62}"/>
    <cellStyle name="Comma 4 5 3 5" xfId="17708" xr:uid="{043222DA-1FB5-42BA-A19E-BEB335E7B5E1}"/>
    <cellStyle name="Comma 4 5 4" xfId="1147" xr:uid="{00000000-0005-0000-0000-0000420A0000}"/>
    <cellStyle name="Comma 4 5 4 2" xfId="3378" xr:uid="{00000000-0005-0000-0000-0000430A0000}"/>
    <cellStyle name="Comma 4 5 4 2 2" xfId="7601" xr:uid="{00000000-0005-0000-0000-0000440A0000}"/>
    <cellStyle name="Comma 4 5 4 2 2 2" xfId="16043" xr:uid="{9411F614-5C4A-4159-8395-2A5A7E779FA2}"/>
    <cellStyle name="Comma 4 5 4 2 2 3" xfId="24483" xr:uid="{AF56011D-38B8-4135-BEE2-CDEB4CDDC53D}"/>
    <cellStyle name="Comma 4 5 4 2 3" xfId="11825" xr:uid="{B60DB72A-582F-4F38-9B98-736D90F3CFCB}"/>
    <cellStyle name="Comma 4 5 4 2 4" xfId="20266" xr:uid="{D5E7DD1C-E2BA-4CD2-998A-99A1D404EDD9}"/>
    <cellStyle name="Comma 4 5 4 3" xfId="5456" xr:uid="{00000000-0005-0000-0000-0000450A0000}"/>
    <cellStyle name="Comma 4 5 4 3 2" xfId="13898" xr:uid="{5B844AF7-D831-488F-A466-2B8AC3917D50}"/>
    <cellStyle name="Comma 4 5 4 3 3" xfId="22338" xr:uid="{EC1FA49C-8585-431F-8054-9AD83A35B777}"/>
    <cellStyle name="Comma 4 5 4 4" xfId="9680" xr:uid="{866C5C67-10A8-4EB2-BDE5-ACB17FB8B709}"/>
    <cellStyle name="Comma 4 5 4 5" xfId="18121" xr:uid="{61F97F29-F37D-41A8-AC35-054B3B967176}"/>
    <cellStyle name="Comma 4 5 5" xfId="1561" xr:uid="{00000000-0005-0000-0000-0000460A0000}"/>
    <cellStyle name="Comma 4 5 5 2" xfId="3791" xr:uid="{00000000-0005-0000-0000-0000470A0000}"/>
    <cellStyle name="Comma 4 5 5 2 2" xfId="8014" xr:uid="{00000000-0005-0000-0000-0000480A0000}"/>
    <cellStyle name="Comma 4 5 5 2 2 2" xfId="16456" xr:uid="{50BC1608-166E-493B-A285-7CA7C6458D43}"/>
    <cellStyle name="Comma 4 5 5 2 2 3" xfId="24896" xr:uid="{9A40AF2C-8BE3-44E0-90A9-F42F89259DF3}"/>
    <cellStyle name="Comma 4 5 5 2 3" xfId="12238" xr:uid="{F57F582E-476E-48C6-AD01-13FD3FD27314}"/>
    <cellStyle name="Comma 4 5 5 2 4" xfId="20679" xr:uid="{124CD485-04BC-473A-BF40-9F04D27FCFDA}"/>
    <cellStyle name="Comma 4 5 5 3" xfId="5869" xr:uid="{00000000-0005-0000-0000-0000490A0000}"/>
    <cellStyle name="Comma 4 5 5 3 2" xfId="14311" xr:uid="{4F4CB2D5-D34F-474E-8D12-19BCB08ED0A7}"/>
    <cellStyle name="Comma 4 5 5 3 3" xfId="22751" xr:uid="{DD9756CA-4D13-4D23-80EE-0159F293FCE1}"/>
    <cellStyle name="Comma 4 5 5 4" xfId="10093" xr:uid="{341459A8-7078-4E3F-BCB2-07C6E0754D14}"/>
    <cellStyle name="Comma 4 5 5 5" xfId="18534" xr:uid="{6B20F1D9-FF89-4638-A5D6-C8713FA542B5}"/>
    <cellStyle name="Comma 4 5 6" xfId="1975" xr:uid="{00000000-0005-0000-0000-00004A0A0000}"/>
    <cellStyle name="Comma 4 5 6 2" xfId="4204" xr:uid="{00000000-0005-0000-0000-00004B0A0000}"/>
    <cellStyle name="Comma 4 5 6 2 2" xfId="8427" xr:uid="{00000000-0005-0000-0000-00004C0A0000}"/>
    <cellStyle name="Comma 4 5 6 2 2 2" xfId="16869" xr:uid="{24369698-7E5C-414F-89A5-621571CCDF48}"/>
    <cellStyle name="Comma 4 5 6 2 2 3" xfId="25309" xr:uid="{5FCD83AA-0988-4E3D-9D66-6D602699CE0A}"/>
    <cellStyle name="Comma 4 5 6 2 3" xfId="12651" xr:uid="{2D364FD4-F626-4F84-8C2F-8DB57942C98B}"/>
    <cellStyle name="Comma 4 5 6 2 4" xfId="21092" xr:uid="{62A97942-EC7B-490E-B2FE-585654C6305D}"/>
    <cellStyle name="Comma 4 5 6 3" xfId="6282" xr:uid="{00000000-0005-0000-0000-00004D0A0000}"/>
    <cellStyle name="Comma 4 5 6 3 2" xfId="14724" xr:uid="{62554105-0D1B-4C47-B393-7D1A132D9E24}"/>
    <cellStyle name="Comma 4 5 6 3 3" xfId="23164" xr:uid="{68F03164-F888-4526-9A15-97B636248E1D}"/>
    <cellStyle name="Comma 4 5 6 4" xfId="10506" xr:uid="{810D0986-648F-4E43-B947-A262ACF1A7EA}"/>
    <cellStyle name="Comma 4 5 6 5" xfId="18947" xr:uid="{3CF01126-B6C4-4B73-954B-7974793502EC}"/>
    <cellStyle name="Comma 4 5 7" xfId="2410" xr:uid="{00000000-0005-0000-0000-00004E0A0000}"/>
    <cellStyle name="Comma 4 5 7 2" xfId="6695" xr:uid="{00000000-0005-0000-0000-00004F0A0000}"/>
    <cellStyle name="Comma 4 5 7 2 2" xfId="15137" xr:uid="{685A2D7B-68C3-4348-9B43-2BFF840302CC}"/>
    <cellStyle name="Comma 4 5 7 2 3" xfId="23577" xr:uid="{45B00FF1-A4D7-4962-8545-AC792513A230}"/>
    <cellStyle name="Comma 4 5 7 3" xfId="10919" xr:uid="{A3A8F26E-27AA-4A62-98D6-555CF8911F39}"/>
    <cellStyle name="Comma 4 5 7 4" xfId="19360" xr:uid="{180B2C59-1BC9-4A53-8E76-B7F152CEC94A}"/>
    <cellStyle name="Comma 4 5 8" xfId="2706" xr:uid="{00000000-0005-0000-0000-0000500A0000}"/>
    <cellStyle name="Comma 4 5 9" xfId="2788" xr:uid="{00000000-0005-0000-0000-0000510A0000}"/>
    <cellStyle name="Comma 4 5 9 2" xfId="7012" xr:uid="{00000000-0005-0000-0000-0000520A0000}"/>
    <cellStyle name="Comma 4 5 9 2 2" xfId="15454" xr:uid="{65F55E2B-DBB5-4D5A-898C-C421329DF25E}"/>
    <cellStyle name="Comma 4 5 9 2 3" xfId="23894" xr:uid="{25B76EA7-D0FD-49D2-8F36-42E0C3F3273B}"/>
    <cellStyle name="Comma 4 5 9 3" xfId="11236" xr:uid="{47C69F59-0C78-4F0B-A8DA-84E3FE473581}"/>
    <cellStyle name="Comma 4 5 9 4" xfId="19677" xr:uid="{6E0BBB5C-4DE5-4A71-9010-0622CF707AD9}"/>
    <cellStyle name="Comma 4 6" xfId="159" xr:uid="{00000000-0005-0000-0000-0000530A0000}"/>
    <cellStyle name="Comma 4 6 10" xfId="8855" xr:uid="{2A191765-7DD0-4439-88F1-5B170EB19B39}"/>
    <cellStyle name="Comma 4 6 11" xfId="17296" xr:uid="{EE4256F4-B0B1-42CA-AB61-31421581C5FB}"/>
    <cellStyle name="Comma 4 6 2" xfId="696" xr:uid="{00000000-0005-0000-0000-0000540A0000}"/>
    <cellStyle name="Comma 4 6 2 2" xfId="2967" xr:uid="{00000000-0005-0000-0000-0000550A0000}"/>
    <cellStyle name="Comma 4 6 2 2 2" xfId="7190" xr:uid="{00000000-0005-0000-0000-0000560A0000}"/>
    <cellStyle name="Comma 4 6 2 2 2 2" xfId="15632" xr:uid="{EAA5F283-B851-4CAD-9328-13C4DF47AD03}"/>
    <cellStyle name="Comma 4 6 2 2 2 3" xfId="24072" xr:uid="{8961632B-9084-4EF2-B3B8-E4B44CC90E37}"/>
    <cellStyle name="Comma 4 6 2 2 3" xfId="11414" xr:uid="{FF5C4ADC-2F57-4C12-83BC-39A9D939271F}"/>
    <cellStyle name="Comma 4 6 2 2 4" xfId="19855" xr:uid="{55F888E0-76C9-4CFB-AC10-4953CAE6C04B}"/>
    <cellStyle name="Comma 4 6 2 3" xfId="5045" xr:uid="{00000000-0005-0000-0000-0000570A0000}"/>
    <cellStyle name="Comma 4 6 2 3 2" xfId="13487" xr:uid="{B751551A-0AE4-4B91-8ACC-A8D002B946AA}"/>
    <cellStyle name="Comma 4 6 2 3 3" xfId="21927" xr:uid="{1CF30FF9-6765-4EB0-BA01-0C5842F548A9}"/>
    <cellStyle name="Comma 4 6 2 4" xfId="9269" xr:uid="{961D667F-08D9-4861-A511-27BE4A4BCEF3}"/>
    <cellStyle name="Comma 4 6 2 5" xfId="17710" xr:uid="{7CCAE75D-7ED5-44C8-82EC-BADB6AF898B0}"/>
    <cellStyle name="Comma 4 6 3" xfId="1149" xr:uid="{00000000-0005-0000-0000-0000580A0000}"/>
    <cellStyle name="Comma 4 6 3 2" xfId="3380" xr:uid="{00000000-0005-0000-0000-0000590A0000}"/>
    <cellStyle name="Comma 4 6 3 2 2" xfId="7603" xr:uid="{00000000-0005-0000-0000-00005A0A0000}"/>
    <cellStyle name="Comma 4 6 3 2 2 2" xfId="16045" xr:uid="{4F8DA04B-5A4E-4A8A-915A-4BD32C3479DF}"/>
    <cellStyle name="Comma 4 6 3 2 2 3" xfId="24485" xr:uid="{8EB78516-A992-4098-A46C-1A61595A4DF5}"/>
    <cellStyle name="Comma 4 6 3 2 3" xfId="11827" xr:uid="{0C180798-4651-4065-80CB-C223C3E12AE8}"/>
    <cellStyle name="Comma 4 6 3 2 4" xfId="20268" xr:uid="{E438BD7E-CCE9-45D0-A14D-7319C46825FB}"/>
    <cellStyle name="Comma 4 6 3 3" xfId="5458" xr:uid="{00000000-0005-0000-0000-00005B0A0000}"/>
    <cellStyle name="Comma 4 6 3 3 2" xfId="13900" xr:uid="{703FD7B6-F84F-46FB-B31D-9DE11C0ADCC0}"/>
    <cellStyle name="Comma 4 6 3 3 3" xfId="22340" xr:uid="{9485FCD9-9A87-4BED-8FAC-E4669C7D67FC}"/>
    <cellStyle name="Comma 4 6 3 4" xfId="9682" xr:uid="{5765FF15-86B4-45E1-A47E-023D52FFE49D}"/>
    <cellStyle name="Comma 4 6 3 5" xfId="18123" xr:uid="{E0E2D6D0-060D-4E61-A595-B78165B8798A}"/>
    <cellStyle name="Comma 4 6 4" xfId="1563" xr:uid="{00000000-0005-0000-0000-00005C0A0000}"/>
    <cellStyle name="Comma 4 6 4 2" xfId="3793" xr:uid="{00000000-0005-0000-0000-00005D0A0000}"/>
    <cellStyle name="Comma 4 6 4 2 2" xfId="8016" xr:uid="{00000000-0005-0000-0000-00005E0A0000}"/>
    <cellStyle name="Comma 4 6 4 2 2 2" xfId="16458" xr:uid="{727B49BF-217B-4014-8C6A-259A4F23643A}"/>
    <cellStyle name="Comma 4 6 4 2 2 3" xfId="24898" xr:uid="{3D5FF715-9B04-4464-A534-EFC72544FCB7}"/>
    <cellStyle name="Comma 4 6 4 2 3" xfId="12240" xr:uid="{6A5EFE85-58CD-40AB-9827-780FDD4483E3}"/>
    <cellStyle name="Comma 4 6 4 2 4" xfId="20681" xr:uid="{55E9F2F7-AB65-4887-B8A5-735C0E86FBC9}"/>
    <cellStyle name="Comma 4 6 4 3" xfId="5871" xr:uid="{00000000-0005-0000-0000-00005F0A0000}"/>
    <cellStyle name="Comma 4 6 4 3 2" xfId="14313" xr:uid="{69608C8E-DB16-4C90-A7DD-64FC7203B35B}"/>
    <cellStyle name="Comma 4 6 4 3 3" xfId="22753" xr:uid="{CB76C83A-4E48-465E-9FD0-1CE9136CC337}"/>
    <cellStyle name="Comma 4 6 4 4" xfId="10095" xr:uid="{5218CF30-B4DF-4DED-A589-9143D91D50D8}"/>
    <cellStyle name="Comma 4 6 4 5" xfId="18536" xr:uid="{E0F3BE91-B6A4-4B07-B07E-58F7D5D01710}"/>
    <cellStyle name="Comma 4 6 5" xfId="1977" xr:uid="{00000000-0005-0000-0000-0000600A0000}"/>
    <cellStyle name="Comma 4 6 5 2" xfId="4206" xr:uid="{00000000-0005-0000-0000-0000610A0000}"/>
    <cellStyle name="Comma 4 6 5 2 2" xfId="8429" xr:uid="{00000000-0005-0000-0000-0000620A0000}"/>
    <cellStyle name="Comma 4 6 5 2 2 2" xfId="16871" xr:uid="{152B9445-F926-4CA0-864C-68A98CD5182D}"/>
    <cellStyle name="Comma 4 6 5 2 2 3" xfId="25311" xr:uid="{67533808-02C0-4D11-89CE-883C7BD15944}"/>
    <cellStyle name="Comma 4 6 5 2 3" xfId="12653" xr:uid="{448FB45D-44F2-4DDA-817A-CA3E462DD81B}"/>
    <cellStyle name="Comma 4 6 5 2 4" xfId="21094" xr:uid="{80AE357D-2FBC-42AC-8470-AB39C61449B4}"/>
    <cellStyle name="Comma 4 6 5 3" xfId="6284" xr:uid="{00000000-0005-0000-0000-0000630A0000}"/>
    <cellStyle name="Comma 4 6 5 3 2" xfId="14726" xr:uid="{ABF98AA8-24E9-4ADF-8876-4EF4E918C8A4}"/>
    <cellStyle name="Comma 4 6 5 3 3" xfId="23166" xr:uid="{0D17521D-2E36-4C8A-B202-78D85BCF8593}"/>
    <cellStyle name="Comma 4 6 5 4" xfId="10508" xr:uid="{61DAFF07-6CA4-4A98-9310-EC71283FE9D6}"/>
    <cellStyle name="Comma 4 6 5 5" xfId="18949" xr:uid="{D870E182-6470-4C9F-AEED-96D0FB8901D7}"/>
    <cellStyle name="Comma 4 6 6" xfId="2412" xr:uid="{00000000-0005-0000-0000-0000640A0000}"/>
    <cellStyle name="Comma 4 6 6 2" xfId="6697" xr:uid="{00000000-0005-0000-0000-0000650A0000}"/>
    <cellStyle name="Comma 4 6 6 2 2" xfId="15139" xr:uid="{8E46F55B-02E3-4AA8-814B-CECF41BB50CE}"/>
    <cellStyle name="Comma 4 6 6 2 3" xfId="23579" xr:uid="{1B95C7B9-EE73-4545-B670-3A913F61B948}"/>
    <cellStyle name="Comma 4 6 6 3" xfId="10921" xr:uid="{35C49BB0-C933-4CC5-8C83-73091E6D08BF}"/>
    <cellStyle name="Comma 4 6 6 4" xfId="19362" xr:uid="{E8CDF3BD-998C-49F0-8E02-94DAA055DE2E}"/>
    <cellStyle name="Comma 4 6 7" xfId="2708" xr:uid="{00000000-0005-0000-0000-0000660A0000}"/>
    <cellStyle name="Comma 4 6 8" xfId="2790" xr:uid="{00000000-0005-0000-0000-0000670A0000}"/>
    <cellStyle name="Comma 4 6 8 2" xfId="7014" xr:uid="{00000000-0005-0000-0000-0000680A0000}"/>
    <cellStyle name="Comma 4 6 8 2 2" xfId="15456" xr:uid="{A41AF39D-691F-4C54-8F4D-1483FDC61904}"/>
    <cellStyle name="Comma 4 6 8 2 3" xfId="23896" xr:uid="{A37E0BD0-65F8-4E79-AFA3-71957421664A}"/>
    <cellStyle name="Comma 4 6 8 3" xfId="11238" xr:uid="{4FB88561-8AE1-43D0-936F-A3048AAD8552}"/>
    <cellStyle name="Comma 4 6 8 4" xfId="19679" xr:uid="{81CBF98D-3D7D-4A63-9643-619428B152E6}"/>
    <cellStyle name="Comma 4 6 9" xfId="4631" xr:uid="{00000000-0005-0000-0000-0000690A0000}"/>
    <cellStyle name="Comma 4 6 9 2" xfId="13073" xr:uid="{B9C3AAE5-6FEB-4AD2-B5F0-0A1FA4B20C6C}"/>
    <cellStyle name="Comma 4 6 9 3" xfId="21513" xr:uid="{420DC309-EC65-403B-AF86-0B280EFFB657}"/>
    <cellStyle name="Comma 4 7" xfId="160" xr:uid="{00000000-0005-0000-0000-00006A0A0000}"/>
    <cellStyle name="Comma 4 7 10" xfId="8856" xr:uid="{B4AF7F87-7E47-4B0E-A78F-C11E6CE4FE17}"/>
    <cellStyle name="Comma 4 7 11" xfId="17297" xr:uid="{6E5E2B31-2D0E-46BC-8D78-12D71C63F7C4}"/>
    <cellStyle name="Comma 4 7 2" xfId="697" xr:uid="{00000000-0005-0000-0000-00006B0A0000}"/>
    <cellStyle name="Comma 4 7 2 2" xfId="2968" xr:uid="{00000000-0005-0000-0000-00006C0A0000}"/>
    <cellStyle name="Comma 4 7 2 2 2" xfId="7191" xr:uid="{00000000-0005-0000-0000-00006D0A0000}"/>
    <cellStyle name="Comma 4 7 2 2 2 2" xfId="15633" xr:uid="{E298C324-2038-42D2-AB99-A47F9EFD3EE6}"/>
    <cellStyle name="Comma 4 7 2 2 2 3" xfId="24073" xr:uid="{6CCDB8C6-83A6-49E4-BB9C-1A70564894BD}"/>
    <cellStyle name="Comma 4 7 2 2 3" xfId="11415" xr:uid="{8AB7AD4E-7DCE-4DBE-9E01-9BF791CBDD5F}"/>
    <cellStyle name="Comma 4 7 2 2 4" xfId="19856" xr:uid="{FE943867-B86A-4663-A653-73C028F1EEF0}"/>
    <cellStyle name="Comma 4 7 2 3" xfId="5046" xr:uid="{00000000-0005-0000-0000-00006E0A0000}"/>
    <cellStyle name="Comma 4 7 2 3 2" xfId="13488" xr:uid="{899C7DC2-AD93-4EC2-AADB-28C85B48AF0D}"/>
    <cellStyle name="Comma 4 7 2 3 3" xfId="21928" xr:uid="{ADF4DCA4-6A10-4471-AA15-05F2D5896F01}"/>
    <cellStyle name="Comma 4 7 2 4" xfId="9270" xr:uid="{EFE7D027-D994-4BED-8902-2CBED076407D}"/>
    <cellStyle name="Comma 4 7 2 5" xfId="17711" xr:uid="{D58C2FEE-3218-465F-969C-0B0FE773638D}"/>
    <cellStyle name="Comma 4 7 3" xfId="1150" xr:uid="{00000000-0005-0000-0000-00006F0A0000}"/>
    <cellStyle name="Comma 4 7 3 2" xfId="3381" xr:uid="{00000000-0005-0000-0000-0000700A0000}"/>
    <cellStyle name="Comma 4 7 3 2 2" xfId="7604" xr:uid="{00000000-0005-0000-0000-0000710A0000}"/>
    <cellStyle name="Comma 4 7 3 2 2 2" xfId="16046" xr:uid="{1CF6C14B-43FD-428A-A3DF-46F82995FF79}"/>
    <cellStyle name="Comma 4 7 3 2 2 3" xfId="24486" xr:uid="{7225D13E-BD2B-45F1-83BF-451B23868910}"/>
    <cellStyle name="Comma 4 7 3 2 3" xfId="11828" xr:uid="{F1585EF2-917F-4858-A2C2-49984663EBAB}"/>
    <cellStyle name="Comma 4 7 3 2 4" xfId="20269" xr:uid="{B048D974-1BDE-4DE9-9B8D-3792F7E71993}"/>
    <cellStyle name="Comma 4 7 3 3" xfId="5459" xr:uid="{00000000-0005-0000-0000-0000720A0000}"/>
    <cellStyle name="Comma 4 7 3 3 2" xfId="13901" xr:uid="{1316F970-A739-443D-9AAA-C481860AFCE5}"/>
    <cellStyle name="Comma 4 7 3 3 3" xfId="22341" xr:uid="{16B7AA73-9CEE-4352-8C8B-88B352E9AE58}"/>
    <cellStyle name="Comma 4 7 3 4" xfId="9683" xr:uid="{6AEEB2D7-D89C-4EEE-AA48-03393DE4BC07}"/>
    <cellStyle name="Comma 4 7 3 5" xfId="18124" xr:uid="{66CDF878-B361-4F8F-94BD-10CEAA8E76D1}"/>
    <cellStyle name="Comma 4 7 4" xfId="1564" xr:uid="{00000000-0005-0000-0000-0000730A0000}"/>
    <cellStyle name="Comma 4 7 4 2" xfId="3794" xr:uid="{00000000-0005-0000-0000-0000740A0000}"/>
    <cellStyle name="Comma 4 7 4 2 2" xfId="8017" xr:uid="{00000000-0005-0000-0000-0000750A0000}"/>
    <cellStyle name="Comma 4 7 4 2 2 2" xfId="16459" xr:uid="{2B863404-5459-4B4B-8BF5-552E50D4BA9E}"/>
    <cellStyle name="Comma 4 7 4 2 2 3" xfId="24899" xr:uid="{5BAE18B1-3606-4787-A01C-D2774E2EBEA6}"/>
    <cellStyle name="Comma 4 7 4 2 3" xfId="12241" xr:uid="{ED978E0F-31AA-4AF1-B1B1-95EEB2D663C6}"/>
    <cellStyle name="Comma 4 7 4 2 4" xfId="20682" xr:uid="{DDE15C6A-316B-4E2F-85AB-53C123A8FA0A}"/>
    <cellStyle name="Comma 4 7 4 3" xfId="5872" xr:uid="{00000000-0005-0000-0000-0000760A0000}"/>
    <cellStyle name="Comma 4 7 4 3 2" xfId="14314" xr:uid="{8B7F5524-6A14-4D24-85C5-5A5EAC55C0D4}"/>
    <cellStyle name="Comma 4 7 4 3 3" xfId="22754" xr:uid="{B9EEF9B4-8D92-4117-B506-41A7FE9618B3}"/>
    <cellStyle name="Comma 4 7 4 4" xfId="10096" xr:uid="{265B4234-2520-417B-A10F-C6C8430CF909}"/>
    <cellStyle name="Comma 4 7 4 5" xfId="18537" xr:uid="{E7DF6980-3D90-45FB-81CC-167DA8326EC1}"/>
    <cellStyle name="Comma 4 7 5" xfId="1978" xr:uid="{00000000-0005-0000-0000-0000770A0000}"/>
    <cellStyle name="Comma 4 7 5 2" xfId="4207" xr:uid="{00000000-0005-0000-0000-0000780A0000}"/>
    <cellStyle name="Comma 4 7 5 2 2" xfId="8430" xr:uid="{00000000-0005-0000-0000-0000790A0000}"/>
    <cellStyle name="Comma 4 7 5 2 2 2" xfId="16872" xr:uid="{D47E843B-9F2D-49E6-92A9-D9EFE9981642}"/>
    <cellStyle name="Comma 4 7 5 2 2 3" xfId="25312" xr:uid="{28A0269C-615F-49AE-928F-A7F03598E58F}"/>
    <cellStyle name="Comma 4 7 5 2 3" xfId="12654" xr:uid="{72C69F35-B235-4A24-8920-37E1AA7877F2}"/>
    <cellStyle name="Comma 4 7 5 2 4" xfId="21095" xr:uid="{CE7C290A-076A-454E-8BB3-BF8CF3CE6052}"/>
    <cellStyle name="Comma 4 7 5 3" xfId="6285" xr:uid="{00000000-0005-0000-0000-00007A0A0000}"/>
    <cellStyle name="Comma 4 7 5 3 2" xfId="14727" xr:uid="{6512B2D4-CB77-483C-A0E6-E3AF63F93484}"/>
    <cellStyle name="Comma 4 7 5 3 3" xfId="23167" xr:uid="{7B2C9822-FA82-42CF-9ABA-90EFA435A19D}"/>
    <cellStyle name="Comma 4 7 5 4" xfId="10509" xr:uid="{D1800ECE-4D1A-40B1-886A-983E71F0942F}"/>
    <cellStyle name="Comma 4 7 5 5" xfId="18950" xr:uid="{03E8C6AA-F06E-40B5-AE20-ABB127167B0E}"/>
    <cellStyle name="Comma 4 7 6" xfId="2413" xr:uid="{00000000-0005-0000-0000-00007B0A0000}"/>
    <cellStyle name="Comma 4 7 6 2" xfId="6698" xr:uid="{00000000-0005-0000-0000-00007C0A0000}"/>
    <cellStyle name="Comma 4 7 6 2 2" xfId="15140" xr:uid="{2D9A7638-7420-4521-9FA3-EE7EBB272E64}"/>
    <cellStyle name="Comma 4 7 6 2 3" xfId="23580" xr:uid="{EB368877-52B3-4CCE-BF48-D31559B9DC34}"/>
    <cellStyle name="Comma 4 7 6 3" xfId="10922" xr:uid="{BB7D8B56-5CED-4B88-B57F-0FE058199663}"/>
    <cellStyle name="Comma 4 7 6 4" xfId="19363" xr:uid="{45A6727B-6EE6-41FB-81CA-B8498946DC75}"/>
    <cellStyle name="Comma 4 7 7" xfId="2709" xr:uid="{00000000-0005-0000-0000-00007D0A0000}"/>
    <cellStyle name="Comma 4 7 8" xfId="2791" xr:uid="{00000000-0005-0000-0000-00007E0A0000}"/>
    <cellStyle name="Comma 4 7 8 2" xfId="7015" xr:uid="{00000000-0005-0000-0000-00007F0A0000}"/>
    <cellStyle name="Comma 4 7 8 2 2" xfId="15457" xr:uid="{A57AA2CB-08B3-4ABF-A348-27E44EA8E6A0}"/>
    <cellStyle name="Comma 4 7 8 2 3" xfId="23897" xr:uid="{B851B612-13D3-45EF-992E-07D2F3A481E2}"/>
    <cellStyle name="Comma 4 7 8 3" xfId="11239" xr:uid="{CACF4C9A-46B9-47F9-989D-E9F3674DFD03}"/>
    <cellStyle name="Comma 4 7 8 4" xfId="19680" xr:uid="{A85C9DEC-61E7-4015-B4C1-F63CC5C08BA9}"/>
    <cellStyle name="Comma 4 7 9" xfId="4632" xr:uid="{00000000-0005-0000-0000-0000800A0000}"/>
    <cellStyle name="Comma 4 7 9 2" xfId="13074" xr:uid="{029F7797-1E5E-4104-BA4D-040D3F64AC39}"/>
    <cellStyle name="Comma 4 7 9 3" xfId="21514" xr:uid="{AF3075FC-A6A5-45B4-84C5-E3CC6B477FE9}"/>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2" xr:uid="{50211319-904C-4464-802D-D43B25F1611E}"/>
    <cellStyle name="Comma 7 3" xfId="21382" xr:uid="{2FA3FC0E-88F6-4327-BF7D-0F5A2AA60F02}"/>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17159" xr:uid="{1806DAEE-31B6-4470-9D32-E39304292D12}"/>
    <cellStyle name="Currency 14 2 3" xfId="25599" xr:uid="{1E000B85-D8F4-40EC-ADAC-B24182D6FF87}"/>
    <cellStyle name="Currency 14 3" xfId="8720" xr:uid="{729B09A7-2394-4D7C-912C-1471FB3455A3}"/>
    <cellStyle name="Currency 14 3 2" xfId="8724" xr:uid="{1945FB0F-31EC-4D98-B64C-BAFBADA341A1}"/>
    <cellStyle name="Currency 14 3 2 2" xfId="8727" xr:uid="{03BA8DEE-11D2-406B-B26D-8EE163916FB0}"/>
    <cellStyle name="Currency 14 3 2 2 2" xfId="17168" xr:uid="{07ED30EE-A004-4BF9-8943-AE6F368EA22F}"/>
    <cellStyle name="Currency 14 3 2 2 3" xfId="25608" xr:uid="{4AF6FFC3-85EB-44C7-AA26-B9678AF79A75}"/>
    <cellStyle name="Currency 14 3 2 3" xfId="17165" xr:uid="{D094E1DD-5F05-4961-A0AC-8D32199A316A}"/>
    <cellStyle name="Currency 14 3 2 4" xfId="25605" xr:uid="{87AAE309-3D22-477C-89E1-3BC62F3537C2}"/>
    <cellStyle name="Currency 14 3 3" xfId="17162" xr:uid="{74A4D844-EF6E-4B83-81C6-6B994F1A0AE2}"/>
    <cellStyle name="Currency 14 3 4" xfId="25602" xr:uid="{4D0A7C06-9F65-469B-A737-727E2503EE5A}"/>
    <cellStyle name="Currency 14 4" xfId="12945" xr:uid="{BBF530C1-D492-4BC2-A0DE-458C20622BE1}"/>
    <cellStyle name="Currency 14 5" xfId="21385" xr:uid="{D83AE884-1F3B-431C-BD5D-EA9C53C57641}"/>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15458" xr:uid="{58F49EE6-8BDD-44EC-B2B2-1BC007F09871}"/>
    <cellStyle name="Currency 3 2 2 10 2 3" xfId="23898" xr:uid="{07E08A44-0B1E-44CF-AEF2-1391CF233941}"/>
    <cellStyle name="Currency 3 2 2 10 3" xfId="11240" xr:uid="{52C6900D-F8D6-4A0B-B943-595D7CFA62C9}"/>
    <cellStyle name="Currency 3 2 2 10 4" xfId="19681" xr:uid="{4D2BCB99-4506-48B4-9240-2ECA0DD9FFB1}"/>
    <cellStyle name="Currency 3 2 2 11" xfId="4633" xr:uid="{00000000-0005-0000-0000-0000A50A0000}"/>
    <cellStyle name="Currency 3 2 2 11 2" xfId="13075" xr:uid="{801D7D57-66E6-49D3-A233-672A0931A918}"/>
    <cellStyle name="Currency 3 2 2 11 3" xfId="21515" xr:uid="{F8326F08-F63E-433E-B5E8-73539920739E}"/>
    <cellStyle name="Currency 3 2 2 12" xfId="8857" xr:uid="{D9051BF4-6558-4F95-8E30-5CF8FA893A6C}"/>
    <cellStyle name="Currency 3 2 2 13" xfId="17298" xr:uid="{BDD511D3-6E8D-4CEB-AA18-18CE3427BCFD}"/>
    <cellStyle name="Currency 3 2 2 2" xfId="179" xr:uid="{00000000-0005-0000-0000-0000A60A0000}"/>
    <cellStyle name="Currency 3 2 2 2 10" xfId="4634" xr:uid="{00000000-0005-0000-0000-0000A70A0000}"/>
    <cellStyle name="Currency 3 2 2 2 10 2" xfId="13076" xr:uid="{A25F0749-E175-4858-B577-1B4128822558}"/>
    <cellStyle name="Currency 3 2 2 2 10 3" xfId="21516" xr:uid="{B91F3509-7283-4480-B2DC-8C674467B63E}"/>
    <cellStyle name="Currency 3 2 2 2 11" xfId="8858" xr:uid="{C9C0519D-D2D5-4141-A804-CE12D161701C}"/>
    <cellStyle name="Currency 3 2 2 2 12" xfId="17299" xr:uid="{310A26C4-99C3-42B3-B0F4-2E39A3504DAA}"/>
    <cellStyle name="Currency 3 2 2 2 2" xfId="180" xr:uid="{00000000-0005-0000-0000-0000A80A0000}"/>
    <cellStyle name="Currency 3 2 2 2 2 10" xfId="8859" xr:uid="{678AD20C-B5A5-4424-B666-37AFC66A5FC8}"/>
    <cellStyle name="Currency 3 2 2 2 2 11" xfId="17300" xr:uid="{4C0062BC-BAD4-4624-96D3-40E27ADE539E}"/>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15636" xr:uid="{B7F1889B-B390-4043-A914-3221559A99D2}"/>
    <cellStyle name="Currency 3 2 2 2 2 2 2 2 3" xfId="24076" xr:uid="{74A26AE9-8433-46B9-8832-0316686BF8C2}"/>
    <cellStyle name="Currency 3 2 2 2 2 2 2 3" xfId="11418" xr:uid="{3F8C6F07-C1A0-4372-95C7-94E13D286CDF}"/>
    <cellStyle name="Currency 3 2 2 2 2 2 2 4" xfId="19859" xr:uid="{44B83B8C-2409-4750-8506-0CA8C5F3E79F}"/>
    <cellStyle name="Currency 3 2 2 2 2 2 3" xfId="5049" xr:uid="{00000000-0005-0000-0000-0000AC0A0000}"/>
    <cellStyle name="Currency 3 2 2 2 2 2 3 2" xfId="13491" xr:uid="{8BE92850-26F8-464B-8C24-9700B9DEA63A}"/>
    <cellStyle name="Currency 3 2 2 2 2 2 3 3" xfId="21931" xr:uid="{756C87E0-1DA3-4CF9-8908-6ECCF78F7BDB}"/>
    <cellStyle name="Currency 3 2 2 2 2 2 4" xfId="9273" xr:uid="{FD50BCA0-BEC9-4F52-B284-CA7E8D3F0050}"/>
    <cellStyle name="Currency 3 2 2 2 2 2 5" xfId="17714" xr:uid="{AD400B18-BD64-4A79-93C3-8551D5ADCB0C}"/>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16049" xr:uid="{8720B9EA-178F-4F8C-8A63-6E88252E7FED}"/>
    <cellStyle name="Currency 3 2 2 2 2 3 2 2 3" xfId="24489" xr:uid="{09892CBC-FCF9-47FC-B40F-74F72D04167F}"/>
    <cellStyle name="Currency 3 2 2 2 2 3 2 3" xfId="11831" xr:uid="{3971E8C2-E729-4098-B3B6-E08BC33BCC10}"/>
    <cellStyle name="Currency 3 2 2 2 2 3 2 4" xfId="20272" xr:uid="{B742169A-083B-4383-8B35-60F7FDBE5ACB}"/>
    <cellStyle name="Currency 3 2 2 2 2 3 3" xfId="5462" xr:uid="{00000000-0005-0000-0000-0000B00A0000}"/>
    <cellStyle name="Currency 3 2 2 2 2 3 3 2" xfId="13904" xr:uid="{97983160-C645-41CB-B646-24D94BFBE3A8}"/>
    <cellStyle name="Currency 3 2 2 2 2 3 3 3" xfId="22344" xr:uid="{3295BCB2-D5E1-436C-8F33-13F5BE6EE105}"/>
    <cellStyle name="Currency 3 2 2 2 2 3 4" xfId="9686" xr:uid="{C41BB5FE-E262-4190-9015-E2499CDC9308}"/>
    <cellStyle name="Currency 3 2 2 2 2 3 5" xfId="18127" xr:uid="{C63B8431-DFCC-4BBD-9BA1-D8CFABC04388}"/>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16462" xr:uid="{C3EC3F45-9381-4837-99F4-31BD84B8D2F1}"/>
    <cellStyle name="Currency 3 2 2 2 2 4 2 2 3" xfId="24902" xr:uid="{4F13B879-2BEF-4970-BFBB-CBFD2F82E337}"/>
    <cellStyle name="Currency 3 2 2 2 2 4 2 3" xfId="12244" xr:uid="{4CC2D1D1-4952-4BFA-B5DB-822C92655F3D}"/>
    <cellStyle name="Currency 3 2 2 2 2 4 2 4" xfId="20685" xr:uid="{03CFD514-A1E9-46DE-AF4B-E714BAC79307}"/>
    <cellStyle name="Currency 3 2 2 2 2 4 3" xfId="5875" xr:uid="{00000000-0005-0000-0000-0000B40A0000}"/>
    <cellStyle name="Currency 3 2 2 2 2 4 3 2" xfId="14317" xr:uid="{64CEDFE0-A007-4114-93C7-2621FF6AB422}"/>
    <cellStyle name="Currency 3 2 2 2 2 4 3 3" xfId="22757" xr:uid="{75320EE2-11DC-4AB9-A7BA-15C9660D5DF3}"/>
    <cellStyle name="Currency 3 2 2 2 2 4 4" xfId="10099" xr:uid="{53E1401D-EF4B-4DEF-92C7-184DEFA74449}"/>
    <cellStyle name="Currency 3 2 2 2 2 4 5" xfId="18540" xr:uid="{683B455A-8347-4A5C-B91B-534F64CD934A}"/>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16875" xr:uid="{0146D6ED-2BCE-438F-A1C8-02174B4E6FA1}"/>
    <cellStyle name="Currency 3 2 2 2 2 5 2 2 3" xfId="25315" xr:uid="{BBDEB51B-6CA6-472C-9B36-06A52FF787E4}"/>
    <cellStyle name="Currency 3 2 2 2 2 5 2 3" xfId="12657" xr:uid="{154F0C8A-8E72-40AB-9131-EE656F9353DD}"/>
    <cellStyle name="Currency 3 2 2 2 2 5 2 4" xfId="21098" xr:uid="{953E0676-C86B-4316-B8A9-9F68B75E3D58}"/>
    <cellStyle name="Currency 3 2 2 2 2 5 3" xfId="6288" xr:uid="{00000000-0005-0000-0000-0000B80A0000}"/>
    <cellStyle name="Currency 3 2 2 2 2 5 3 2" xfId="14730" xr:uid="{26126661-D4A9-4925-A494-E16FB49B9779}"/>
    <cellStyle name="Currency 3 2 2 2 2 5 3 3" xfId="23170" xr:uid="{003C6EB9-8F91-4068-80EF-DFB438B08FD2}"/>
    <cellStyle name="Currency 3 2 2 2 2 5 4" xfId="10512" xr:uid="{8D9E2105-37C2-430F-83F2-42F2E60D6EC2}"/>
    <cellStyle name="Currency 3 2 2 2 2 5 5" xfId="18953" xr:uid="{D059CA2B-DC84-42FE-BF93-936CD4B9DAAA}"/>
    <cellStyle name="Currency 3 2 2 2 2 6" xfId="2416" xr:uid="{00000000-0005-0000-0000-0000B90A0000}"/>
    <cellStyle name="Currency 3 2 2 2 2 6 2" xfId="6701" xr:uid="{00000000-0005-0000-0000-0000BA0A0000}"/>
    <cellStyle name="Currency 3 2 2 2 2 6 2 2" xfId="15143" xr:uid="{A89AF471-17C0-4503-B60A-3C491F9458EB}"/>
    <cellStyle name="Currency 3 2 2 2 2 6 2 3" xfId="23583" xr:uid="{20B6578C-56EA-414B-BF0C-DBA6A1C9BAC8}"/>
    <cellStyle name="Currency 3 2 2 2 2 6 3" xfId="10925" xr:uid="{03B2AA70-43C2-43EE-AA2E-909E004712B2}"/>
    <cellStyle name="Currency 3 2 2 2 2 6 4" xfId="19366" xr:uid="{AC056C32-465D-4BA2-B734-99651C5F4321}"/>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15460" xr:uid="{3780BC39-91A9-4C86-A66A-2F4A964F1B85}"/>
    <cellStyle name="Currency 3 2 2 2 2 8 2 3" xfId="23900" xr:uid="{43A9779E-917C-4AC2-9623-341B1CAF8AE8}"/>
    <cellStyle name="Currency 3 2 2 2 2 8 3" xfId="11242" xr:uid="{2D5D3427-7CDE-4151-BC8D-ED3C1BCFC7F0}"/>
    <cellStyle name="Currency 3 2 2 2 2 8 4" xfId="19683" xr:uid="{D0663512-1395-4BCF-BA0B-8069D75CC686}"/>
    <cellStyle name="Currency 3 2 2 2 2 9" xfId="4635" xr:uid="{00000000-0005-0000-0000-0000BE0A0000}"/>
    <cellStyle name="Currency 3 2 2 2 2 9 2" xfId="13077" xr:uid="{D724D2C6-E669-481D-A37D-0250B64123B1}"/>
    <cellStyle name="Currency 3 2 2 2 2 9 3" xfId="21517" xr:uid="{7F0C76AF-B7DA-4307-9423-F9F05692804E}"/>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15635" xr:uid="{DCE22F74-4C44-48BE-BBFF-ED89439C0E29}"/>
    <cellStyle name="Currency 3 2 2 2 3 2 2 3" xfId="24075" xr:uid="{65AFDB38-C6BF-4437-BA16-9DF4EB765A80}"/>
    <cellStyle name="Currency 3 2 2 2 3 2 3" xfId="11417" xr:uid="{12A66DF0-20A6-472F-A659-3B1C2A72323F}"/>
    <cellStyle name="Currency 3 2 2 2 3 2 4" xfId="19858" xr:uid="{0DB8480C-E2D3-4B79-AEBD-B0D24B458F80}"/>
    <cellStyle name="Currency 3 2 2 2 3 3" xfId="5048" xr:uid="{00000000-0005-0000-0000-0000C20A0000}"/>
    <cellStyle name="Currency 3 2 2 2 3 3 2" xfId="13490" xr:uid="{C6ED03B5-E92D-41B9-9576-101E16C410FF}"/>
    <cellStyle name="Currency 3 2 2 2 3 3 3" xfId="21930" xr:uid="{BCEEB08D-0E72-4DE0-9DC2-9C0DB68A782D}"/>
    <cellStyle name="Currency 3 2 2 2 3 4" xfId="9272" xr:uid="{34A92F01-B495-4DAC-93DB-4B9E8D7440AF}"/>
    <cellStyle name="Currency 3 2 2 2 3 5" xfId="17713" xr:uid="{031462B9-7800-4188-92FA-E4ED22751B3B}"/>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16048" xr:uid="{C638240A-05A7-4837-A3E2-A26BE9F3B42B}"/>
    <cellStyle name="Currency 3 2 2 2 4 2 2 3" xfId="24488" xr:uid="{9F409224-608C-449A-9675-DF6F418BFD68}"/>
    <cellStyle name="Currency 3 2 2 2 4 2 3" xfId="11830" xr:uid="{6C750BC0-A321-4B83-A607-813C0548F358}"/>
    <cellStyle name="Currency 3 2 2 2 4 2 4" xfId="20271" xr:uid="{4B4E8DFF-BD88-4F57-8E35-6BFF24468683}"/>
    <cellStyle name="Currency 3 2 2 2 4 3" xfId="5461" xr:uid="{00000000-0005-0000-0000-0000C60A0000}"/>
    <cellStyle name="Currency 3 2 2 2 4 3 2" xfId="13903" xr:uid="{F1CB27D4-F323-4043-A0FF-33BEE9A23467}"/>
    <cellStyle name="Currency 3 2 2 2 4 3 3" xfId="22343" xr:uid="{85C8285A-C6A3-40A6-AD0C-73450C2B1D55}"/>
    <cellStyle name="Currency 3 2 2 2 4 4" xfId="9685" xr:uid="{453CEB62-0990-4AAF-BE56-689C497ED0DC}"/>
    <cellStyle name="Currency 3 2 2 2 4 5" xfId="18126" xr:uid="{4CC67142-6809-4E3B-B6FE-E69B443FF4BC}"/>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16461" xr:uid="{17F69796-1285-4350-BB41-347A07CE143E}"/>
    <cellStyle name="Currency 3 2 2 2 5 2 2 3" xfId="24901" xr:uid="{6C218EA5-B584-4E05-A162-F8E46FA2D9F8}"/>
    <cellStyle name="Currency 3 2 2 2 5 2 3" xfId="12243" xr:uid="{39B88F35-9E3D-42CA-B350-EBD979B71AA7}"/>
    <cellStyle name="Currency 3 2 2 2 5 2 4" xfId="20684" xr:uid="{CB99AE4F-54A2-4314-B286-CB8B20523D7D}"/>
    <cellStyle name="Currency 3 2 2 2 5 3" xfId="5874" xr:uid="{00000000-0005-0000-0000-0000CA0A0000}"/>
    <cellStyle name="Currency 3 2 2 2 5 3 2" xfId="14316" xr:uid="{AE189394-B2B3-4F77-995B-094369D68A50}"/>
    <cellStyle name="Currency 3 2 2 2 5 3 3" xfId="22756" xr:uid="{E13FAD44-6242-45B1-A52F-128DA8427D0C}"/>
    <cellStyle name="Currency 3 2 2 2 5 4" xfId="10098" xr:uid="{3B6A0835-DCF5-49BC-A00F-C037E05699EF}"/>
    <cellStyle name="Currency 3 2 2 2 5 5" xfId="18539" xr:uid="{7D6C0B85-9BF1-4C08-AA59-48C32871BE69}"/>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16874" xr:uid="{133D08C9-B324-4CB0-B172-FAB112CAA741}"/>
    <cellStyle name="Currency 3 2 2 2 6 2 2 3" xfId="25314" xr:uid="{8CA0AF22-40B4-4BBF-B886-3CE8F6DE2CD7}"/>
    <cellStyle name="Currency 3 2 2 2 6 2 3" xfId="12656" xr:uid="{063CFD2F-5E1B-48A1-8A11-0176E3D637EE}"/>
    <cellStyle name="Currency 3 2 2 2 6 2 4" xfId="21097" xr:uid="{05F616CE-790D-4414-96D5-F83C6AC99658}"/>
    <cellStyle name="Currency 3 2 2 2 6 3" xfId="6287" xr:uid="{00000000-0005-0000-0000-0000CE0A0000}"/>
    <cellStyle name="Currency 3 2 2 2 6 3 2" xfId="14729" xr:uid="{B24B4C5D-2368-48B8-A488-60B5D9921B36}"/>
    <cellStyle name="Currency 3 2 2 2 6 3 3" xfId="23169" xr:uid="{56F03C99-1055-4180-98C3-3CF2F77AA670}"/>
    <cellStyle name="Currency 3 2 2 2 6 4" xfId="10511" xr:uid="{A03F262A-56AB-4C25-B45B-562944B53123}"/>
    <cellStyle name="Currency 3 2 2 2 6 5" xfId="18952" xr:uid="{D2FAEC4D-49AF-4ECD-9BF4-20C281D88A9D}"/>
    <cellStyle name="Currency 3 2 2 2 7" xfId="2415" xr:uid="{00000000-0005-0000-0000-0000CF0A0000}"/>
    <cellStyle name="Currency 3 2 2 2 7 2" xfId="6700" xr:uid="{00000000-0005-0000-0000-0000D00A0000}"/>
    <cellStyle name="Currency 3 2 2 2 7 2 2" xfId="15142" xr:uid="{483C337A-B7E7-4627-883F-74B61B314C1B}"/>
    <cellStyle name="Currency 3 2 2 2 7 2 3" xfId="23582" xr:uid="{EB12E7B7-18F6-4221-9057-6328763A60EE}"/>
    <cellStyle name="Currency 3 2 2 2 7 3" xfId="10924" xr:uid="{C1FA9893-2B16-41D4-8E6F-FF5B8FE6BF16}"/>
    <cellStyle name="Currency 3 2 2 2 7 4" xfId="19365" xr:uid="{BFB2246E-3EAA-4C60-A1E1-656AD45391B5}"/>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15459" xr:uid="{8A33ED03-02CF-4670-BCA1-26F6C5629F87}"/>
    <cellStyle name="Currency 3 2 2 2 9 2 3" xfId="23899" xr:uid="{9581E833-6089-4F7E-82FC-0450D62E04FB}"/>
    <cellStyle name="Currency 3 2 2 2 9 3" xfId="11241" xr:uid="{630ECE2D-6C81-4375-BA65-B66DA3A50BEE}"/>
    <cellStyle name="Currency 3 2 2 2 9 4" xfId="19682" xr:uid="{CFE9F377-FD01-4320-B771-6F6AD67705FC}"/>
    <cellStyle name="Currency 3 2 2 3" xfId="181" xr:uid="{00000000-0005-0000-0000-0000D40A0000}"/>
    <cellStyle name="Currency 3 2 2 3 10" xfId="8860" xr:uid="{FB0FA155-0D09-4345-A6C9-E735782FE625}"/>
    <cellStyle name="Currency 3 2 2 3 11" xfId="17301" xr:uid="{3F8766E3-7D87-4FB5-927D-4395600773E8}"/>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15637" xr:uid="{094F3596-CEB4-449B-9A72-7BD7B448C282}"/>
    <cellStyle name="Currency 3 2 2 3 2 2 2 3" xfId="24077" xr:uid="{C094229C-E9D3-4117-BD8C-E0A6DC4CC97B}"/>
    <cellStyle name="Currency 3 2 2 3 2 2 3" xfId="11419" xr:uid="{2371C76A-7E0D-4A87-8A9B-BF699C4C6590}"/>
    <cellStyle name="Currency 3 2 2 3 2 2 4" xfId="19860" xr:uid="{E572D1E9-0B13-44CD-8A1A-173180592C45}"/>
    <cellStyle name="Currency 3 2 2 3 2 3" xfId="5050" xr:uid="{00000000-0005-0000-0000-0000D80A0000}"/>
    <cellStyle name="Currency 3 2 2 3 2 3 2" xfId="13492" xr:uid="{E30D6FBB-C5BA-49DF-B6D5-3D47824510DD}"/>
    <cellStyle name="Currency 3 2 2 3 2 3 3" xfId="21932" xr:uid="{B06A7EAB-91EA-4C95-AC43-D607153FAA0F}"/>
    <cellStyle name="Currency 3 2 2 3 2 4" xfId="9274" xr:uid="{B1744BF9-6039-4D3E-806E-CB83D12B13FC}"/>
    <cellStyle name="Currency 3 2 2 3 2 5" xfId="17715" xr:uid="{CFD0985E-1BF5-475B-A3C2-6398091F39D9}"/>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16050" xr:uid="{55DAF483-51CB-4C30-B506-E9B2028A2C99}"/>
    <cellStyle name="Currency 3 2 2 3 3 2 2 3" xfId="24490" xr:uid="{FC2F936E-14FD-4355-8047-540AB1463161}"/>
    <cellStyle name="Currency 3 2 2 3 3 2 3" xfId="11832" xr:uid="{E4CD224E-4F66-4975-B511-EB01DBC9607F}"/>
    <cellStyle name="Currency 3 2 2 3 3 2 4" xfId="20273" xr:uid="{5801A794-6D7D-43A8-8135-F13A2552C31F}"/>
    <cellStyle name="Currency 3 2 2 3 3 3" xfId="5463" xr:uid="{00000000-0005-0000-0000-0000DC0A0000}"/>
    <cellStyle name="Currency 3 2 2 3 3 3 2" xfId="13905" xr:uid="{838F2386-6141-4D84-B679-89A0672E8C89}"/>
    <cellStyle name="Currency 3 2 2 3 3 3 3" xfId="22345" xr:uid="{E0436580-AA42-4F7A-9B47-D18BE326907C}"/>
    <cellStyle name="Currency 3 2 2 3 3 4" xfId="9687" xr:uid="{3D385A66-2BA6-4802-862B-03103B806EDD}"/>
    <cellStyle name="Currency 3 2 2 3 3 5" xfId="18128" xr:uid="{61C4C96B-886A-4B99-A89A-B5D72871C7D1}"/>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16463" xr:uid="{86FC9EB0-DB79-43AC-A732-08AFB65EA373}"/>
    <cellStyle name="Currency 3 2 2 3 4 2 2 3" xfId="24903" xr:uid="{A68794DB-6E41-403F-BCA3-86F4148588F0}"/>
    <cellStyle name="Currency 3 2 2 3 4 2 3" xfId="12245" xr:uid="{BE5C7384-24BC-4D78-9563-A2BC1B93FA5E}"/>
    <cellStyle name="Currency 3 2 2 3 4 2 4" xfId="20686" xr:uid="{732F169B-F451-48AF-A71F-AB4B4304B305}"/>
    <cellStyle name="Currency 3 2 2 3 4 3" xfId="5876" xr:uid="{00000000-0005-0000-0000-0000E00A0000}"/>
    <cellStyle name="Currency 3 2 2 3 4 3 2" xfId="14318" xr:uid="{C967D177-0F7C-47C4-8B99-0297B6D05F0D}"/>
    <cellStyle name="Currency 3 2 2 3 4 3 3" xfId="22758" xr:uid="{C8CD50BE-AF35-480D-B516-8D15BF94D08D}"/>
    <cellStyle name="Currency 3 2 2 3 4 4" xfId="10100" xr:uid="{C6F01ECB-6392-4AEB-8124-ECFEC2208AF2}"/>
    <cellStyle name="Currency 3 2 2 3 4 5" xfId="18541" xr:uid="{90A593D6-7335-49C8-9C7E-62134F0554F5}"/>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16876" xr:uid="{49A6E352-D3CD-40EF-8B24-CD7AE6EDA6B5}"/>
    <cellStyle name="Currency 3 2 2 3 5 2 2 3" xfId="25316" xr:uid="{2887323E-C178-43E8-A066-65C3F9AD92A4}"/>
    <cellStyle name="Currency 3 2 2 3 5 2 3" xfId="12658" xr:uid="{D3381FBF-F82F-4A53-A835-CEF80B56713A}"/>
    <cellStyle name="Currency 3 2 2 3 5 2 4" xfId="21099" xr:uid="{53E5E1D4-B23F-48F6-9ED1-990A4104CB33}"/>
    <cellStyle name="Currency 3 2 2 3 5 3" xfId="6289" xr:uid="{00000000-0005-0000-0000-0000E40A0000}"/>
    <cellStyle name="Currency 3 2 2 3 5 3 2" xfId="14731" xr:uid="{250EBBBC-5351-421B-B0B2-575693329E60}"/>
    <cellStyle name="Currency 3 2 2 3 5 3 3" xfId="23171" xr:uid="{CC0BACFA-2AB1-4D65-B0CD-A7C74B0CB9FB}"/>
    <cellStyle name="Currency 3 2 2 3 5 4" xfId="10513" xr:uid="{FC85591C-00A5-44AF-A33B-565424F9A4BA}"/>
    <cellStyle name="Currency 3 2 2 3 5 5" xfId="18954" xr:uid="{2463F1F4-9856-47D6-9AA6-C05D5F1D83A2}"/>
    <cellStyle name="Currency 3 2 2 3 6" xfId="2417" xr:uid="{00000000-0005-0000-0000-0000E50A0000}"/>
    <cellStyle name="Currency 3 2 2 3 6 2" xfId="6702" xr:uid="{00000000-0005-0000-0000-0000E60A0000}"/>
    <cellStyle name="Currency 3 2 2 3 6 2 2" xfId="15144" xr:uid="{6BF7593B-A73E-4E84-A2FA-50DD1E7261AC}"/>
    <cellStyle name="Currency 3 2 2 3 6 2 3" xfId="23584" xr:uid="{24FA8F3F-F2D4-437C-B155-B0D0C2EE7B20}"/>
    <cellStyle name="Currency 3 2 2 3 6 3" xfId="10926" xr:uid="{E555E732-D2A3-4F3A-915A-9983A89D55E4}"/>
    <cellStyle name="Currency 3 2 2 3 6 4" xfId="19367" xr:uid="{668C477B-98C6-448D-8112-5EDFD5B1DAD5}"/>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15461" xr:uid="{EF40C880-E318-4F9B-819A-F546E73A8C86}"/>
    <cellStyle name="Currency 3 2 2 3 8 2 3" xfId="23901" xr:uid="{7582D5DC-F248-4ED5-B569-8460E3169715}"/>
    <cellStyle name="Currency 3 2 2 3 8 3" xfId="11243" xr:uid="{541D5975-D698-4106-9290-C3AD193ADAEA}"/>
    <cellStyle name="Currency 3 2 2 3 8 4" xfId="19684" xr:uid="{243C2806-BBCE-48AD-938F-E949D22EAE83}"/>
    <cellStyle name="Currency 3 2 2 3 9" xfId="4636" xr:uid="{00000000-0005-0000-0000-0000EA0A0000}"/>
    <cellStyle name="Currency 3 2 2 3 9 2" xfId="13078" xr:uid="{A8EFBB01-ACCC-4E4C-86F4-C90888E4144D}"/>
    <cellStyle name="Currency 3 2 2 3 9 3" xfId="21518" xr:uid="{6969EFFB-8DB0-4EEB-AA90-C7241835DF7B}"/>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15634" xr:uid="{6509B70F-CE72-4DB7-80CD-4A8DF117C6A7}"/>
    <cellStyle name="Currency 3 2 2 4 2 2 3" xfId="24074" xr:uid="{362584BE-B34B-47A6-9063-FD54F3DA3780}"/>
    <cellStyle name="Currency 3 2 2 4 2 3" xfId="11416" xr:uid="{2943CDC7-63BB-4F72-A115-B732BA16DF9E}"/>
    <cellStyle name="Currency 3 2 2 4 2 4" xfId="19857" xr:uid="{487203D2-F318-4DE1-9B10-DABE68CF8014}"/>
    <cellStyle name="Currency 3 2 2 4 3" xfId="5047" xr:uid="{00000000-0005-0000-0000-0000EE0A0000}"/>
    <cellStyle name="Currency 3 2 2 4 3 2" xfId="13489" xr:uid="{54C66618-89E0-455C-A861-AA567F32B412}"/>
    <cellStyle name="Currency 3 2 2 4 3 3" xfId="21929" xr:uid="{17152CCB-D99B-4E6C-B042-BA94EDE13A14}"/>
    <cellStyle name="Currency 3 2 2 4 4" xfId="9271" xr:uid="{78030390-8C76-4BBF-9E15-631815957CF5}"/>
    <cellStyle name="Currency 3 2 2 4 5" xfId="17712" xr:uid="{6709B555-3ABB-45F6-AE23-DC7D6C4210B1}"/>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16047" xr:uid="{08B74297-56D7-40B6-B0AA-6CD525885571}"/>
    <cellStyle name="Currency 3 2 2 5 2 2 3" xfId="24487" xr:uid="{583D23C6-4668-4AC8-89FF-5CC51747BE03}"/>
    <cellStyle name="Currency 3 2 2 5 2 3" xfId="11829" xr:uid="{6109A5CD-E87B-49A2-94AC-ABE7273E8AA4}"/>
    <cellStyle name="Currency 3 2 2 5 2 4" xfId="20270" xr:uid="{CB94E990-5E85-4E88-A898-072403DAA426}"/>
    <cellStyle name="Currency 3 2 2 5 3" xfId="5460" xr:uid="{00000000-0005-0000-0000-0000F20A0000}"/>
    <cellStyle name="Currency 3 2 2 5 3 2" xfId="13902" xr:uid="{51429120-5651-4D82-954F-4E1F9225ED64}"/>
    <cellStyle name="Currency 3 2 2 5 3 3" xfId="22342" xr:uid="{1168ED45-59F9-4741-9CD7-A6E84DD91881}"/>
    <cellStyle name="Currency 3 2 2 5 4" xfId="9684" xr:uid="{D1FC543E-81BF-467A-89DC-22800554071D}"/>
    <cellStyle name="Currency 3 2 2 5 5" xfId="18125" xr:uid="{8136473B-28A9-4072-B498-729CD0C8A6E1}"/>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16460" xr:uid="{B2E94454-15DA-49F6-B854-5E6B8443213F}"/>
    <cellStyle name="Currency 3 2 2 6 2 2 3" xfId="24900" xr:uid="{ED8F74DB-1963-473C-9FCA-C1084B78EE38}"/>
    <cellStyle name="Currency 3 2 2 6 2 3" xfId="12242" xr:uid="{EF584F13-1343-4CB0-83AA-5F448494B56E}"/>
    <cellStyle name="Currency 3 2 2 6 2 4" xfId="20683" xr:uid="{82821D90-1856-454B-81E1-5127E09E3A23}"/>
    <cellStyle name="Currency 3 2 2 6 3" xfId="5873" xr:uid="{00000000-0005-0000-0000-0000F60A0000}"/>
    <cellStyle name="Currency 3 2 2 6 3 2" xfId="14315" xr:uid="{32BA6DAA-9F7C-4F54-AA33-85F0E3B1C55C}"/>
    <cellStyle name="Currency 3 2 2 6 3 3" xfId="22755" xr:uid="{FB684F3E-BC04-4EC4-9BD9-16FE9853AC00}"/>
    <cellStyle name="Currency 3 2 2 6 4" xfId="10097" xr:uid="{C5D232A9-FBA4-4CA8-90D7-E4EEDAEB9E9A}"/>
    <cellStyle name="Currency 3 2 2 6 5" xfId="18538" xr:uid="{DCA5EE24-8A11-4D16-A3BD-6DBE0D37D2A6}"/>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16873" xr:uid="{4C185F45-BACF-4516-A6B8-2763E3983132}"/>
    <cellStyle name="Currency 3 2 2 7 2 2 3" xfId="25313" xr:uid="{55DFF90E-0508-444D-AEE1-C70BD862893E}"/>
    <cellStyle name="Currency 3 2 2 7 2 3" xfId="12655" xr:uid="{67F577C2-7848-4599-837E-2F86FC586157}"/>
    <cellStyle name="Currency 3 2 2 7 2 4" xfId="21096" xr:uid="{FCE676F7-8F3F-4A68-87E3-9C0B63599B89}"/>
    <cellStyle name="Currency 3 2 2 7 3" xfId="6286" xr:uid="{00000000-0005-0000-0000-0000FA0A0000}"/>
    <cellStyle name="Currency 3 2 2 7 3 2" xfId="14728" xr:uid="{9D7DE9DF-1155-4092-8CA5-2307856B0421}"/>
    <cellStyle name="Currency 3 2 2 7 3 3" xfId="23168" xr:uid="{34885EA5-97F1-45FB-B0A6-67C27A038FC9}"/>
    <cellStyle name="Currency 3 2 2 7 4" xfId="10510" xr:uid="{0BCA59B0-61EF-43F0-9826-4EF7599FF89B}"/>
    <cellStyle name="Currency 3 2 2 7 5" xfId="18951" xr:uid="{EB7483D1-B82D-438F-87EC-9B0C3CD8555F}"/>
    <cellStyle name="Currency 3 2 2 8" xfId="2414" xr:uid="{00000000-0005-0000-0000-0000FB0A0000}"/>
    <cellStyle name="Currency 3 2 2 8 2" xfId="6699" xr:uid="{00000000-0005-0000-0000-0000FC0A0000}"/>
    <cellStyle name="Currency 3 2 2 8 2 2" xfId="15141" xr:uid="{983F1B12-906D-4F0E-9997-EAFAA2A299F7}"/>
    <cellStyle name="Currency 3 2 2 8 2 3" xfId="23581" xr:uid="{393ADB03-4437-4E49-8FF2-08F3E0644687}"/>
    <cellStyle name="Currency 3 2 2 8 3" xfId="10923" xr:uid="{6F1A5A03-8F85-4DCD-8B7E-54419BA1A4CA}"/>
    <cellStyle name="Currency 3 2 2 8 4" xfId="19364" xr:uid="{12E7DFF8-5B40-4469-AC1D-EF40EF83A035}"/>
    <cellStyle name="Currency 3 2 2 9" xfId="2711" xr:uid="{00000000-0005-0000-0000-0000FD0A0000}"/>
    <cellStyle name="Currency 3 2 3" xfId="182" xr:uid="{00000000-0005-0000-0000-0000FE0A0000}"/>
    <cellStyle name="Currency 3 2 3 10" xfId="4637" xr:uid="{00000000-0005-0000-0000-0000FF0A0000}"/>
    <cellStyle name="Currency 3 2 3 10 2" xfId="13079" xr:uid="{2E6A26BC-324A-48B9-96EB-906B04F3C846}"/>
    <cellStyle name="Currency 3 2 3 10 3" xfId="21519" xr:uid="{22D61B7D-8213-4CB7-80F5-767E45F2B4C6}"/>
    <cellStyle name="Currency 3 2 3 11" xfId="8861" xr:uid="{849CBE3D-7FE5-4434-9D00-DA51A0C2D11A}"/>
    <cellStyle name="Currency 3 2 3 12" xfId="17302" xr:uid="{7D57687E-8E6E-40DE-855D-4D945F3C1842}"/>
    <cellStyle name="Currency 3 2 3 2" xfId="183" xr:uid="{00000000-0005-0000-0000-0000000B0000}"/>
    <cellStyle name="Currency 3 2 3 2 10" xfId="8862" xr:uid="{79B091EF-8B4E-4FF5-B711-E74AE2869D0B}"/>
    <cellStyle name="Currency 3 2 3 2 11" xfId="17303" xr:uid="{DC45FA2F-62C5-4E8C-A5C1-D184495ED231}"/>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15639" xr:uid="{8E4031E2-1B1C-4E3F-9F86-AC99B0CBE9E4}"/>
    <cellStyle name="Currency 3 2 3 2 2 2 2 3" xfId="24079" xr:uid="{85EC1675-5C62-4AB0-AFEC-077C3EC3B932}"/>
    <cellStyle name="Currency 3 2 3 2 2 2 3" xfId="11421" xr:uid="{4A6273B3-09D7-4D09-8F1C-4E6B886C6317}"/>
    <cellStyle name="Currency 3 2 3 2 2 2 4" xfId="19862" xr:uid="{89E6F305-9524-41B3-8FC8-B4296B3DDC59}"/>
    <cellStyle name="Currency 3 2 3 2 2 3" xfId="5052" xr:uid="{00000000-0005-0000-0000-0000040B0000}"/>
    <cellStyle name="Currency 3 2 3 2 2 3 2" xfId="13494" xr:uid="{3F07FA56-6D2B-4CE6-B4F0-0DF57569EF19}"/>
    <cellStyle name="Currency 3 2 3 2 2 3 3" xfId="21934" xr:uid="{A939D41C-9020-479D-8BF8-28127DF43DD5}"/>
    <cellStyle name="Currency 3 2 3 2 2 4" xfId="9276" xr:uid="{1F8572C3-2EF5-4360-85CA-DB5D5A299765}"/>
    <cellStyle name="Currency 3 2 3 2 2 5" xfId="17717" xr:uid="{9A46237B-1128-4B18-AA89-9488CA691514}"/>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16052" xr:uid="{4446510F-420F-478D-A0D6-D12604795AB3}"/>
    <cellStyle name="Currency 3 2 3 2 3 2 2 3" xfId="24492" xr:uid="{74302B56-070B-4C28-BC93-D30F6CFCCA5F}"/>
    <cellStyle name="Currency 3 2 3 2 3 2 3" xfId="11834" xr:uid="{2D3E3619-6AEE-4468-8EED-B2541CB06729}"/>
    <cellStyle name="Currency 3 2 3 2 3 2 4" xfId="20275" xr:uid="{C7E22D2E-AD13-4564-8BF5-210DBA4EF38A}"/>
    <cellStyle name="Currency 3 2 3 2 3 3" xfId="5465" xr:uid="{00000000-0005-0000-0000-0000080B0000}"/>
    <cellStyle name="Currency 3 2 3 2 3 3 2" xfId="13907" xr:uid="{66B406F5-E705-4940-BEB7-4C101F45CB58}"/>
    <cellStyle name="Currency 3 2 3 2 3 3 3" xfId="22347" xr:uid="{1FA33CE6-7977-496A-9833-900C86512FAB}"/>
    <cellStyle name="Currency 3 2 3 2 3 4" xfId="9689" xr:uid="{73F1A5C2-A02F-49C6-BFF9-58E661176053}"/>
    <cellStyle name="Currency 3 2 3 2 3 5" xfId="18130" xr:uid="{E69A50BD-352D-4856-93C8-3F6FDE69053D}"/>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16465" xr:uid="{E950F5A2-037D-4815-A518-E67FE6460FB4}"/>
    <cellStyle name="Currency 3 2 3 2 4 2 2 3" xfId="24905" xr:uid="{B8542C8B-51A4-4EDB-A600-0268EA95F09C}"/>
    <cellStyle name="Currency 3 2 3 2 4 2 3" xfId="12247" xr:uid="{4085FD18-6543-42D1-92DA-575BFD2A8559}"/>
    <cellStyle name="Currency 3 2 3 2 4 2 4" xfId="20688" xr:uid="{F4005B2E-547A-4AA9-B73D-1580A93B46C7}"/>
    <cellStyle name="Currency 3 2 3 2 4 3" xfId="5878" xr:uid="{00000000-0005-0000-0000-00000C0B0000}"/>
    <cellStyle name="Currency 3 2 3 2 4 3 2" xfId="14320" xr:uid="{554EDA32-5ADE-48BF-B65A-5C43A78AB87D}"/>
    <cellStyle name="Currency 3 2 3 2 4 3 3" xfId="22760" xr:uid="{CCD6DDD1-40D1-4263-AF05-7B6A7ED217D0}"/>
    <cellStyle name="Currency 3 2 3 2 4 4" xfId="10102" xr:uid="{3E1B2A5E-D919-4A42-8D46-5386AAD1DD8B}"/>
    <cellStyle name="Currency 3 2 3 2 4 5" xfId="18543" xr:uid="{1BD49413-14C9-403C-AACB-4851BFD88123}"/>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16878" xr:uid="{F5B919F3-D69C-4347-84F2-9CFE6B08E056}"/>
    <cellStyle name="Currency 3 2 3 2 5 2 2 3" xfId="25318" xr:uid="{01F3D1EF-2EC6-4187-AA21-5485061F6C17}"/>
    <cellStyle name="Currency 3 2 3 2 5 2 3" xfId="12660" xr:uid="{769969F1-EF95-422D-AD54-84E09276D0A0}"/>
    <cellStyle name="Currency 3 2 3 2 5 2 4" xfId="21101" xr:uid="{3D95A14B-92F5-4C15-873D-C3D775D46126}"/>
    <cellStyle name="Currency 3 2 3 2 5 3" xfId="6291" xr:uid="{00000000-0005-0000-0000-0000100B0000}"/>
    <cellStyle name="Currency 3 2 3 2 5 3 2" xfId="14733" xr:uid="{E5E7A0E3-E79A-4688-9BFE-E7C4154B9E86}"/>
    <cellStyle name="Currency 3 2 3 2 5 3 3" xfId="23173" xr:uid="{F6D3457A-7922-4953-AFF5-5FCB5B582585}"/>
    <cellStyle name="Currency 3 2 3 2 5 4" xfId="10515" xr:uid="{9E566A1B-AA0C-4751-AC81-3EF4D2A12382}"/>
    <cellStyle name="Currency 3 2 3 2 5 5" xfId="18956" xr:uid="{B4E94772-8B6A-475D-95B2-D07ABD10502B}"/>
    <cellStyle name="Currency 3 2 3 2 6" xfId="2419" xr:uid="{00000000-0005-0000-0000-0000110B0000}"/>
    <cellStyle name="Currency 3 2 3 2 6 2" xfId="6704" xr:uid="{00000000-0005-0000-0000-0000120B0000}"/>
    <cellStyle name="Currency 3 2 3 2 6 2 2" xfId="15146" xr:uid="{02508F5E-2122-4CF1-A142-1394E063604D}"/>
    <cellStyle name="Currency 3 2 3 2 6 2 3" xfId="23586" xr:uid="{6E1A36A4-13D3-4F45-84A8-0FB8F0A98E75}"/>
    <cellStyle name="Currency 3 2 3 2 6 3" xfId="10928" xr:uid="{355A16BD-5363-4FE9-A4ED-9C16D614FB8A}"/>
    <cellStyle name="Currency 3 2 3 2 6 4" xfId="19369" xr:uid="{ED7ACCD4-E230-4518-8543-B6CCEA30FE60}"/>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15463" xr:uid="{250A0E8E-6552-4629-A733-47CA8827223C}"/>
    <cellStyle name="Currency 3 2 3 2 8 2 3" xfId="23903" xr:uid="{B176D3DC-7645-4145-93AF-E50E4752B13E}"/>
    <cellStyle name="Currency 3 2 3 2 8 3" xfId="11245" xr:uid="{65A8AFC3-D79A-488C-A856-01E56324F4C0}"/>
    <cellStyle name="Currency 3 2 3 2 8 4" xfId="19686" xr:uid="{64AB14C6-B9EB-4C86-B195-012F041D73BE}"/>
    <cellStyle name="Currency 3 2 3 2 9" xfId="4638" xr:uid="{00000000-0005-0000-0000-0000160B0000}"/>
    <cellStyle name="Currency 3 2 3 2 9 2" xfId="13080" xr:uid="{59BBD890-F4CD-48B9-8EF9-EF07C95C430E}"/>
    <cellStyle name="Currency 3 2 3 2 9 3" xfId="21520" xr:uid="{876149E2-C621-4F8D-9F40-95FA1CA027C8}"/>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15638" xr:uid="{82AEF126-4258-4CF9-8132-8CB5AB9A1B59}"/>
    <cellStyle name="Currency 3 2 3 3 2 2 3" xfId="24078" xr:uid="{7C0BB585-CDA0-4D8D-9770-8414D3FF569D}"/>
    <cellStyle name="Currency 3 2 3 3 2 3" xfId="11420" xr:uid="{153F278B-8E7A-4B1B-A95E-DB6AB7531EA3}"/>
    <cellStyle name="Currency 3 2 3 3 2 4" xfId="19861" xr:uid="{3DAC092E-9D6B-425D-8C96-2ADC29E6858C}"/>
    <cellStyle name="Currency 3 2 3 3 3" xfId="5051" xr:uid="{00000000-0005-0000-0000-00001A0B0000}"/>
    <cellStyle name="Currency 3 2 3 3 3 2" xfId="13493" xr:uid="{CF9DA12E-E777-4FDE-9AC5-B3288552CA31}"/>
    <cellStyle name="Currency 3 2 3 3 3 3" xfId="21933" xr:uid="{6A15F6D0-A73E-4BCE-BA99-2097EF75A4EE}"/>
    <cellStyle name="Currency 3 2 3 3 4" xfId="9275" xr:uid="{FCD53807-2547-41A8-8896-B9268A3EACA4}"/>
    <cellStyle name="Currency 3 2 3 3 5" xfId="17716" xr:uid="{CEF9DF45-1A8D-409E-9594-F5C6825BCD3B}"/>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16051" xr:uid="{35E32C7E-510C-400B-AF31-13057B3CFA8D}"/>
    <cellStyle name="Currency 3 2 3 4 2 2 3" xfId="24491" xr:uid="{D84935B7-78AA-4B4E-B03B-50229088B30D}"/>
    <cellStyle name="Currency 3 2 3 4 2 3" xfId="11833" xr:uid="{16738290-AE3E-4626-B1CD-A469119F38DB}"/>
    <cellStyle name="Currency 3 2 3 4 2 4" xfId="20274" xr:uid="{1AECBFC1-7FE3-4565-92CE-643567A8AD43}"/>
    <cellStyle name="Currency 3 2 3 4 3" xfId="5464" xr:uid="{00000000-0005-0000-0000-00001E0B0000}"/>
    <cellStyle name="Currency 3 2 3 4 3 2" xfId="13906" xr:uid="{418D9D9B-7F2F-40BB-9F36-957922E10421}"/>
    <cellStyle name="Currency 3 2 3 4 3 3" xfId="22346" xr:uid="{1BC20314-7D94-4584-9243-CB4A68538770}"/>
    <cellStyle name="Currency 3 2 3 4 4" xfId="9688" xr:uid="{3C7B5755-20D9-4B46-B459-EDA31528BCA2}"/>
    <cellStyle name="Currency 3 2 3 4 5" xfId="18129" xr:uid="{D436031B-30BF-42BC-B3EC-6FF9998F9F56}"/>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16464" xr:uid="{F7C96B61-8633-4DFB-BA04-1F4691E6BCEC}"/>
    <cellStyle name="Currency 3 2 3 5 2 2 3" xfId="24904" xr:uid="{CDAB23D4-7BCC-4788-91E8-6B6A46D1CB73}"/>
    <cellStyle name="Currency 3 2 3 5 2 3" xfId="12246" xr:uid="{90DAE32D-8653-4574-99BB-9A16D981F4B3}"/>
    <cellStyle name="Currency 3 2 3 5 2 4" xfId="20687" xr:uid="{BDBDD0DE-12BC-493B-B5D6-139E93B1B68B}"/>
    <cellStyle name="Currency 3 2 3 5 3" xfId="5877" xr:uid="{00000000-0005-0000-0000-0000220B0000}"/>
    <cellStyle name="Currency 3 2 3 5 3 2" xfId="14319" xr:uid="{5E523EBA-4D08-4C75-84C6-ABB15E9E082E}"/>
    <cellStyle name="Currency 3 2 3 5 3 3" xfId="22759" xr:uid="{0DB8BFC8-39B8-42B7-8BBB-D6635EAE8E3C}"/>
    <cellStyle name="Currency 3 2 3 5 4" xfId="10101" xr:uid="{B0874DE4-ED43-4CA2-8267-7A916BFCBF3A}"/>
    <cellStyle name="Currency 3 2 3 5 5" xfId="18542" xr:uid="{23080CC1-70D1-4190-8125-AA877EC7C8B8}"/>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16877" xr:uid="{C6B984BA-EF27-43ED-AB05-2B2F4D675DA9}"/>
    <cellStyle name="Currency 3 2 3 6 2 2 3" xfId="25317" xr:uid="{7F13B87A-1335-437D-8B9A-9C84ED24E6A2}"/>
    <cellStyle name="Currency 3 2 3 6 2 3" xfId="12659" xr:uid="{829993D6-A7F6-448A-BAE2-6B0925595768}"/>
    <cellStyle name="Currency 3 2 3 6 2 4" xfId="21100" xr:uid="{8CE7E78F-AB3B-4074-B041-DE1B2EF8EC9C}"/>
    <cellStyle name="Currency 3 2 3 6 3" xfId="6290" xr:uid="{00000000-0005-0000-0000-0000260B0000}"/>
    <cellStyle name="Currency 3 2 3 6 3 2" xfId="14732" xr:uid="{CEFBF1A6-C2F1-4EA5-B514-C778588BE73B}"/>
    <cellStyle name="Currency 3 2 3 6 3 3" xfId="23172" xr:uid="{C0B0D0BD-8DA8-4C54-BD60-BD83A94F4D09}"/>
    <cellStyle name="Currency 3 2 3 6 4" xfId="10514" xr:uid="{58851A0D-9FBB-45B0-9836-2F172690DF33}"/>
    <cellStyle name="Currency 3 2 3 6 5" xfId="18955" xr:uid="{9DF7B98F-33C8-4379-83FE-34202BBD00F3}"/>
    <cellStyle name="Currency 3 2 3 7" xfId="2418" xr:uid="{00000000-0005-0000-0000-0000270B0000}"/>
    <cellStyle name="Currency 3 2 3 7 2" xfId="6703" xr:uid="{00000000-0005-0000-0000-0000280B0000}"/>
    <cellStyle name="Currency 3 2 3 7 2 2" xfId="15145" xr:uid="{F76B2B4E-F5C3-44FC-9D6C-82EF39F897B1}"/>
    <cellStyle name="Currency 3 2 3 7 2 3" xfId="23585" xr:uid="{60CF711C-05F0-412B-A45B-E8F6AEE80B68}"/>
    <cellStyle name="Currency 3 2 3 7 3" xfId="10927" xr:uid="{4791EB55-090E-4C60-BB44-88B04BB52F21}"/>
    <cellStyle name="Currency 3 2 3 7 4" xfId="19368" xr:uid="{07A2B533-75C7-4055-8EBA-D1D69740574D}"/>
    <cellStyle name="Currency 3 2 3 8" xfId="2715" xr:uid="{00000000-0005-0000-0000-0000290B0000}"/>
    <cellStyle name="Currency 3 2 3 9" xfId="2796" xr:uid="{00000000-0005-0000-0000-00002A0B0000}"/>
    <cellStyle name="Currency 3 2 3 9 2" xfId="7020" xr:uid="{00000000-0005-0000-0000-00002B0B0000}"/>
    <cellStyle name="Currency 3 2 3 9 2 2" xfId="15462" xr:uid="{A0630ADE-3063-4936-8D95-B66A5A80C056}"/>
    <cellStyle name="Currency 3 2 3 9 2 3" xfId="23902" xr:uid="{DF2BD96A-7D76-4FB5-8D89-8473C23331B1}"/>
    <cellStyle name="Currency 3 2 3 9 3" xfId="11244" xr:uid="{4CB55189-76B2-41F3-9419-71246C008439}"/>
    <cellStyle name="Currency 3 2 3 9 4" xfId="19685" xr:uid="{36A5E940-AFFE-42C8-9018-89A45CEA8D0D}"/>
    <cellStyle name="Currency 3 2 4" xfId="184" xr:uid="{00000000-0005-0000-0000-00002C0B0000}"/>
    <cellStyle name="Currency 3 2 4 10" xfId="8863" xr:uid="{F7D1C0F4-9950-4787-8CDC-8A84A88C3101}"/>
    <cellStyle name="Currency 3 2 4 11" xfId="17304" xr:uid="{E84E4342-4ECC-41A2-89C4-5D4EF5B951CB}"/>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15640" xr:uid="{E6E569EA-7B1A-41F9-A218-A1C7E16F32D8}"/>
    <cellStyle name="Currency 3 2 4 2 2 2 3" xfId="24080" xr:uid="{B9E90C9B-0789-4B17-9AC8-797CCE8FA1B5}"/>
    <cellStyle name="Currency 3 2 4 2 2 3" xfId="11422" xr:uid="{B33F1494-3D32-4FA1-B96C-F67B77C43F05}"/>
    <cellStyle name="Currency 3 2 4 2 2 4" xfId="19863" xr:uid="{91692908-6DD9-4D60-8F5F-46651DFA2F27}"/>
    <cellStyle name="Currency 3 2 4 2 3" xfId="5053" xr:uid="{00000000-0005-0000-0000-0000300B0000}"/>
    <cellStyle name="Currency 3 2 4 2 3 2" xfId="13495" xr:uid="{74403756-C2C1-4E5E-8FDD-85495DF49269}"/>
    <cellStyle name="Currency 3 2 4 2 3 3" xfId="21935" xr:uid="{DE8EB217-F9F0-4117-BB76-119BA88087B3}"/>
    <cellStyle name="Currency 3 2 4 2 4" xfId="9277" xr:uid="{306679A0-5F15-471C-8FA3-211F43FE6080}"/>
    <cellStyle name="Currency 3 2 4 2 5" xfId="17718" xr:uid="{C11E1DC8-F244-473C-B0FA-39AD7D5DF0CA}"/>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16053" xr:uid="{DAF32C6A-EF3F-41EA-A0DA-1DF9F76DFDE6}"/>
    <cellStyle name="Currency 3 2 4 3 2 2 3" xfId="24493" xr:uid="{AB35D846-83F3-4262-BA8C-25017F899C08}"/>
    <cellStyle name="Currency 3 2 4 3 2 3" xfId="11835" xr:uid="{D046ED22-EEF1-4C71-984F-4FC981DB7863}"/>
    <cellStyle name="Currency 3 2 4 3 2 4" xfId="20276" xr:uid="{82D6D2DD-C439-4FE9-844A-6F40FA2E62CA}"/>
    <cellStyle name="Currency 3 2 4 3 3" xfId="5466" xr:uid="{00000000-0005-0000-0000-0000340B0000}"/>
    <cellStyle name="Currency 3 2 4 3 3 2" xfId="13908" xr:uid="{61AF47DE-6102-4E07-A38A-F41C7B6B9C61}"/>
    <cellStyle name="Currency 3 2 4 3 3 3" xfId="22348" xr:uid="{1C5FB6F4-CA1D-4AC4-AEB8-005324B8F654}"/>
    <cellStyle name="Currency 3 2 4 3 4" xfId="9690" xr:uid="{D925A68E-3D37-419E-A483-ABDAFF9361A4}"/>
    <cellStyle name="Currency 3 2 4 3 5" xfId="18131" xr:uid="{D191D934-242C-4A79-A5BD-84FB0858D25A}"/>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16466" xr:uid="{8AA3C68A-996F-4382-B5BF-356E8E6D542C}"/>
    <cellStyle name="Currency 3 2 4 4 2 2 3" xfId="24906" xr:uid="{EDF05DC3-0882-470F-BFAD-FA5167C6DFA7}"/>
    <cellStyle name="Currency 3 2 4 4 2 3" xfId="12248" xr:uid="{3D4070B4-1075-408F-8C76-3AB0CE524EE7}"/>
    <cellStyle name="Currency 3 2 4 4 2 4" xfId="20689" xr:uid="{892AD8A7-ED38-482F-9072-9EF3C9EB2830}"/>
    <cellStyle name="Currency 3 2 4 4 3" xfId="5879" xr:uid="{00000000-0005-0000-0000-0000380B0000}"/>
    <cellStyle name="Currency 3 2 4 4 3 2" xfId="14321" xr:uid="{F4BF4D88-3749-4DFF-AB89-93D7655F0AE8}"/>
    <cellStyle name="Currency 3 2 4 4 3 3" xfId="22761" xr:uid="{57B4ED14-275C-421D-B1D3-65B5F3807E2C}"/>
    <cellStyle name="Currency 3 2 4 4 4" xfId="10103" xr:uid="{411B4F71-569B-4153-B3FE-D5B413DF6FB1}"/>
    <cellStyle name="Currency 3 2 4 4 5" xfId="18544" xr:uid="{7BDD71E9-641A-4A4F-8588-08FC3903A8B8}"/>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16879" xr:uid="{5491C317-2CCD-4330-B85C-F6E0628528D0}"/>
    <cellStyle name="Currency 3 2 4 5 2 2 3" xfId="25319" xr:uid="{83125344-06AB-474F-AB19-2B30FB260854}"/>
    <cellStyle name="Currency 3 2 4 5 2 3" xfId="12661" xr:uid="{73266C9E-6375-46F7-ADC1-6073A08427EA}"/>
    <cellStyle name="Currency 3 2 4 5 2 4" xfId="21102" xr:uid="{19A9921D-1AD7-4F79-886D-0BF38FDEA6F8}"/>
    <cellStyle name="Currency 3 2 4 5 3" xfId="6292" xr:uid="{00000000-0005-0000-0000-00003C0B0000}"/>
    <cellStyle name="Currency 3 2 4 5 3 2" xfId="14734" xr:uid="{B125B2D6-0174-4B10-AAD5-FF7221C9B035}"/>
    <cellStyle name="Currency 3 2 4 5 3 3" xfId="23174" xr:uid="{C3447C8D-4029-44FC-84B5-B71F4ED1CA87}"/>
    <cellStyle name="Currency 3 2 4 5 4" xfId="10516" xr:uid="{803C25AC-F8CD-4024-95B3-A3386AA71695}"/>
    <cellStyle name="Currency 3 2 4 5 5" xfId="18957" xr:uid="{92D897FE-3BB8-4CE2-A6F1-CA75E57B3BDB}"/>
    <cellStyle name="Currency 3 2 4 6" xfId="2420" xr:uid="{00000000-0005-0000-0000-00003D0B0000}"/>
    <cellStyle name="Currency 3 2 4 6 2" xfId="6705" xr:uid="{00000000-0005-0000-0000-00003E0B0000}"/>
    <cellStyle name="Currency 3 2 4 6 2 2" xfId="15147" xr:uid="{AEDC0A9F-75DD-49BA-B30A-1E6461F9F639}"/>
    <cellStyle name="Currency 3 2 4 6 2 3" xfId="23587" xr:uid="{E64B9DEC-1C20-4CBC-9878-FF3EF6A690DE}"/>
    <cellStyle name="Currency 3 2 4 6 3" xfId="10929" xr:uid="{B2D82FE6-5C01-4803-89DE-2569B5AAE1D0}"/>
    <cellStyle name="Currency 3 2 4 6 4" xfId="19370" xr:uid="{157CD603-9D7A-4AAF-A7EF-AC3B5EC9035A}"/>
    <cellStyle name="Currency 3 2 4 7" xfId="2717" xr:uid="{00000000-0005-0000-0000-00003F0B0000}"/>
    <cellStyle name="Currency 3 2 4 8" xfId="2798" xr:uid="{00000000-0005-0000-0000-0000400B0000}"/>
    <cellStyle name="Currency 3 2 4 8 2" xfId="7022" xr:uid="{00000000-0005-0000-0000-0000410B0000}"/>
    <cellStyle name="Currency 3 2 4 8 2 2" xfId="15464" xr:uid="{EF6F7A96-08CF-4418-ADF1-2B8A6FA26E65}"/>
    <cellStyle name="Currency 3 2 4 8 2 3" xfId="23904" xr:uid="{5247F615-D4BF-4221-8F6B-F6045FB938C6}"/>
    <cellStyle name="Currency 3 2 4 8 3" xfId="11246" xr:uid="{CBA909A7-7077-484F-8612-019AD45126F1}"/>
    <cellStyle name="Currency 3 2 4 8 4" xfId="19687" xr:uid="{2DCA2095-EBC8-4A52-B84E-1BE04F1951D0}"/>
    <cellStyle name="Currency 3 2 4 9" xfId="4639" xr:uid="{00000000-0005-0000-0000-0000420B0000}"/>
    <cellStyle name="Currency 3 2 4 9 2" xfId="13081" xr:uid="{0B7542EE-98C4-4537-938B-583FA353F044}"/>
    <cellStyle name="Currency 3 2 4 9 3" xfId="21521" xr:uid="{840FF2FF-BCB7-4BCA-A975-AFE4533B0F5A}"/>
    <cellStyle name="Currency 3 2 5" xfId="185" xr:uid="{00000000-0005-0000-0000-0000430B0000}"/>
    <cellStyle name="Currency 3 2 5 10" xfId="8864" xr:uid="{287932F6-C7C8-429D-BE2D-42B33E27EEEF}"/>
    <cellStyle name="Currency 3 2 5 11" xfId="17305" xr:uid="{7EA9B0F1-829C-4C5A-908E-1A135F7049B7}"/>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15641" xr:uid="{424DE002-8478-4DA2-BB7B-BFF22FD0107E}"/>
    <cellStyle name="Currency 3 2 5 2 2 2 3" xfId="24081" xr:uid="{637207A5-BA1B-479E-9502-33C8B91F24F2}"/>
    <cellStyle name="Currency 3 2 5 2 2 3" xfId="11423" xr:uid="{6A79FEEA-F2CF-4072-9A70-CA0CD3F158A9}"/>
    <cellStyle name="Currency 3 2 5 2 2 4" xfId="19864" xr:uid="{A4A89D54-B1AC-4DC1-9224-6B67857DE199}"/>
    <cellStyle name="Currency 3 2 5 2 3" xfId="5054" xr:uid="{00000000-0005-0000-0000-0000470B0000}"/>
    <cellStyle name="Currency 3 2 5 2 3 2" xfId="13496" xr:uid="{E9914EC7-FC1C-4B9D-83A1-59F8B5286609}"/>
    <cellStyle name="Currency 3 2 5 2 3 3" xfId="21936" xr:uid="{36E6CBAD-4ABD-4CC7-B34E-44F7BC5C8F22}"/>
    <cellStyle name="Currency 3 2 5 2 4" xfId="9278" xr:uid="{1E7EC183-FE77-4B01-A5ED-9EFFAC6327E5}"/>
    <cellStyle name="Currency 3 2 5 2 5" xfId="17719" xr:uid="{0D94542B-1F18-4932-B616-A50616386000}"/>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16054" xr:uid="{04D5A11D-5952-4E4B-8A41-FE76DD63CB0C}"/>
    <cellStyle name="Currency 3 2 5 3 2 2 3" xfId="24494" xr:uid="{CDBD4804-D43F-4979-B8EB-5A6A2193F002}"/>
    <cellStyle name="Currency 3 2 5 3 2 3" xfId="11836" xr:uid="{71AF6075-6AB1-4A87-AACD-D8448BDE58D3}"/>
    <cellStyle name="Currency 3 2 5 3 2 4" xfId="20277" xr:uid="{33D6B851-2890-41DB-BE55-D8DF43C35019}"/>
    <cellStyle name="Currency 3 2 5 3 3" xfId="5467" xr:uid="{00000000-0005-0000-0000-00004B0B0000}"/>
    <cellStyle name="Currency 3 2 5 3 3 2" xfId="13909" xr:uid="{C929B496-DF29-4468-8C63-4D166307A84C}"/>
    <cellStyle name="Currency 3 2 5 3 3 3" xfId="22349" xr:uid="{D6252AF2-526A-4F55-B834-99D022E2DF9C}"/>
    <cellStyle name="Currency 3 2 5 3 4" xfId="9691" xr:uid="{92D60737-80D2-4E56-A9FB-42E934EBB47F}"/>
    <cellStyle name="Currency 3 2 5 3 5" xfId="18132" xr:uid="{7F831E4D-165D-46A4-A6EB-B0E33462549F}"/>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16467" xr:uid="{8125DD02-BC76-45DB-9893-6B8B5A3D4295}"/>
    <cellStyle name="Currency 3 2 5 4 2 2 3" xfId="24907" xr:uid="{C6A98AD9-2569-44D0-8CD9-23A58753AEDE}"/>
    <cellStyle name="Currency 3 2 5 4 2 3" xfId="12249" xr:uid="{8EB9310E-EA30-48B2-A456-32771E6C8204}"/>
    <cellStyle name="Currency 3 2 5 4 2 4" xfId="20690" xr:uid="{799A990C-FF54-44D0-9FC8-3AF7D9DFA87F}"/>
    <cellStyle name="Currency 3 2 5 4 3" xfId="5880" xr:uid="{00000000-0005-0000-0000-00004F0B0000}"/>
    <cellStyle name="Currency 3 2 5 4 3 2" xfId="14322" xr:uid="{9DAF526A-9018-4165-B893-6BA44222651F}"/>
    <cellStyle name="Currency 3 2 5 4 3 3" xfId="22762" xr:uid="{97C5CF01-F91F-4838-A000-05D935467AEC}"/>
    <cellStyle name="Currency 3 2 5 4 4" xfId="10104" xr:uid="{70DFA1EB-B9CB-4BFD-9B76-6CBF92788005}"/>
    <cellStyle name="Currency 3 2 5 4 5" xfId="18545" xr:uid="{B5BED926-EC40-42BC-86CA-4EE65F1D8BF7}"/>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16880" xr:uid="{CAFF2391-2B35-47B5-A8DA-0C75CD505950}"/>
    <cellStyle name="Currency 3 2 5 5 2 2 3" xfId="25320" xr:uid="{ADF0E631-FCD9-495F-AFCB-0E598357C7DF}"/>
    <cellStyle name="Currency 3 2 5 5 2 3" xfId="12662" xr:uid="{DF114587-BB25-402A-8E73-49B75C736C00}"/>
    <cellStyle name="Currency 3 2 5 5 2 4" xfId="21103" xr:uid="{BDC191C9-D1C2-46E6-BE1A-2FDBE2AB7A0D}"/>
    <cellStyle name="Currency 3 2 5 5 3" xfId="6293" xr:uid="{00000000-0005-0000-0000-0000530B0000}"/>
    <cellStyle name="Currency 3 2 5 5 3 2" xfId="14735" xr:uid="{7D069DC4-1F98-4A3B-8734-FE05CF309D4D}"/>
    <cellStyle name="Currency 3 2 5 5 3 3" xfId="23175" xr:uid="{C5ECE19D-77ED-4B13-A759-8EA7CDD9A102}"/>
    <cellStyle name="Currency 3 2 5 5 4" xfId="10517" xr:uid="{4031A220-EFC6-4E4C-B206-C2C6601F19EC}"/>
    <cellStyle name="Currency 3 2 5 5 5" xfId="18958" xr:uid="{D1ED0143-611E-482D-9600-A530E758DA6A}"/>
    <cellStyle name="Currency 3 2 5 6" xfId="2421" xr:uid="{00000000-0005-0000-0000-0000540B0000}"/>
    <cellStyle name="Currency 3 2 5 6 2" xfId="6706" xr:uid="{00000000-0005-0000-0000-0000550B0000}"/>
    <cellStyle name="Currency 3 2 5 6 2 2" xfId="15148" xr:uid="{2491DF24-778D-4B6D-8A0D-0E4A094F739E}"/>
    <cellStyle name="Currency 3 2 5 6 2 3" xfId="23588" xr:uid="{D425C45B-A134-47E7-98AB-B749D1C0C32E}"/>
    <cellStyle name="Currency 3 2 5 6 3" xfId="10930" xr:uid="{F8A966F0-81B5-459F-9FED-41C2A758214D}"/>
    <cellStyle name="Currency 3 2 5 6 4" xfId="19371" xr:uid="{2B7F0094-9360-4C58-A9E1-FD61E6C4E93E}"/>
    <cellStyle name="Currency 3 2 5 7" xfId="2718" xr:uid="{00000000-0005-0000-0000-0000560B0000}"/>
    <cellStyle name="Currency 3 2 5 8" xfId="2799" xr:uid="{00000000-0005-0000-0000-0000570B0000}"/>
    <cellStyle name="Currency 3 2 5 8 2" xfId="7023" xr:uid="{00000000-0005-0000-0000-0000580B0000}"/>
    <cellStyle name="Currency 3 2 5 8 2 2" xfId="15465" xr:uid="{3C2F9035-AFDD-4738-895B-450D3710FB45}"/>
    <cellStyle name="Currency 3 2 5 8 2 3" xfId="23905" xr:uid="{9A17693C-A568-4E81-B3BA-1DE4DDC8212E}"/>
    <cellStyle name="Currency 3 2 5 8 3" xfId="11247" xr:uid="{C609103A-530C-45E5-AC41-F85F22F0FF0E}"/>
    <cellStyle name="Currency 3 2 5 8 4" xfId="19688" xr:uid="{2055DB8B-CD7F-4EEA-8191-524D3875F571}"/>
    <cellStyle name="Currency 3 2 5 9" xfId="4640" xr:uid="{00000000-0005-0000-0000-0000590B0000}"/>
    <cellStyle name="Currency 3 2 5 9 2" xfId="13082" xr:uid="{3502E780-641B-4245-AC99-CE162C67C449}"/>
    <cellStyle name="Currency 3 2 5 9 3" xfId="21522" xr:uid="{5FCE724B-00ED-4E61-836A-98EA746A41F3}"/>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15466" xr:uid="{6E3CCA70-90F9-4A03-AC03-0AC13E65BD91}"/>
    <cellStyle name="Currency 5 2 2 2 10 2 3" xfId="23906" xr:uid="{EA300E56-D049-47B8-A7E8-7E2A2A5B7BEC}"/>
    <cellStyle name="Currency 5 2 2 2 10 3" xfId="11248" xr:uid="{76ED9C4D-36D7-4C55-A050-29CDF71E36DD}"/>
    <cellStyle name="Currency 5 2 2 2 10 4" xfId="19689" xr:uid="{9B022DCD-17A4-4E32-87D7-943D222C934E}"/>
    <cellStyle name="Currency 5 2 2 2 11" xfId="4641" xr:uid="{00000000-0005-0000-0000-00006C0B0000}"/>
    <cellStyle name="Currency 5 2 2 2 11 2" xfId="13083" xr:uid="{982BBC6C-BEF6-46B5-BC6B-4A9D69CB046B}"/>
    <cellStyle name="Currency 5 2 2 2 11 3" xfId="21523" xr:uid="{951E04A7-943E-4CE0-89E4-643892B56465}"/>
    <cellStyle name="Currency 5 2 2 2 12" xfId="8865" xr:uid="{A52868DC-D9F9-429F-AF13-7CD5FA617BF8}"/>
    <cellStyle name="Currency 5 2 2 2 13" xfId="17306" xr:uid="{8AC0B64C-D514-490A-9552-8FE6E8C6601F}"/>
    <cellStyle name="Currency 5 2 2 2 2" xfId="197" xr:uid="{00000000-0005-0000-0000-00006D0B0000}"/>
    <cellStyle name="Currency 5 2 2 2 2 10" xfId="4642" xr:uid="{00000000-0005-0000-0000-00006E0B0000}"/>
    <cellStyle name="Currency 5 2 2 2 2 10 2" xfId="13084" xr:uid="{4B25B66B-7110-492F-B52B-B05BBA409079}"/>
    <cellStyle name="Currency 5 2 2 2 2 10 3" xfId="21524" xr:uid="{ED33E0B8-1332-4AEB-819A-F2F6EFCEF554}"/>
    <cellStyle name="Currency 5 2 2 2 2 11" xfId="8866" xr:uid="{9A19DB0B-28DC-48E8-95D0-AC40ED909EBE}"/>
    <cellStyle name="Currency 5 2 2 2 2 12" xfId="17307" xr:uid="{669324A7-DD9F-49DF-B14D-763F8652E020}"/>
    <cellStyle name="Currency 5 2 2 2 2 2" xfId="198" xr:uid="{00000000-0005-0000-0000-00006F0B0000}"/>
    <cellStyle name="Currency 5 2 2 2 2 2 10" xfId="8867" xr:uid="{FF155DB7-DDF0-42A5-83F0-C08A7665B4A9}"/>
    <cellStyle name="Currency 5 2 2 2 2 2 11" xfId="17308" xr:uid="{72BD080E-7455-4B03-B94D-D53775D70611}"/>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15644" xr:uid="{9E1A79DD-4158-4605-B3FC-164247A326E8}"/>
    <cellStyle name="Currency 5 2 2 2 2 2 2 2 2 3" xfId="24084" xr:uid="{B24E44CD-ECD1-4AE1-876C-889D37E2EA4D}"/>
    <cellStyle name="Currency 5 2 2 2 2 2 2 2 3" xfId="11426" xr:uid="{8A0EEFAB-0560-41ED-B5F1-D0F446C51A80}"/>
    <cellStyle name="Currency 5 2 2 2 2 2 2 2 4" xfId="19867" xr:uid="{AF1F1A3E-4079-4BDD-90A7-B94B20CB01AB}"/>
    <cellStyle name="Currency 5 2 2 2 2 2 2 3" xfId="5057" xr:uid="{00000000-0005-0000-0000-0000730B0000}"/>
    <cellStyle name="Currency 5 2 2 2 2 2 2 3 2" xfId="13499" xr:uid="{A4AA2A6B-CA09-4370-B051-B78A536C2CD8}"/>
    <cellStyle name="Currency 5 2 2 2 2 2 2 3 3" xfId="21939" xr:uid="{3C5E3E8F-8660-4DB6-B1FF-3AAC9048BDA9}"/>
    <cellStyle name="Currency 5 2 2 2 2 2 2 4" xfId="9281" xr:uid="{1D0AEF51-42AB-44B3-B39B-40A356D6FB40}"/>
    <cellStyle name="Currency 5 2 2 2 2 2 2 5" xfId="17722" xr:uid="{2AB6D74D-7743-4659-9AFA-9B99574F6134}"/>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16057" xr:uid="{16B6369E-03DA-4E5D-9972-8D31CBCCDBA0}"/>
    <cellStyle name="Currency 5 2 2 2 2 2 3 2 2 3" xfId="24497" xr:uid="{284FC3BA-7572-4D68-9B27-F5483C870453}"/>
    <cellStyle name="Currency 5 2 2 2 2 2 3 2 3" xfId="11839" xr:uid="{F60C51FA-347D-4DCD-9711-267DE9F89EC7}"/>
    <cellStyle name="Currency 5 2 2 2 2 2 3 2 4" xfId="20280" xr:uid="{81B1D071-DFF9-4464-8124-FAAA744E10C0}"/>
    <cellStyle name="Currency 5 2 2 2 2 2 3 3" xfId="5470" xr:uid="{00000000-0005-0000-0000-0000770B0000}"/>
    <cellStyle name="Currency 5 2 2 2 2 2 3 3 2" xfId="13912" xr:uid="{003541D9-F0F6-4983-913D-A19AC08925F2}"/>
    <cellStyle name="Currency 5 2 2 2 2 2 3 3 3" xfId="22352" xr:uid="{6ADCBA97-2927-4A09-8516-6A8786FE0DAE}"/>
    <cellStyle name="Currency 5 2 2 2 2 2 3 4" xfId="9694" xr:uid="{D1534222-3396-4905-AEF6-1721C8DDE066}"/>
    <cellStyle name="Currency 5 2 2 2 2 2 3 5" xfId="18135" xr:uid="{1E6F4A0C-907F-4B2B-B10E-AA5A962D257A}"/>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16470" xr:uid="{FF9E9432-79D4-40C8-BA3D-83D2F6BD906C}"/>
    <cellStyle name="Currency 5 2 2 2 2 2 4 2 2 3" xfId="24910" xr:uid="{F3E5D05C-84E7-4EB7-BF56-5B21E5C53EAB}"/>
    <cellStyle name="Currency 5 2 2 2 2 2 4 2 3" xfId="12252" xr:uid="{E1EF8458-A148-4C1E-A9FD-1043109C02CD}"/>
    <cellStyle name="Currency 5 2 2 2 2 2 4 2 4" xfId="20693" xr:uid="{2C073634-9718-4B60-B0ED-537BA7C57B98}"/>
    <cellStyle name="Currency 5 2 2 2 2 2 4 3" xfId="5883" xr:uid="{00000000-0005-0000-0000-00007B0B0000}"/>
    <cellStyle name="Currency 5 2 2 2 2 2 4 3 2" xfId="14325" xr:uid="{37175FB3-7FA3-425D-BEAA-2B53A7991C08}"/>
    <cellStyle name="Currency 5 2 2 2 2 2 4 3 3" xfId="22765" xr:uid="{4B2B7C42-B282-4635-8874-29A2B2B6C583}"/>
    <cellStyle name="Currency 5 2 2 2 2 2 4 4" xfId="10107" xr:uid="{DB7EC46B-077B-4B45-BA93-5204B9099CAF}"/>
    <cellStyle name="Currency 5 2 2 2 2 2 4 5" xfId="18548" xr:uid="{7F08A85B-BD4C-4A77-AE1A-77ADAFBAAA54}"/>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16883" xr:uid="{2493FCF1-676C-4CCB-BB7D-D5F27E89DB54}"/>
    <cellStyle name="Currency 5 2 2 2 2 2 5 2 2 3" xfId="25323" xr:uid="{61D5A6E2-393E-4178-A6CD-2B910929F7ED}"/>
    <cellStyle name="Currency 5 2 2 2 2 2 5 2 3" xfId="12665" xr:uid="{E86B3098-6A58-43AD-AB32-B4B3ADFC38EE}"/>
    <cellStyle name="Currency 5 2 2 2 2 2 5 2 4" xfId="21106" xr:uid="{65664EF9-9E0F-4003-816B-E81A5D6AD0F0}"/>
    <cellStyle name="Currency 5 2 2 2 2 2 5 3" xfId="6296" xr:uid="{00000000-0005-0000-0000-00007F0B0000}"/>
    <cellStyle name="Currency 5 2 2 2 2 2 5 3 2" xfId="14738" xr:uid="{C08C0A91-6270-4740-A10E-2F04AA7F177D}"/>
    <cellStyle name="Currency 5 2 2 2 2 2 5 3 3" xfId="23178" xr:uid="{5EB110D7-2DC2-4A31-88FB-9166D6C7FB8D}"/>
    <cellStyle name="Currency 5 2 2 2 2 2 5 4" xfId="10520" xr:uid="{C39B6373-CF7D-4E59-B1F4-E8A899B07DEF}"/>
    <cellStyle name="Currency 5 2 2 2 2 2 5 5" xfId="18961" xr:uid="{1541AE4B-46EE-4670-AF64-1EA5A0E89036}"/>
    <cellStyle name="Currency 5 2 2 2 2 2 6" xfId="2424" xr:uid="{00000000-0005-0000-0000-0000800B0000}"/>
    <cellStyle name="Currency 5 2 2 2 2 2 6 2" xfId="6709" xr:uid="{00000000-0005-0000-0000-0000810B0000}"/>
    <cellStyle name="Currency 5 2 2 2 2 2 6 2 2" xfId="15151" xr:uid="{0B6E57A0-E193-4338-9FA1-CA47B9E6B686}"/>
    <cellStyle name="Currency 5 2 2 2 2 2 6 2 3" xfId="23591" xr:uid="{D3156560-BABA-450D-9E5C-40E4C4393CD1}"/>
    <cellStyle name="Currency 5 2 2 2 2 2 6 3" xfId="10933" xr:uid="{61328D66-16B3-4FD5-827D-4DDBF0356886}"/>
    <cellStyle name="Currency 5 2 2 2 2 2 6 4" xfId="19374" xr:uid="{F1CE0C0C-D82B-4E4D-9A39-A8B1D1DEF519}"/>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15468" xr:uid="{19B2C347-E8D5-4434-8558-1C72939C0DD1}"/>
    <cellStyle name="Currency 5 2 2 2 2 2 8 2 3" xfId="23908" xr:uid="{153FF3DC-8B3D-4601-9F1F-EF14D76B9E5F}"/>
    <cellStyle name="Currency 5 2 2 2 2 2 8 3" xfId="11250" xr:uid="{1367C9E8-97CA-45EF-BD61-B2D8945EA75E}"/>
    <cellStyle name="Currency 5 2 2 2 2 2 8 4" xfId="19691" xr:uid="{0EC1E54C-32F5-405E-ABE6-23E9C1A3947B}"/>
    <cellStyle name="Currency 5 2 2 2 2 2 9" xfId="4643" xr:uid="{00000000-0005-0000-0000-0000850B0000}"/>
    <cellStyle name="Currency 5 2 2 2 2 2 9 2" xfId="13085" xr:uid="{16086284-944D-4599-9C8F-FA53F3659AC5}"/>
    <cellStyle name="Currency 5 2 2 2 2 2 9 3" xfId="21525" xr:uid="{757501C3-0140-4968-9DDE-3B3875A923B2}"/>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15643" xr:uid="{C1E8FA88-4D5E-4EFA-BCB6-1E3752B12ABD}"/>
    <cellStyle name="Currency 5 2 2 2 2 3 2 2 3" xfId="24083" xr:uid="{8EFEF3F0-759E-429C-B47C-7918BFD4DC7B}"/>
    <cellStyle name="Currency 5 2 2 2 2 3 2 3" xfId="11425" xr:uid="{408DCB50-7414-47ED-9140-328A1D54006E}"/>
    <cellStyle name="Currency 5 2 2 2 2 3 2 4" xfId="19866" xr:uid="{C2B67A04-2128-497F-8415-A0B6DE114EED}"/>
    <cellStyle name="Currency 5 2 2 2 2 3 3" xfId="5056" xr:uid="{00000000-0005-0000-0000-0000890B0000}"/>
    <cellStyle name="Currency 5 2 2 2 2 3 3 2" xfId="13498" xr:uid="{8874C743-DF23-46FC-B0AA-4215BA53B15A}"/>
    <cellStyle name="Currency 5 2 2 2 2 3 3 3" xfId="21938" xr:uid="{5B8D413E-D70A-49BA-883A-244FBAD57195}"/>
    <cellStyle name="Currency 5 2 2 2 2 3 4" xfId="9280" xr:uid="{42B0D576-60D9-4788-BD7F-69AB089CEC1F}"/>
    <cellStyle name="Currency 5 2 2 2 2 3 5" xfId="17721" xr:uid="{E4BED9E4-9586-4B12-B092-3D5108223818}"/>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16056" xr:uid="{B8D4C952-60AF-4899-876A-39B845A50960}"/>
    <cellStyle name="Currency 5 2 2 2 2 4 2 2 3" xfId="24496" xr:uid="{09998EA1-1FB2-4E93-8CA4-220DE668E8BD}"/>
    <cellStyle name="Currency 5 2 2 2 2 4 2 3" xfId="11838" xr:uid="{F11F45C5-500E-41AA-BFC6-E9B569D93824}"/>
    <cellStyle name="Currency 5 2 2 2 2 4 2 4" xfId="20279" xr:uid="{3643460C-74DE-4B95-A9D2-6B59D4DEEF0B}"/>
    <cellStyle name="Currency 5 2 2 2 2 4 3" xfId="5469" xr:uid="{00000000-0005-0000-0000-00008D0B0000}"/>
    <cellStyle name="Currency 5 2 2 2 2 4 3 2" xfId="13911" xr:uid="{7E52F15E-5F19-4A94-9EBF-0CAD555FBBE2}"/>
    <cellStyle name="Currency 5 2 2 2 2 4 3 3" xfId="22351" xr:uid="{986ADD92-3372-46FE-9E29-35836D642F44}"/>
    <cellStyle name="Currency 5 2 2 2 2 4 4" xfId="9693" xr:uid="{D1D2A562-580C-4211-8539-B0F909C0CC3F}"/>
    <cellStyle name="Currency 5 2 2 2 2 4 5" xfId="18134" xr:uid="{19FD0994-B499-4EB2-8888-66EF979C58ED}"/>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16469" xr:uid="{B5FC2260-6E4B-4513-B4D1-548342933E53}"/>
    <cellStyle name="Currency 5 2 2 2 2 5 2 2 3" xfId="24909" xr:uid="{AFA66B1C-3394-4ED8-9334-AFE448B70A03}"/>
    <cellStyle name="Currency 5 2 2 2 2 5 2 3" xfId="12251" xr:uid="{21DE2876-7A25-4665-9D6F-AF4640C5BD81}"/>
    <cellStyle name="Currency 5 2 2 2 2 5 2 4" xfId="20692" xr:uid="{3E365BCF-5617-470D-A445-83ABFA085B04}"/>
    <cellStyle name="Currency 5 2 2 2 2 5 3" xfId="5882" xr:uid="{00000000-0005-0000-0000-0000910B0000}"/>
    <cellStyle name="Currency 5 2 2 2 2 5 3 2" xfId="14324" xr:uid="{DB600DF1-EE43-499F-B390-6C2E131EFB9B}"/>
    <cellStyle name="Currency 5 2 2 2 2 5 3 3" xfId="22764" xr:uid="{AB9BD132-310B-4A7B-BC78-BD7D09E147FE}"/>
    <cellStyle name="Currency 5 2 2 2 2 5 4" xfId="10106" xr:uid="{5B7B1DD3-4E4D-4127-BF41-92FC8B4A1F21}"/>
    <cellStyle name="Currency 5 2 2 2 2 5 5" xfId="18547" xr:uid="{F74C16B3-A8AF-456A-B0E8-9A76F97F8E9C}"/>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16882" xr:uid="{04D3AD9C-DD3F-4CD3-83F1-45BD60FFBC03}"/>
    <cellStyle name="Currency 5 2 2 2 2 6 2 2 3" xfId="25322" xr:uid="{3490F9AA-F97C-4B01-BEB0-A72765E4F256}"/>
    <cellStyle name="Currency 5 2 2 2 2 6 2 3" xfId="12664" xr:uid="{86216B73-3FA7-450E-AF22-93A7BA7AC831}"/>
    <cellStyle name="Currency 5 2 2 2 2 6 2 4" xfId="21105" xr:uid="{E232E740-548E-447C-9CCD-339AAE08B30B}"/>
    <cellStyle name="Currency 5 2 2 2 2 6 3" xfId="6295" xr:uid="{00000000-0005-0000-0000-0000950B0000}"/>
    <cellStyle name="Currency 5 2 2 2 2 6 3 2" xfId="14737" xr:uid="{2916FECD-0BE0-4372-A89A-D08107860D06}"/>
    <cellStyle name="Currency 5 2 2 2 2 6 3 3" xfId="23177" xr:uid="{C875F999-BBA6-4A7B-87EA-B3BA2B405474}"/>
    <cellStyle name="Currency 5 2 2 2 2 6 4" xfId="10519" xr:uid="{9B74CEC4-B6BA-4E38-8FDB-5CAC591426BB}"/>
    <cellStyle name="Currency 5 2 2 2 2 6 5" xfId="18960" xr:uid="{6C1D19D9-BC91-4BA7-8703-002A10D0E521}"/>
    <cellStyle name="Currency 5 2 2 2 2 7" xfId="2423" xr:uid="{00000000-0005-0000-0000-0000960B0000}"/>
    <cellStyle name="Currency 5 2 2 2 2 7 2" xfId="6708" xr:uid="{00000000-0005-0000-0000-0000970B0000}"/>
    <cellStyle name="Currency 5 2 2 2 2 7 2 2" xfId="15150" xr:uid="{D8BDC537-E5B1-4CE6-98F6-1D8794473634}"/>
    <cellStyle name="Currency 5 2 2 2 2 7 2 3" xfId="23590" xr:uid="{6FCB4B5F-530B-47C0-B621-8185D8BD465C}"/>
    <cellStyle name="Currency 5 2 2 2 2 7 3" xfId="10932" xr:uid="{039AFF98-6432-4F90-9C7A-D921A030551D}"/>
    <cellStyle name="Currency 5 2 2 2 2 7 4" xfId="19373" xr:uid="{90D39B3A-9E45-4A19-BB5E-5308C7DD7189}"/>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15467" xr:uid="{562E64F0-FA1F-494D-BAB9-E50EA397BA6A}"/>
    <cellStyle name="Currency 5 2 2 2 2 9 2 3" xfId="23907" xr:uid="{53284A5C-AAC4-4E64-8FC5-69C29A59A899}"/>
    <cellStyle name="Currency 5 2 2 2 2 9 3" xfId="11249" xr:uid="{D3BEAB5C-21FB-461E-B26A-96254817E8A8}"/>
    <cellStyle name="Currency 5 2 2 2 2 9 4" xfId="19690" xr:uid="{0508D920-5F94-4FBE-96F5-6DADB63702A9}"/>
    <cellStyle name="Currency 5 2 2 2 3" xfId="199" xr:uid="{00000000-0005-0000-0000-00009B0B0000}"/>
    <cellStyle name="Currency 5 2 2 2 3 10" xfId="8868" xr:uid="{34D070B1-D0C8-4943-AA85-51EEEDEA0A13}"/>
    <cellStyle name="Currency 5 2 2 2 3 11" xfId="17309" xr:uid="{50F412DE-FF7A-4FB2-AD0E-17978114F9A4}"/>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15645" xr:uid="{1BC62FCD-3BA8-4AC4-AF97-08246D7A8F93}"/>
    <cellStyle name="Currency 5 2 2 2 3 2 2 2 3" xfId="24085" xr:uid="{35C3138B-68C5-49BE-87C0-10FD0132A83F}"/>
    <cellStyle name="Currency 5 2 2 2 3 2 2 3" xfId="11427" xr:uid="{F4072F4C-09AC-4708-BA70-7A7738BD918B}"/>
    <cellStyle name="Currency 5 2 2 2 3 2 2 4" xfId="19868" xr:uid="{F76CFEE3-1D93-49B4-B28D-55CAFEBAFBC8}"/>
    <cellStyle name="Currency 5 2 2 2 3 2 3" xfId="5058" xr:uid="{00000000-0005-0000-0000-00009F0B0000}"/>
    <cellStyle name="Currency 5 2 2 2 3 2 3 2" xfId="13500" xr:uid="{66DF6BDD-3A89-4BC6-9DBD-EF53CB0928C3}"/>
    <cellStyle name="Currency 5 2 2 2 3 2 3 3" xfId="21940" xr:uid="{50D6D962-763D-4060-912A-DDB22A2291C8}"/>
    <cellStyle name="Currency 5 2 2 2 3 2 4" xfId="9282" xr:uid="{712753FC-3500-44FB-8073-F1A91E9BAAB0}"/>
    <cellStyle name="Currency 5 2 2 2 3 2 5" xfId="17723" xr:uid="{ADC59708-C155-4667-859D-C8AF6D5E8911}"/>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16058" xr:uid="{E01CCE8D-99EE-4AF9-930F-AD24B6ECC60F}"/>
    <cellStyle name="Currency 5 2 2 2 3 3 2 2 3" xfId="24498" xr:uid="{5B8423C8-6713-4E1C-8106-5CF98E7453FD}"/>
    <cellStyle name="Currency 5 2 2 2 3 3 2 3" xfId="11840" xr:uid="{BDAF779D-412A-463C-A6DA-90A5350B8F4C}"/>
    <cellStyle name="Currency 5 2 2 2 3 3 2 4" xfId="20281" xr:uid="{49511E9E-7BBF-4CFC-93A8-2614B0BA9111}"/>
    <cellStyle name="Currency 5 2 2 2 3 3 3" xfId="5471" xr:uid="{00000000-0005-0000-0000-0000A30B0000}"/>
    <cellStyle name="Currency 5 2 2 2 3 3 3 2" xfId="13913" xr:uid="{F4E65656-8FC1-498D-B6DB-9BD5C72E1798}"/>
    <cellStyle name="Currency 5 2 2 2 3 3 3 3" xfId="22353" xr:uid="{3CF70F8B-4A71-4142-8A5A-DC74B45A31E0}"/>
    <cellStyle name="Currency 5 2 2 2 3 3 4" xfId="9695" xr:uid="{39B92E03-3D90-4990-83E9-E0082E51428D}"/>
    <cellStyle name="Currency 5 2 2 2 3 3 5" xfId="18136" xr:uid="{F2ADF028-0CE2-49F1-9457-0948DAB251D4}"/>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16471" xr:uid="{E75FFD95-1805-41D8-88E2-F49DD21A6239}"/>
    <cellStyle name="Currency 5 2 2 2 3 4 2 2 3" xfId="24911" xr:uid="{A23949D1-EB5B-451E-9599-93CAFF512222}"/>
    <cellStyle name="Currency 5 2 2 2 3 4 2 3" xfId="12253" xr:uid="{BA136E4B-FD96-4F5E-8697-4399B5B09826}"/>
    <cellStyle name="Currency 5 2 2 2 3 4 2 4" xfId="20694" xr:uid="{D0071AD4-72C8-446D-AB92-0D93BAD4B5CB}"/>
    <cellStyle name="Currency 5 2 2 2 3 4 3" xfId="5884" xr:uid="{00000000-0005-0000-0000-0000A70B0000}"/>
    <cellStyle name="Currency 5 2 2 2 3 4 3 2" xfId="14326" xr:uid="{34B58415-2222-4CC6-9B79-EA1A2DE4678C}"/>
    <cellStyle name="Currency 5 2 2 2 3 4 3 3" xfId="22766" xr:uid="{90AB925A-5FD8-46B0-BEEB-6944B62CBF9A}"/>
    <cellStyle name="Currency 5 2 2 2 3 4 4" xfId="10108" xr:uid="{4E360828-92B9-4AAC-964D-7CBE9026687F}"/>
    <cellStyle name="Currency 5 2 2 2 3 4 5" xfId="18549" xr:uid="{1B927B53-C8E0-48E3-9FB4-973657C73FA4}"/>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16884" xr:uid="{239B972E-2124-4D29-A3D6-98E8CA94B501}"/>
    <cellStyle name="Currency 5 2 2 2 3 5 2 2 3" xfId="25324" xr:uid="{2BF3219B-F936-4BA6-BC25-30CA4A79EF66}"/>
    <cellStyle name="Currency 5 2 2 2 3 5 2 3" xfId="12666" xr:uid="{C2B5849C-59FC-4C25-8310-A46B62FB2C71}"/>
    <cellStyle name="Currency 5 2 2 2 3 5 2 4" xfId="21107" xr:uid="{7D439CF5-7DE4-40FD-A320-400F9C11DC45}"/>
    <cellStyle name="Currency 5 2 2 2 3 5 3" xfId="6297" xr:uid="{00000000-0005-0000-0000-0000AB0B0000}"/>
    <cellStyle name="Currency 5 2 2 2 3 5 3 2" xfId="14739" xr:uid="{C819E9ED-DFA5-4D78-AFD5-D70CA027C5F9}"/>
    <cellStyle name="Currency 5 2 2 2 3 5 3 3" xfId="23179" xr:uid="{98177452-6963-47FB-88A0-8336DAF399E1}"/>
    <cellStyle name="Currency 5 2 2 2 3 5 4" xfId="10521" xr:uid="{3D7DD6EF-7105-4E3C-8C03-4CAD7F7262DA}"/>
    <cellStyle name="Currency 5 2 2 2 3 5 5" xfId="18962" xr:uid="{34614636-463C-4FE3-BC97-9662AC49E9EA}"/>
    <cellStyle name="Currency 5 2 2 2 3 6" xfId="2425" xr:uid="{00000000-0005-0000-0000-0000AC0B0000}"/>
    <cellStyle name="Currency 5 2 2 2 3 6 2" xfId="6710" xr:uid="{00000000-0005-0000-0000-0000AD0B0000}"/>
    <cellStyle name="Currency 5 2 2 2 3 6 2 2" xfId="15152" xr:uid="{919066B3-CD0E-4F11-BDFC-A49DDC3AD85E}"/>
    <cellStyle name="Currency 5 2 2 2 3 6 2 3" xfId="23592" xr:uid="{CA74BF49-912B-4B04-847A-D592A03BD84D}"/>
    <cellStyle name="Currency 5 2 2 2 3 6 3" xfId="10934" xr:uid="{EF714A72-C63D-4DAC-8212-A5E890E2EC4A}"/>
    <cellStyle name="Currency 5 2 2 2 3 6 4" xfId="19375" xr:uid="{9B93190D-566E-4A19-92FC-3EC123B16135}"/>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15469" xr:uid="{679F3565-E423-4AB8-AB78-1723F7A3DCB9}"/>
    <cellStyle name="Currency 5 2 2 2 3 8 2 3" xfId="23909" xr:uid="{31AF4CD6-6212-4671-9889-619F85CEECD7}"/>
    <cellStyle name="Currency 5 2 2 2 3 8 3" xfId="11251" xr:uid="{865197A2-40A3-4EEF-926D-0B935642BA77}"/>
    <cellStyle name="Currency 5 2 2 2 3 8 4" xfId="19692" xr:uid="{422A1A79-3119-455B-A9FC-6AE09F635FCA}"/>
    <cellStyle name="Currency 5 2 2 2 3 9" xfId="4644" xr:uid="{00000000-0005-0000-0000-0000B10B0000}"/>
    <cellStyle name="Currency 5 2 2 2 3 9 2" xfId="13086" xr:uid="{B360AED3-9FE0-411B-8D26-AE39B5501FDD}"/>
    <cellStyle name="Currency 5 2 2 2 3 9 3" xfId="21526" xr:uid="{0CFAE7CF-D999-4D61-8C5C-F371E51AC553}"/>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15642" xr:uid="{580E78EE-F47E-42F3-94CA-0A947683C436}"/>
    <cellStyle name="Currency 5 2 2 2 4 2 2 3" xfId="24082" xr:uid="{487F7593-FE3E-4A4A-8E5B-515BDB29B27E}"/>
    <cellStyle name="Currency 5 2 2 2 4 2 3" xfId="11424" xr:uid="{96462F7F-CF6F-486B-B23A-2CDA6DC37B72}"/>
    <cellStyle name="Currency 5 2 2 2 4 2 4" xfId="19865" xr:uid="{671454DF-DF47-461C-9949-B1741292DD5E}"/>
    <cellStyle name="Currency 5 2 2 2 4 3" xfId="5055" xr:uid="{00000000-0005-0000-0000-0000B50B0000}"/>
    <cellStyle name="Currency 5 2 2 2 4 3 2" xfId="13497" xr:uid="{5CE8E157-5EA9-40A9-9177-635D769D3EE0}"/>
    <cellStyle name="Currency 5 2 2 2 4 3 3" xfId="21937" xr:uid="{94BA3856-1757-4ABA-885D-62A63DD1240D}"/>
    <cellStyle name="Currency 5 2 2 2 4 4" xfId="9279" xr:uid="{6D59E1DD-E755-48C8-90CB-4F3725D8BC8C}"/>
    <cellStyle name="Currency 5 2 2 2 4 5" xfId="17720" xr:uid="{7E100BF3-9EC6-4840-9632-4215A66C4018}"/>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16055" xr:uid="{695E7555-9100-478F-94F0-5F5B359AB6F0}"/>
    <cellStyle name="Currency 5 2 2 2 5 2 2 3" xfId="24495" xr:uid="{60DCAD6B-DBC5-4068-919B-F57F55116B0C}"/>
    <cellStyle name="Currency 5 2 2 2 5 2 3" xfId="11837" xr:uid="{D7495714-FA13-4193-B0FC-3DEC0C812878}"/>
    <cellStyle name="Currency 5 2 2 2 5 2 4" xfId="20278" xr:uid="{FA04830F-CFA6-432C-861F-0391E08AF4A1}"/>
    <cellStyle name="Currency 5 2 2 2 5 3" xfId="5468" xr:uid="{00000000-0005-0000-0000-0000B90B0000}"/>
    <cellStyle name="Currency 5 2 2 2 5 3 2" xfId="13910" xr:uid="{C0A84731-A73C-411D-A3AE-EFE89670810A}"/>
    <cellStyle name="Currency 5 2 2 2 5 3 3" xfId="22350" xr:uid="{C07E929F-50A6-4706-8C2F-BFD77A0E3212}"/>
    <cellStyle name="Currency 5 2 2 2 5 4" xfId="9692" xr:uid="{62106190-C182-4342-8B8E-C0A7BBF47DED}"/>
    <cellStyle name="Currency 5 2 2 2 5 5" xfId="18133" xr:uid="{ED9ED742-3B16-4E50-BF51-ACB5052605DD}"/>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16468" xr:uid="{068C3026-76EB-4077-B5D7-DC1360F6FA81}"/>
    <cellStyle name="Currency 5 2 2 2 6 2 2 3" xfId="24908" xr:uid="{E6FBE712-5B84-4FD1-B391-81D5A1BEE32B}"/>
    <cellStyle name="Currency 5 2 2 2 6 2 3" xfId="12250" xr:uid="{CAE50B9E-9A10-4C8C-981B-48F29292853C}"/>
    <cellStyle name="Currency 5 2 2 2 6 2 4" xfId="20691" xr:uid="{189EAD57-EEDA-4864-B8DA-6BBDB078EAC2}"/>
    <cellStyle name="Currency 5 2 2 2 6 3" xfId="5881" xr:uid="{00000000-0005-0000-0000-0000BD0B0000}"/>
    <cellStyle name="Currency 5 2 2 2 6 3 2" xfId="14323" xr:uid="{1F4899BA-A599-4622-9EE6-78B39A6F98D4}"/>
    <cellStyle name="Currency 5 2 2 2 6 3 3" xfId="22763" xr:uid="{E65E1A19-074C-449A-90F5-ADB3DE24E4CD}"/>
    <cellStyle name="Currency 5 2 2 2 6 4" xfId="10105" xr:uid="{BF592A81-5B5C-48FA-A20E-B7EDAB9F2E9F}"/>
    <cellStyle name="Currency 5 2 2 2 6 5" xfId="18546" xr:uid="{D907327A-10C0-47BE-9C38-F8C3CAAC18E4}"/>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16881" xr:uid="{2731CB8F-772A-4B44-8FF4-8FE51461A504}"/>
    <cellStyle name="Currency 5 2 2 2 7 2 2 3" xfId="25321" xr:uid="{B35954E1-7C63-495B-9446-C22A4ED59FEE}"/>
    <cellStyle name="Currency 5 2 2 2 7 2 3" xfId="12663" xr:uid="{4D3C595D-CFEE-42B0-978E-98C35E71A7EC}"/>
    <cellStyle name="Currency 5 2 2 2 7 2 4" xfId="21104" xr:uid="{03E2BB1E-A97A-4F39-9310-7734CB8BFCFB}"/>
    <cellStyle name="Currency 5 2 2 2 7 3" xfId="6294" xr:uid="{00000000-0005-0000-0000-0000C10B0000}"/>
    <cellStyle name="Currency 5 2 2 2 7 3 2" xfId="14736" xr:uid="{28F02D7C-DC3B-4B2E-B760-F0C469281637}"/>
    <cellStyle name="Currency 5 2 2 2 7 3 3" xfId="23176" xr:uid="{1F5F6EAF-28E4-402D-B452-858F16D78136}"/>
    <cellStyle name="Currency 5 2 2 2 7 4" xfId="10518" xr:uid="{1EB4A478-D9BB-474F-A5F3-114AD78C7829}"/>
    <cellStyle name="Currency 5 2 2 2 7 5" xfId="18959" xr:uid="{AE3A85D9-5910-4FA1-B7A4-0A2D944DD7D1}"/>
    <cellStyle name="Currency 5 2 2 2 8" xfId="2422" xr:uid="{00000000-0005-0000-0000-0000C20B0000}"/>
    <cellStyle name="Currency 5 2 2 2 8 2" xfId="6707" xr:uid="{00000000-0005-0000-0000-0000C30B0000}"/>
    <cellStyle name="Currency 5 2 2 2 8 2 2" xfId="15149" xr:uid="{82397155-9F21-43E0-AA39-FE23571ECB04}"/>
    <cellStyle name="Currency 5 2 2 2 8 2 3" xfId="23589" xr:uid="{BFDCE032-239F-45E8-ADC3-7E64A7E234F4}"/>
    <cellStyle name="Currency 5 2 2 2 8 3" xfId="10931" xr:uid="{6A5907F2-445F-4321-BAA0-8DADA8B99FC9}"/>
    <cellStyle name="Currency 5 2 2 2 8 4" xfId="19372" xr:uid="{3F94DB90-3E95-4FBA-B72D-9DC0051303EC}"/>
    <cellStyle name="Currency 5 2 2 2 9" xfId="2719" xr:uid="{00000000-0005-0000-0000-0000C40B0000}"/>
    <cellStyle name="Currency 5 2 2 3" xfId="200" xr:uid="{00000000-0005-0000-0000-0000C50B0000}"/>
    <cellStyle name="Currency 5 2 2 3 10" xfId="4645" xr:uid="{00000000-0005-0000-0000-0000C60B0000}"/>
    <cellStyle name="Currency 5 2 2 3 10 2" xfId="13087" xr:uid="{5ABAB519-83CE-4069-8D67-7CA32BC0BDC4}"/>
    <cellStyle name="Currency 5 2 2 3 10 3" xfId="21527" xr:uid="{3D2AF15F-3A18-4E43-BEB6-1B0664761F32}"/>
    <cellStyle name="Currency 5 2 2 3 11" xfId="8869" xr:uid="{3D3F2010-118C-4FC5-B644-9450CA3E7568}"/>
    <cellStyle name="Currency 5 2 2 3 12" xfId="17310" xr:uid="{60648AB6-8B02-4B52-9FB9-3A66E8552A17}"/>
    <cellStyle name="Currency 5 2 2 3 2" xfId="201" xr:uid="{00000000-0005-0000-0000-0000C70B0000}"/>
    <cellStyle name="Currency 5 2 2 3 2 10" xfId="8870" xr:uid="{443D2901-EF94-4B40-86FF-6143242FDB0F}"/>
    <cellStyle name="Currency 5 2 2 3 2 11" xfId="17311" xr:uid="{A0BFE48D-9F44-45D1-A9C9-9095F55C12FF}"/>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15647" xr:uid="{E2B01AAA-2BBC-4D1B-B71B-55158E5BF5BA}"/>
    <cellStyle name="Currency 5 2 2 3 2 2 2 2 3" xfId="24087" xr:uid="{D3894F68-1BA4-480F-BCD0-5EA119603B1E}"/>
    <cellStyle name="Currency 5 2 2 3 2 2 2 3" xfId="11429" xr:uid="{E8AB2A29-D0F0-40A1-A3D8-87F7F7B311B8}"/>
    <cellStyle name="Currency 5 2 2 3 2 2 2 4" xfId="19870" xr:uid="{266D30C5-7DC3-4E3D-B456-D25AB73FA8A8}"/>
    <cellStyle name="Currency 5 2 2 3 2 2 3" xfId="5060" xr:uid="{00000000-0005-0000-0000-0000CB0B0000}"/>
    <cellStyle name="Currency 5 2 2 3 2 2 3 2" xfId="13502" xr:uid="{E4138611-B83B-496F-BA4D-37135948CE0E}"/>
    <cellStyle name="Currency 5 2 2 3 2 2 3 3" xfId="21942" xr:uid="{6138057C-F152-4DE8-9BFB-6FB3CBB68018}"/>
    <cellStyle name="Currency 5 2 2 3 2 2 4" xfId="9284" xr:uid="{300DD85A-044C-49FF-9C61-3DCC2A2B20F7}"/>
    <cellStyle name="Currency 5 2 2 3 2 2 5" xfId="17725" xr:uid="{4AD6E163-2B25-41B4-8077-8F246C20BB38}"/>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16060" xr:uid="{CAAE36E6-18D4-44F3-81A5-0C8EAB2DF31F}"/>
    <cellStyle name="Currency 5 2 2 3 2 3 2 2 3" xfId="24500" xr:uid="{329E3768-1A84-4430-935E-6927876907F6}"/>
    <cellStyle name="Currency 5 2 2 3 2 3 2 3" xfId="11842" xr:uid="{A553FCDE-E39F-47B2-9C4C-E2F7EDE1D89B}"/>
    <cellStyle name="Currency 5 2 2 3 2 3 2 4" xfId="20283" xr:uid="{7244B1FD-C80F-4542-A125-4500BB79269B}"/>
    <cellStyle name="Currency 5 2 2 3 2 3 3" xfId="5473" xr:uid="{00000000-0005-0000-0000-0000CF0B0000}"/>
    <cellStyle name="Currency 5 2 2 3 2 3 3 2" xfId="13915" xr:uid="{F4A37E0B-AA2C-4167-8723-F934763EB50A}"/>
    <cellStyle name="Currency 5 2 2 3 2 3 3 3" xfId="22355" xr:uid="{70971B74-73AC-4B80-8782-B8022AAF6248}"/>
    <cellStyle name="Currency 5 2 2 3 2 3 4" xfId="9697" xr:uid="{C0AEFAD0-041C-4731-84F2-2CB62A8DC7B4}"/>
    <cellStyle name="Currency 5 2 2 3 2 3 5" xfId="18138" xr:uid="{D794D302-F38F-4735-8438-4923DE209A9B}"/>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16473" xr:uid="{B764BA8D-3640-4FEF-8739-89F1EF83D959}"/>
    <cellStyle name="Currency 5 2 2 3 2 4 2 2 3" xfId="24913" xr:uid="{93528D45-ABF3-4F85-986C-3C9646BEE4FA}"/>
    <cellStyle name="Currency 5 2 2 3 2 4 2 3" xfId="12255" xr:uid="{8A2B94A4-6DA3-42C5-A2A8-840CF28FFAAF}"/>
    <cellStyle name="Currency 5 2 2 3 2 4 2 4" xfId="20696" xr:uid="{76E0774D-2F85-4CFE-AB49-7054347B1585}"/>
    <cellStyle name="Currency 5 2 2 3 2 4 3" xfId="5886" xr:uid="{00000000-0005-0000-0000-0000D30B0000}"/>
    <cellStyle name="Currency 5 2 2 3 2 4 3 2" xfId="14328" xr:uid="{6C89AFE7-474E-47E3-A89A-C82F24422893}"/>
    <cellStyle name="Currency 5 2 2 3 2 4 3 3" xfId="22768" xr:uid="{CDC1C4F3-824C-419B-87A1-3579FFC7F6FB}"/>
    <cellStyle name="Currency 5 2 2 3 2 4 4" xfId="10110" xr:uid="{CE171A32-D972-4CA8-8CE3-A5CB475D57D1}"/>
    <cellStyle name="Currency 5 2 2 3 2 4 5" xfId="18551" xr:uid="{1757C1D8-5A38-4EA3-85A8-239DA74AD3E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16886" xr:uid="{CF2356ED-29E6-431F-A328-074B1D6DBEA6}"/>
    <cellStyle name="Currency 5 2 2 3 2 5 2 2 3" xfId="25326" xr:uid="{E8144323-73F2-4FBE-B244-45E0999F096E}"/>
    <cellStyle name="Currency 5 2 2 3 2 5 2 3" xfId="12668" xr:uid="{2ECF7CB9-D489-48A5-B473-AA7277008322}"/>
    <cellStyle name="Currency 5 2 2 3 2 5 2 4" xfId="21109" xr:uid="{846A3A11-5F6A-4DC1-8CE8-97B722823B72}"/>
    <cellStyle name="Currency 5 2 2 3 2 5 3" xfId="6299" xr:uid="{00000000-0005-0000-0000-0000D70B0000}"/>
    <cellStyle name="Currency 5 2 2 3 2 5 3 2" xfId="14741" xr:uid="{1EA5620F-9B9B-437E-BC86-44B4E5277669}"/>
    <cellStyle name="Currency 5 2 2 3 2 5 3 3" xfId="23181" xr:uid="{8F883EBC-9311-4739-AF09-67EC9A0975CB}"/>
    <cellStyle name="Currency 5 2 2 3 2 5 4" xfId="10523" xr:uid="{4B0DF738-68B2-4EA4-BA4B-DD830EF26DB4}"/>
    <cellStyle name="Currency 5 2 2 3 2 5 5" xfId="18964" xr:uid="{97302145-D8B0-4A62-B027-7DEF2A2D948B}"/>
    <cellStyle name="Currency 5 2 2 3 2 6" xfId="2427" xr:uid="{00000000-0005-0000-0000-0000D80B0000}"/>
    <cellStyle name="Currency 5 2 2 3 2 6 2" xfId="6712" xr:uid="{00000000-0005-0000-0000-0000D90B0000}"/>
    <cellStyle name="Currency 5 2 2 3 2 6 2 2" xfId="15154" xr:uid="{4436D861-15AE-446A-9450-B637DE85B19C}"/>
    <cellStyle name="Currency 5 2 2 3 2 6 2 3" xfId="23594" xr:uid="{8574C69C-DCA4-4EFC-87B3-E5E9BA279250}"/>
    <cellStyle name="Currency 5 2 2 3 2 6 3" xfId="10936" xr:uid="{992141C9-977C-492F-96EA-8389F1F6AD77}"/>
    <cellStyle name="Currency 5 2 2 3 2 6 4" xfId="19377" xr:uid="{77D8F9FC-BE10-4489-9D5C-4F926016312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15471" xr:uid="{62D712A2-2AED-4A76-9BBB-B82CCBF0F560}"/>
    <cellStyle name="Currency 5 2 2 3 2 8 2 3" xfId="23911" xr:uid="{CDC02D1B-C5EB-41B0-91F9-52E7478EEA57}"/>
    <cellStyle name="Currency 5 2 2 3 2 8 3" xfId="11253" xr:uid="{FDBF1845-23B6-4C86-9AF7-37D84A4C7CF4}"/>
    <cellStyle name="Currency 5 2 2 3 2 8 4" xfId="19694" xr:uid="{EACA244E-FF31-40F0-940A-FE9529EA47DC}"/>
    <cellStyle name="Currency 5 2 2 3 2 9" xfId="4646" xr:uid="{00000000-0005-0000-0000-0000DD0B0000}"/>
    <cellStyle name="Currency 5 2 2 3 2 9 2" xfId="13088" xr:uid="{CC797A42-3F9E-4020-933C-5C1669EEC51A}"/>
    <cellStyle name="Currency 5 2 2 3 2 9 3" xfId="21528" xr:uid="{3E2D489B-6ADD-4533-AEDA-275618A11F87}"/>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15646" xr:uid="{48DD7504-E692-4350-83A9-C3FF6A934218}"/>
    <cellStyle name="Currency 5 2 2 3 3 2 2 3" xfId="24086" xr:uid="{8773E59F-D209-47C8-9456-8A6DA8D63F96}"/>
    <cellStyle name="Currency 5 2 2 3 3 2 3" xfId="11428" xr:uid="{0EF2239B-65C0-4977-A9EE-2352C7F40DC6}"/>
    <cellStyle name="Currency 5 2 2 3 3 2 4" xfId="19869" xr:uid="{1FA445B4-CF24-43E7-96E0-6778F12003E7}"/>
    <cellStyle name="Currency 5 2 2 3 3 3" xfId="5059" xr:uid="{00000000-0005-0000-0000-0000E10B0000}"/>
    <cellStyle name="Currency 5 2 2 3 3 3 2" xfId="13501" xr:uid="{72080783-69D9-4E6A-BA6A-A61C6A66B98E}"/>
    <cellStyle name="Currency 5 2 2 3 3 3 3" xfId="21941" xr:uid="{E9D7C3A1-6473-4E80-ACDC-D41AD95E813C}"/>
    <cellStyle name="Currency 5 2 2 3 3 4" xfId="9283" xr:uid="{BC8293B8-ABFF-47F1-9402-87005491DA53}"/>
    <cellStyle name="Currency 5 2 2 3 3 5" xfId="17724" xr:uid="{AE027238-198F-4E87-932F-0B71E5987C2C}"/>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16059" xr:uid="{71CCF0A4-383F-414C-BC93-7E3DF29B81D9}"/>
    <cellStyle name="Currency 5 2 2 3 4 2 2 3" xfId="24499" xr:uid="{025A77EA-7B31-4CAD-AA9B-F8D11FC36A8A}"/>
    <cellStyle name="Currency 5 2 2 3 4 2 3" xfId="11841" xr:uid="{958B1F2C-0E27-4BE4-ABAA-6B44FB4D9DD7}"/>
    <cellStyle name="Currency 5 2 2 3 4 2 4" xfId="20282" xr:uid="{3FE43DF8-FB10-4963-BEFC-36B394330C69}"/>
    <cellStyle name="Currency 5 2 2 3 4 3" xfId="5472" xr:uid="{00000000-0005-0000-0000-0000E50B0000}"/>
    <cellStyle name="Currency 5 2 2 3 4 3 2" xfId="13914" xr:uid="{8C3BD5F5-3E4B-42E7-9E40-3D6CDCC00E9A}"/>
    <cellStyle name="Currency 5 2 2 3 4 3 3" xfId="22354" xr:uid="{373F8BCB-18CE-4F24-9FA3-1DCA80967167}"/>
    <cellStyle name="Currency 5 2 2 3 4 4" xfId="9696" xr:uid="{867FAA9C-82E1-4048-A253-16E02C57F1AF}"/>
    <cellStyle name="Currency 5 2 2 3 4 5" xfId="18137" xr:uid="{BE23E3C5-CB07-4C4B-933E-B3047FE37B9A}"/>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16472" xr:uid="{B7D5E5AD-C962-4875-9EA0-D6D09B6342BA}"/>
    <cellStyle name="Currency 5 2 2 3 5 2 2 3" xfId="24912" xr:uid="{7A836500-A3A7-4E30-AA24-DFAC0CC45C79}"/>
    <cellStyle name="Currency 5 2 2 3 5 2 3" xfId="12254" xr:uid="{FBCD45B8-EDD4-484F-9CC4-0F9375E8AD94}"/>
    <cellStyle name="Currency 5 2 2 3 5 2 4" xfId="20695" xr:uid="{CF1A765C-BE4C-4406-8158-D5112D64501A}"/>
    <cellStyle name="Currency 5 2 2 3 5 3" xfId="5885" xr:uid="{00000000-0005-0000-0000-0000E90B0000}"/>
    <cellStyle name="Currency 5 2 2 3 5 3 2" xfId="14327" xr:uid="{3A5DEF59-E766-446E-BE12-93CD4E923FD3}"/>
    <cellStyle name="Currency 5 2 2 3 5 3 3" xfId="22767" xr:uid="{52B50FFE-C5B2-4066-BBD0-E174488C5641}"/>
    <cellStyle name="Currency 5 2 2 3 5 4" xfId="10109" xr:uid="{74275FF5-BBFC-4E9D-A075-149F61F30D62}"/>
    <cellStyle name="Currency 5 2 2 3 5 5" xfId="18550" xr:uid="{62BD9FA8-7524-4BEA-A921-AAF40926B477}"/>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16885" xr:uid="{1E6D0F34-3323-4C62-BA76-325AB8802117}"/>
    <cellStyle name="Currency 5 2 2 3 6 2 2 3" xfId="25325" xr:uid="{F75760D1-0A75-4ACA-A967-C20A3189044E}"/>
    <cellStyle name="Currency 5 2 2 3 6 2 3" xfId="12667" xr:uid="{242EBCC0-33A4-40E9-85E5-E6AFF87B63A0}"/>
    <cellStyle name="Currency 5 2 2 3 6 2 4" xfId="21108" xr:uid="{1095FB14-2962-4FC8-A512-55748A3D3C7B}"/>
    <cellStyle name="Currency 5 2 2 3 6 3" xfId="6298" xr:uid="{00000000-0005-0000-0000-0000ED0B0000}"/>
    <cellStyle name="Currency 5 2 2 3 6 3 2" xfId="14740" xr:uid="{D9032219-F348-4AE4-A768-4082AC3BF3CD}"/>
    <cellStyle name="Currency 5 2 2 3 6 3 3" xfId="23180" xr:uid="{399CAABD-3D9C-47AA-8B1B-6DE362FC4588}"/>
    <cellStyle name="Currency 5 2 2 3 6 4" xfId="10522" xr:uid="{21D539E6-7BBF-417F-856D-DD2E499F9D8F}"/>
    <cellStyle name="Currency 5 2 2 3 6 5" xfId="18963" xr:uid="{9BCD704A-AB76-41EC-B99A-8BFB98B74FE5}"/>
    <cellStyle name="Currency 5 2 2 3 7" xfId="2426" xr:uid="{00000000-0005-0000-0000-0000EE0B0000}"/>
    <cellStyle name="Currency 5 2 2 3 7 2" xfId="6711" xr:uid="{00000000-0005-0000-0000-0000EF0B0000}"/>
    <cellStyle name="Currency 5 2 2 3 7 2 2" xfId="15153" xr:uid="{1DBCC2B0-A419-4530-85BD-9BFA42054411}"/>
    <cellStyle name="Currency 5 2 2 3 7 2 3" xfId="23593" xr:uid="{3E4E7DB8-BC3F-4357-822A-C6014CBADBE0}"/>
    <cellStyle name="Currency 5 2 2 3 7 3" xfId="10935" xr:uid="{0FC989F8-64C4-409C-A6A7-76DA3EEF9D37}"/>
    <cellStyle name="Currency 5 2 2 3 7 4" xfId="19376" xr:uid="{7BD595F9-74C9-4DDE-BD58-2432F168E314}"/>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15470" xr:uid="{F347509C-21BD-4C6A-9CF1-7BBD5CE9C5C2}"/>
    <cellStyle name="Currency 5 2 2 3 9 2 3" xfId="23910" xr:uid="{989B4235-6D54-4A52-8087-EF2D53412FC9}"/>
    <cellStyle name="Currency 5 2 2 3 9 3" xfId="11252" xr:uid="{3ADA3E96-44BD-4B11-A423-982148A6041C}"/>
    <cellStyle name="Currency 5 2 2 3 9 4" xfId="19693" xr:uid="{B857D5F0-69B9-4257-95D2-4B7F0053FB54}"/>
    <cellStyle name="Currency 5 2 2 4" xfId="202" xr:uid="{00000000-0005-0000-0000-0000F30B0000}"/>
    <cellStyle name="Currency 5 2 2 4 10" xfId="8871" xr:uid="{26637536-EB39-46B3-90DD-E63B54C304E8}"/>
    <cellStyle name="Currency 5 2 2 4 11" xfId="17312" xr:uid="{5F76EA58-6A0C-49F8-9C34-E83281D3E68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15648" xr:uid="{397C8CF1-D0CA-46A1-B085-374EEC8A41B6}"/>
    <cellStyle name="Currency 5 2 2 4 2 2 2 3" xfId="24088" xr:uid="{477628D0-06E2-482E-A13B-1DD7CA2DEF00}"/>
    <cellStyle name="Currency 5 2 2 4 2 2 3" xfId="11430" xr:uid="{9B716DB9-228D-43B6-83E6-E2F389132802}"/>
    <cellStyle name="Currency 5 2 2 4 2 2 4" xfId="19871" xr:uid="{CF616B38-CDCF-46E3-A116-8246CF839722}"/>
    <cellStyle name="Currency 5 2 2 4 2 3" xfId="5061" xr:uid="{00000000-0005-0000-0000-0000F70B0000}"/>
    <cellStyle name="Currency 5 2 2 4 2 3 2" xfId="13503" xr:uid="{085F4560-D81A-477F-A9AA-F04F128BA4E0}"/>
    <cellStyle name="Currency 5 2 2 4 2 3 3" xfId="21943" xr:uid="{9F77B650-A1A4-4873-82D5-93108FB598A5}"/>
    <cellStyle name="Currency 5 2 2 4 2 4" xfId="9285" xr:uid="{03E4BB04-93A3-471A-82C3-6F319DBDD366}"/>
    <cellStyle name="Currency 5 2 2 4 2 5" xfId="17726" xr:uid="{3082DE0A-30D5-4435-A23E-D383A6E10F63}"/>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16061" xr:uid="{020F4A12-A8AA-43B1-BD74-86F49F1BCCA8}"/>
    <cellStyle name="Currency 5 2 2 4 3 2 2 3" xfId="24501" xr:uid="{914753AD-51DE-4020-AAA0-C269F0AA87DD}"/>
    <cellStyle name="Currency 5 2 2 4 3 2 3" xfId="11843" xr:uid="{368754F7-FA69-4D0A-BC58-DDBDBE521B24}"/>
    <cellStyle name="Currency 5 2 2 4 3 2 4" xfId="20284" xr:uid="{3B40B2AC-8CF6-40CF-A279-7193A6949224}"/>
    <cellStyle name="Currency 5 2 2 4 3 3" xfId="5474" xr:uid="{00000000-0005-0000-0000-0000FB0B0000}"/>
    <cellStyle name="Currency 5 2 2 4 3 3 2" xfId="13916" xr:uid="{1F8BD6E9-1906-45B8-90FD-5B3554238D28}"/>
    <cellStyle name="Currency 5 2 2 4 3 3 3" xfId="22356" xr:uid="{5C431402-EBE7-4464-8ADA-33E2FCD33A06}"/>
    <cellStyle name="Currency 5 2 2 4 3 4" xfId="9698" xr:uid="{E374AA6F-BF21-4566-B38B-4506216A93C0}"/>
    <cellStyle name="Currency 5 2 2 4 3 5" xfId="18139" xr:uid="{888493E5-A76F-43F4-AB11-8C7AFD88B1DF}"/>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16474" xr:uid="{B419BAAC-3233-4DF1-B9BF-397016C15901}"/>
    <cellStyle name="Currency 5 2 2 4 4 2 2 3" xfId="24914" xr:uid="{A92B1422-EA94-487D-945C-01FE771355D7}"/>
    <cellStyle name="Currency 5 2 2 4 4 2 3" xfId="12256" xr:uid="{D9DEF89B-5DB4-40CF-AB8D-377A353178CF}"/>
    <cellStyle name="Currency 5 2 2 4 4 2 4" xfId="20697" xr:uid="{29F1B4A4-C320-43BE-9E2C-0B544C345ECC}"/>
    <cellStyle name="Currency 5 2 2 4 4 3" xfId="5887" xr:uid="{00000000-0005-0000-0000-0000FF0B0000}"/>
    <cellStyle name="Currency 5 2 2 4 4 3 2" xfId="14329" xr:uid="{FC1FC1C9-2628-44A2-90C6-C1548686253F}"/>
    <cellStyle name="Currency 5 2 2 4 4 3 3" xfId="22769" xr:uid="{88C09C0D-924F-4D91-9056-3040E8A8EDA8}"/>
    <cellStyle name="Currency 5 2 2 4 4 4" xfId="10111" xr:uid="{7B2F4786-20BF-4A1E-BC22-59FFDB2A49B2}"/>
    <cellStyle name="Currency 5 2 2 4 4 5" xfId="18552" xr:uid="{B205D210-C34E-4A39-AE2B-15B208E40946}"/>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16887" xr:uid="{4C21478E-DBB1-486E-A5E9-CC36F3FA6EA0}"/>
    <cellStyle name="Currency 5 2 2 4 5 2 2 3" xfId="25327" xr:uid="{60EE52F2-2C0A-4872-9087-AD7F3CA1DCA9}"/>
    <cellStyle name="Currency 5 2 2 4 5 2 3" xfId="12669" xr:uid="{58AE7FCF-FEF8-48FB-9ABC-FDC1A28F85F7}"/>
    <cellStyle name="Currency 5 2 2 4 5 2 4" xfId="21110" xr:uid="{2008C1F2-3601-4038-982F-C8552A3E8257}"/>
    <cellStyle name="Currency 5 2 2 4 5 3" xfId="6300" xr:uid="{00000000-0005-0000-0000-0000030C0000}"/>
    <cellStyle name="Currency 5 2 2 4 5 3 2" xfId="14742" xr:uid="{83493CC9-C95C-4F3E-8FC6-23B708AE64BA}"/>
    <cellStyle name="Currency 5 2 2 4 5 3 3" xfId="23182" xr:uid="{B9FCB8BF-43E9-4788-A267-02787A0F1A45}"/>
    <cellStyle name="Currency 5 2 2 4 5 4" xfId="10524" xr:uid="{4940C097-FC46-493C-A6F9-CB3704F315C6}"/>
    <cellStyle name="Currency 5 2 2 4 5 5" xfId="18965" xr:uid="{E2D47F3E-124D-498F-9933-1CB7A84213A5}"/>
    <cellStyle name="Currency 5 2 2 4 6" xfId="2428" xr:uid="{00000000-0005-0000-0000-0000040C0000}"/>
    <cellStyle name="Currency 5 2 2 4 6 2" xfId="6713" xr:uid="{00000000-0005-0000-0000-0000050C0000}"/>
    <cellStyle name="Currency 5 2 2 4 6 2 2" xfId="15155" xr:uid="{6E507D38-7FB4-4442-A5E7-742D99325946}"/>
    <cellStyle name="Currency 5 2 2 4 6 2 3" xfId="23595" xr:uid="{C9D47EF2-82D6-4803-8EEA-FDF1882FD5DE}"/>
    <cellStyle name="Currency 5 2 2 4 6 3" xfId="10937" xr:uid="{EEBD2C44-8171-44AD-BB42-B21FEC85C870}"/>
    <cellStyle name="Currency 5 2 2 4 6 4" xfId="19378" xr:uid="{33C3DBD9-F213-408A-B4CA-E8B9A40C71BE}"/>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15472" xr:uid="{5F86E273-2C90-42F4-A9ED-AA3FBD95FDB4}"/>
    <cellStyle name="Currency 5 2 2 4 8 2 3" xfId="23912" xr:uid="{5D787806-5027-44C8-B755-032EEF1DB1A2}"/>
    <cellStyle name="Currency 5 2 2 4 8 3" xfId="11254" xr:uid="{40D4626C-121D-4DB0-8EA2-8E20323204DB}"/>
    <cellStyle name="Currency 5 2 2 4 8 4" xfId="19695" xr:uid="{1576B1A0-F1D8-4DBF-B629-B62708831674}"/>
    <cellStyle name="Currency 5 2 2 4 9" xfId="4647" xr:uid="{00000000-0005-0000-0000-0000090C0000}"/>
    <cellStyle name="Currency 5 2 2 4 9 2" xfId="13089" xr:uid="{4055C26A-074D-4182-9645-31701E2CC405}"/>
    <cellStyle name="Currency 5 2 2 4 9 3" xfId="21529" xr:uid="{77CD4D52-85B7-49BF-8ED3-E52753AACE71}"/>
    <cellStyle name="Currency 5 2 2 5" xfId="203" xr:uid="{00000000-0005-0000-0000-00000A0C0000}"/>
    <cellStyle name="Currency 5 2 2 5 10" xfId="8872" xr:uid="{FD373D37-3ECA-4B4A-BBAB-351038DB1C1A}"/>
    <cellStyle name="Currency 5 2 2 5 11" xfId="17313" xr:uid="{F011E498-FAA7-4EC2-BF11-B013F2B4D521}"/>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15649" xr:uid="{0AD5D720-FDF4-485D-8F37-3D598B151E92}"/>
    <cellStyle name="Currency 5 2 2 5 2 2 2 3" xfId="24089" xr:uid="{04603477-AB27-4453-AC63-3DD4558DCB4B}"/>
    <cellStyle name="Currency 5 2 2 5 2 2 3" xfId="11431" xr:uid="{DBA5B0F0-DED6-408F-8335-66112A6560E7}"/>
    <cellStyle name="Currency 5 2 2 5 2 2 4" xfId="19872" xr:uid="{AF60AB42-2BDA-45AB-B730-F84EBFF66EB2}"/>
    <cellStyle name="Currency 5 2 2 5 2 3" xfId="5062" xr:uid="{00000000-0005-0000-0000-00000E0C0000}"/>
    <cellStyle name="Currency 5 2 2 5 2 3 2" xfId="13504" xr:uid="{2148C32F-E7D3-40C2-96CD-AF1283F87618}"/>
    <cellStyle name="Currency 5 2 2 5 2 3 3" xfId="21944" xr:uid="{F930987D-36AC-4B71-902A-B2867C70509D}"/>
    <cellStyle name="Currency 5 2 2 5 2 4" xfId="9286" xr:uid="{DE5344BD-D012-4E82-9575-A7DC19389859}"/>
    <cellStyle name="Currency 5 2 2 5 2 5" xfId="17727" xr:uid="{2E590169-2BBD-4FE0-AB07-BEBA6D7C874A}"/>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16062" xr:uid="{4E6E771E-9ED7-4060-8F36-09A0B9CB839A}"/>
    <cellStyle name="Currency 5 2 2 5 3 2 2 3" xfId="24502" xr:uid="{416FCE3C-BEB9-46B5-87CF-39D817F83114}"/>
    <cellStyle name="Currency 5 2 2 5 3 2 3" xfId="11844" xr:uid="{255B166E-CD02-49E8-BE34-B524D5E96594}"/>
    <cellStyle name="Currency 5 2 2 5 3 2 4" xfId="20285" xr:uid="{6BAADC4B-C8EA-402F-BD47-7B462361FCE9}"/>
    <cellStyle name="Currency 5 2 2 5 3 3" xfId="5475" xr:uid="{00000000-0005-0000-0000-0000120C0000}"/>
    <cellStyle name="Currency 5 2 2 5 3 3 2" xfId="13917" xr:uid="{DC5F4AB7-C27D-4C6C-8106-D2F82215135B}"/>
    <cellStyle name="Currency 5 2 2 5 3 3 3" xfId="22357" xr:uid="{7D8C2D99-5074-4B3A-B3E2-3CC978F09073}"/>
    <cellStyle name="Currency 5 2 2 5 3 4" xfId="9699" xr:uid="{E6D30797-7D14-41B7-AB4D-9E7E6F262D3D}"/>
    <cellStyle name="Currency 5 2 2 5 3 5" xfId="18140" xr:uid="{81FB2216-E221-4CDA-BF7E-99CD97711136}"/>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16475" xr:uid="{D0864112-7A5B-4FFF-97DF-F064FB07F8D9}"/>
    <cellStyle name="Currency 5 2 2 5 4 2 2 3" xfId="24915" xr:uid="{0521EC1D-6F6A-4AE3-890B-97E0D280A3FC}"/>
    <cellStyle name="Currency 5 2 2 5 4 2 3" xfId="12257" xr:uid="{7824E3C4-2909-4E13-8B04-372536D6F87B}"/>
    <cellStyle name="Currency 5 2 2 5 4 2 4" xfId="20698" xr:uid="{BA2EFF15-F42F-45EE-AF8E-DC5ED1523FB7}"/>
    <cellStyle name="Currency 5 2 2 5 4 3" xfId="5888" xr:uid="{00000000-0005-0000-0000-0000160C0000}"/>
    <cellStyle name="Currency 5 2 2 5 4 3 2" xfId="14330" xr:uid="{F4F79DFC-66AE-46C9-AAFC-B391CADD0DD2}"/>
    <cellStyle name="Currency 5 2 2 5 4 3 3" xfId="22770" xr:uid="{AA08AA13-87F9-4B05-B519-3774E3C4A7AB}"/>
    <cellStyle name="Currency 5 2 2 5 4 4" xfId="10112" xr:uid="{B209E7A4-4B4F-4D33-9DED-7C6A12077667}"/>
    <cellStyle name="Currency 5 2 2 5 4 5" xfId="18553" xr:uid="{0B9BF40B-961F-47D4-A8F3-C7A932809E7D}"/>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16888" xr:uid="{7521DE52-1A4F-4533-BB37-8ACF244B0C58}"/>
    <cellStyle name="Currency 5 2 2 5 5 2 2 3" xfId="25328" xr:uid="{63C1A5F7-0047-4143-9EA0-81A7AA94FD57}"/>
    <cellStyle name="Currency 5 2 2 5 5 2 3" xfId="12670" xr:uid="{ADCD3B3C-3D74-4770-92E3-DF7943DA6DE8}"/>
    <cellStyle name="Currency 5 2 2 5 5 2 4" xfId="21111" xr:uid="{0FE8F327-2378-43FF-A46C-E72564C891A0}"/>
    <cellStyle name="Currency 5 2 2 5 5 3" xfId="6301" xr:uid="{00000000-0005-0000-0000-00001A0C0000}"/>
    <cellStyle name="Currency 5 2 2 5 5 3 2" xfId="14743" xr:uid="{4725ACEE-C6ED-4B50-A2B1-DDEA382BA4A5}"/>
    <cellStyle name="Currency 5 2 2 5 5 3 3" xfId="23183" xr:uid="{F76E0ECB-B9CD-47BD-8BC1-11E56A07E516}"/>
    <cellStyle name="Currency 5 2 2 5 5 4" xfId="10525" xr:uid="{CD8FC9A5-BF50-490C-B3A6-1F0A1D35986A}"/>
    <cellStyle name="Currency 5 2 2 5 5 5" xfId="18966" xr:uid="{A2C46502-F72B-4258-A2FE-D8E979060974}"/>
    <cellStyle name="Currency 5 2 2 5 6" xfId="2429" xr:uid="{00000000-0005-0000-0000-00001B0C0000}"/>
    <cellStyle name="Currency 5 2 2 5 6 2" xfId="6714" xr:uid="{00000000-0005-0000-0000-00001C0C0000}"/>
    <cellStyle name="Currency 5 2 2 5 6 2 2" xfId="15156" xr:uid="{F33C4AF9-A055-4A21-96F3-7514E0F66E39}"/>
    <cellStyle name="Currency 5 2 2 5 6 2 3" xfId="23596" xr:uid="{625B90A8-048E-40A7-BF78-B0CC5933B0F8}"/>
    <cellStyle name="Currency 5 2 2 5 6 3" xfId="10938" xr:uid="{149F5646-D1E1-4C11-B267-220C7EBBB6B5}"/>
    <cellStyle name="Currency 5 2 2 5 6 4" xfId="19379" xr:uid="{D8F4CBA9-6DFD-4476-AC6B-2ECCFB2E995D}"/>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15473" xr:uid="{F8B32491-B4A3-4CF9-BF68-6EC4CF6781A6}"/>
    <cellStyle name="Currency 5 2 2 5 8 2 3" xfId="23913" xr:uid="{A3E89F05-5782-404B-ADFF-EBC4FF42F7FE}"/>
    <cellStyle name="Currency 5 2 2 5 8 3" xfId="11255" xr:uid="{06F5C9FF-4C92-4D58-ADA3-3CB3DAA526EE}"/>
    <cellStyle name="Currency 5 2 2 5 8 4" xfId="19696" xr:uid="{8E179431-9A21-43C0-8CAD-1F97F146AC11}"/>
    <cellStyle name="Currency 5 2 2 5 9" xfId="4648" xr:uid="{00000000-0005-0000-0000-0000200C0000}"/>
    <cellStyle name="Currency 5 2 2 5 9 2" xfId="13090" xr:uid="{D28E1025-CAA1-4C26-9277-D32E305DF2FD}"/>
    <cellStyle name="Currency 5 2 2 5 9 3" xfId="21530" xr:uid="{3B7824BA-81EC-4B50-AA14-4BB003F1FAAA}"/>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13091" xr:uid="{47D40686-0B44-44A8-9E70-0AB5FD4C47F7}"/>
    <cellStyle name="Currency 5 2 4 10 3" xfId="21531" xr:uid="{5CA28C12-8861-4E4F-BAA9-037FAED6D711}"/>
    <cellStyle name="Currency 5 2 4 11" xfId="8873" xr:uid="{9CACAB00-5112-4AB9-AEE3-EE4BBE686317}"/>
    <cellStyle name="Currency 5 2 4 12" xfId="17314" xr:uid="{1C4042C6-E5B3-4108-9A2C-FE67A9C2F119}"/>
    <cellStyle name="Currency 5 2 4 2" xfId="206" xr:uid="{00000000-0005-0000-0000-0000250C0000}"/>
    <cellStyle name="Currency 5 2 4 2 10" xfId="8874" xr:uid="{D74CEC20-EBAD-4DCC-A328-37BE7ACD1160}"/>
    <cellStyle name="Currency 5 2 4 2 11" xfId="17315" xr:uid="{5E93223B-F3A1-48E2-A66D-0E48B486D603}"/>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15651" xr:uid="{40ACE0BE-3B17-42FC-ADBF-DBB46F1B09D6}"/>
    <cellStyle name="Currency 5 2 4 2 2 2 2 3" xfId="24091" xr:uid="{6944C6BA-3D38-422F-8A35-FBBBFFCD3A66}"/>
    <cellStyle name="Currency 5 2 4 2 2 2 3" xfId="11433" xr:uid="{E770D0F3-26BC-4CFD-B542-29551C9215FF}"/>
    <cellStyle name="Currency 5 2 4 2 2 2 4" xfId="19874" xr:uid="{11DD7E4D-6EB0-4844-8734-3F19D2886D8E}"/>
    <cellStyle name="Currency 5 2 4 2 2 3" xfId="5064" xr:uid="{00000000-0005-0000-0000-0000290C0000}"/>
    <cellStyle name="Currency 5 2 4 2 2 3 2" xfId="13506" xr:uid="{2076FF2F-DB0D-49FD-B178-72070D08D172}"/>
    <cellStyle name="Currency 5 2 4 2 2 3 3" xfId="21946" xr:uid="{147C2A98-73E1-46EF-B488-645B0B4BD5FA}"/>
    <cellStyle name="Currency 5 2 4 2 2 4" xfId="9288" xr:uid="{F3484FAA-F47D-483C-811F-C15F83731760}"/>
    <cellStyle name="Currency 5 2 4 2 2 5" xfId="17729" xr:uid="{2283FEC6-B30C-478C-9469-627922DE4779}"/>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16064" xr:uid="{BCD63DAA-AA87-499C-BD40-EEB741DE72A1}"/>
    <cellStyle name="Currency 5 2 4 2 3 2 2 3" xfId="24504" xr:uid="{63623F5C-953B-4151-A289-F88849585761}"/>
    <cellStyle name="Currency 5 2 4 2 3 2 3" xfId="11846" xr:uid="{A4E1A808-D605-4B72-8BAD-E289219231FB}"/>
    <cellStyle name="Currency 5 2 4 2 3 2 4" xfId="20287" xr:uid="{869D2ABC-695E-4118-B965-7507D72A50CF}"/>
    <cellStyle name="Currency 5 2 4 2 3 3" xfId="5477" xr:uid="{00000000-0005-0000-0000-00002D0C0000}"/>
    <cellStyle name="Currency 5 2 4 2 3 3 2" xfId="13919" xr:uid="{DED8CC94-95CF-4C46-9644-F83F5F3DD397}"/>
    <cellStyle name="Currency 5 2 4 2 3 3 3" xfId="22359" xr:uid="{39BCB3E1-327B-4FE1-AF58-D713E29154E9}"/>
    <cellStyle name="Currency 5 2 4 2 3 4" xfId="9701" xr:uid="{642881D4-E965-4BFA-97C8-2B04A416177B}"/>
    <cellStyle name="Currency 5 2 4 2 3 5" xfId="18142" xr:uid="{890C9870-B0A9-446F-B993-4402ADE82B1A}"/>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16477" xr:uid="{FAD9C498-88CC-4D3B-B36E-8856AD0EBF1E}"/>
    <cellStyle name="Currency 5 2 4 2 4 2 2 3" xfId="24917" xr:uid="{CBC6D69B-59B3-4DC0-B3B0-FF84AD70F823}"/>
    <cellStyle name="Currency 5 2 4 2 4 2 3" xfId="12259" xr:uid="{D4473A72-8724-44F4-AF25-4394D5F4E82C}"/>
    <cellStyle name="Currency 5 2 4 2 4 2 4" xfId="20700" xr:uid="{2F202956-1222-45A2-A6CC-7A835721E950}"/>
    <cellStyle name="Currency 5 2 4 2 4 3" xfId="5890" xr:uid="{00000000-0005-0000-0000-0000310C0000}"/>
    <cellStyle name="Currency 5 2 4 2 4 3 2" xfId="14332" xr:uid="{A6B2E2D6-CF7F-4399-8FFF-CABA88B3DD88}"/>
    <cellStyle name="Currency 5 2 4 2 4 3 3" xfId="22772" xr:uid="{694D0A8C-55E8-4835-BA9A-7DCEC6830423}"/>
    <cellStyle name="Currency 5 2 4 2 4 4" xfId="10114" xr:uid="{5B422F4D-1E67-49E0-B459-D1BEAAF744A9}"/>
    <cellStyle name="Currency 5 2 4 2 4 5" xfId="18555" xr:uid="{6029702D-791A-44E8-94D2-7B0526226CA7}"/>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16890" xr:uid="{E1F6BC01-406E-4941-BEF0-FF43597AC3B8}"/>
    <cellStyle name="Currency 5 2 4 2 5 2 2 3" xfId="25330" xr:uid="{6ED6D22F-0F8D-45D1-8014-2964DFF47A99}"/>
    <cellStyle name="Currency 5 2 4 2 5 2 3" xfId="12672" xr:uid="{25827364-7202-4AE6-BABC-12C045C99EF3}"/>
    <cellStyle name="Currency 5 2 4 2 5 2 4" xfId="21113" xr:uid="{DE067DCF-6E7B-4A6C-9822-A4A78A2DB070}"/>
    <cellStyle name="Currency 5 2 4 2 5 3" xfId="6303" xr:uid="{00000000-0005-0000-0000-0000350C0000}"/>
    <cellStyle name="Currency 5 2 4 2 5 3 2" xfId="14745" xr:uid="{62CC0B96-3049-4F74-B290-5B46AAE40C8D}"/>
    <cellStyle name="Currency 5 2 4 2 5 3 3" xfId="23185" xr:uid="{0582F608-2D7E-4C48-A17C-A56C6DDB9DEC}"/>
    <cellStyle name="Currency 5 2 4 2 5 4" xfId="10527" xr:uid="{79AF76B3-437F-423F-8D3A-0A4015C692EF}"/>
    <cellStyle name="Currency 5 2 4 2 5 5" xfId="18968" xr:uid="{278E3806-EC38-435B-9026-B2BB9723FF0E}"/>
    <cellStyle name="Currency 5 2 4 2 6" xfId="2431" xr:uid="{00000000-0005-0000-0000-0000360C0000}"/>
    <cellStyle name="Currency 5 2 4 2 6 2" xfId="6716" xr:uid="{00000000-0005-0000-0000-0000370C0000}"/>
    <cellStyle name="Currency 5 2 4 2 6 2 2" xfId="15158" xr:uid="{60BF9D18-7075-414A-B49E-A04517BE328E}"/>
    <cellStyle name="Currency 5 2 4 2 6 2 3" xfId="23598" xr:uid="{56B5480C-ED58-43B8-B9A4-AFD2961C6CC2}"/>
    <cellStyle name="Currency 5 2 4 2 6 3" xfId="10940" xr:uid="{63FF0B21-ACA4-4615-B212-57925DBA4759}"/>
    <cellStyle name="Currency 5 2 4 2 6 4" xfId="19381" xr:uid="{CDDA1345-06DF-4193-9CDA-6C2878616FE8}"/>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15475" xr:uid="{A738B5A3-A98D-4B75-82E0-FC066CF9EB75}"/>
    <cellStyle name="Currency 5 2 4 2 8 2 3" xfId="23915" xr:uid="{84E73BAB-F379-4193-AA9A-3D1BE585CD02}"/>
    <cellStyle name="Currency 5 2 4 2 8 3" xfId="11257" xr:uid="{9823FA42-C5D4-40CF-8D28-B2E3E35302E9}"/>
    <cellStyle name="Currency 5 2 4 2 8 4" xfId="19698" xr:uid="{53A79263-4C45-40F4-A994-C9603F4542DA}"/>
    <cellStyle name="Currency 5 2 4 2 9" xfId="4650" xr:uid="{00000000-0005-0000-0000-00003B0C0000}"/>
    <cellStyle name="Currency 5 2 4 2 9 2" xfId="13092" xr:uid="{BE7FB858-FA26-4C19-82CE-49D6E7775DCE}"/>
    <cellStyle name="Currency 5 2 4 2 9 3" xfId="21532" xr:uid="{2C4AE0CE-45E5-4357-8265-C56A88658467}"/>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15650" xr:uid="{62572B8E-69C7-4B7F-9D43-2BC9EA3DF829}"/>
    <cellStyle name="Currency 5 2 4 3 2 2 3" xfId="24090" xr:uid="{478DC21E-B313-404F-9E24-F7E2E5EED621}"/>
    <cellStyle name="Currency 5 2 4 3 2 3" xfId="11432" xr:uid="{82ABE89A-03E8-47F0-82B5-AA82C9555B97}"/>
    <cellStyle name="Currency 5 2 4 3 2 4" xfId="19873" xr:uid="{B02145D2-B493-4FC6-86F1-1731A5C424E0}"/>
    <cellStyle name="Currency 5 2 4 3 3" xfId="5063" xr:uid="{00000000-0005-0000-0000-00003F0C0000}"/>
    <cellStyle name="Currency 5 2 4 3 3 2" xfId="13505" xr:uid="{49B6029A-4C21-42A1-A0CD-3AFAB14725B5}"/>
    <cellStyle name="Currency 5 2 4 3 3 3" xfId="21945" xr:uid="{C6FE9F84-5BB9-40D6-9BFD-9DA101F21417}"/>
    <cellStyle name="Currency 5 2 4 3 4" xfId="9287" xr:uid="{2A13E2D3-F1FB-41BD-B172-8DCA7BDC0FCB}"/>
    <cellStyle name="Currency 5 2 4 3 5" xfId="17728" xr:uid="{D1165E82-93B1-42E3-925B-FD60B420BDC6}"/>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16063" xr:uid="{A23758B1-F70F-4A0F-859D-B25B6B7AA1DD}"/>
    <cellStyle name="Currency 5 2 4 4 2 2 3" xfId="24503" xr:uid="{FF36D978-6F72-485E-BC84-F484BBA675D9}"/>
    <cellStyle name="Currency 5 2 4 4 2 3" xfId="11845" xr:uid="{968198CD-B0D9-4C5E-940F-BB2B3C947CB2}"/>
    <cellStyle name="Currency 5 2 4 4 2 4" xfId="20286" xr:uid="{2538E3F7-FDEB-455C-B142-2C90EC991EEC}"/>
    <cellStyle name="Currency 5 2 4 4 3" xfId="5476" xr:uid="{00000000-0005-0000-0000-0000430C0000}"/>
    <cellStyle name="Currency 5 2 4 4 3 2" xfId="13918" xr:uid="{7E718EC1-9E25-4A02-9CE3-61291BB98D65}"/>
    <cellStyle name="Currency 5 2 4 4 3 3" xfId="22358" xr:uid="{CDED1111-8F02-4F4A-9725-4666388458EE}"/>
    <cellStyle name="Currency 5 2 4 4 4" xfId="9700" xr:uid="{58DCCC72-3B41-4A29-900D-F936D949B30D}"/>
    <cellStyle name="Currency 5 2 4 4 5" xfId="18141" xr:uid="{72121B2D-FDEF-4DBB-B7F5-978C91B8A337}"/>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16476" xr:uid="{D9D67066-A695-4228-9440-F4A725549EAF}"/>
    <cellStyle name="Currency 5 2 4 5 2 2 3" xfId="24916" xr:uid="{7FB13F3B-84A7-4011-AE25-2210AD891D06}"/>
    <cellStyle name="Currency 5 2 4 5 2 3" xfId="12258" xr:uid="{A40B02E2-9DC4-4BD6-B3D5-CAB46F36B1A9}"/>
    <cellStyle name="Currency 5 2 4 5 2 4" xfId="20699" xr:uid="{F2E0CE59-7D55-424B-9EC6-747BA7A899C6}"/>
    <cellStyle name="Currency 5 2 4 5 3" xfId="5889" xr:uid="{00000000-0005-0000-0000-0000470C0000}"/>
    <cellStyle name="Currency 5 2 4 5 3 2" xfId="14331" xr:uid="{C435BF87-0BC8-4118-9B27-E6B5CCAB0769}"/>
    <cellStyle name="Currency 5 2 4 5 3 3" xfId="22771" xr:uid="{EB4C0D1E-AA85-454D-A27E-F98C2536418B}"/>
    <cellStyle name="Currency 5 2 4 5 4" xfId="10113" xr:uid="{EDBDEDE6-DF81-4F70-A41B-BDE1C309C0BA}"/>
    <cellStyle name="Currency 5 2 4 5 5" xfId="18554" xr:uid="{6F0DBE59-C3C9-4B91-93DF-9CF02184BA6E}"/>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16889" xr:uid="{388092E5-AEDA-42A1-A75F-59A9E2479D78}"/>
    <cellStyle name="Currency 5 2 4 6 2 2 3" xfId="25329" xr:uid="{B98F42E3-DC5E-4DE4-817A-732C227B3D33}"/>
    <cellStyle name="Currency 5 2 4 6 2 3" xfId="12671" xr:uid="{DFF307C5-40C3-481F-A1F0-0764731FA2DC}"/>
    <cellStyle name="Currency 5 2 4 6 2 4" xfId="21112" xr:uid="{EA52E839-1502-483F-A0AA-7249CB7AE1C4}"/>
    <cellStyle name="Currency 5 2 4 6 3" xfId="6302" xr:uid="{00000000-0005-0000-0000-00004B0C0000}"/>
    <cellStyle name="Currency 5 2 4 6 3 2" xfId="14744" xr:uid="{50C9CB4E-5B5F-4A05-AB81-B918C8080A8F}"/>
    <cellStyle name="Currency 5 2 4 6 3 3" xfId="23184" xr:uid="{1853A144-FFF1-41FE-946E-51B5C794A7CD}"/>
    <cellStyle name="Currency 5 2 4 6 4" xfId="10526" xr:uid="{586BE484-E94F-4D92-9B40-1225336E5674}"/>
    <cellStyle name="Currency 5 2 4 6 5" xfId="18967" xr:uid="{D641CC52-DA6A-4CDC-BD48-9F3D54C43206}"/>
    <cellStyle name="Currency 5 2 4 7" xfId="2430" xr:uid="{00000000-0005-0000-0000-00004C0C0000}"/>
    <cellStyle name="Currency 5 2 4 7 2" xfId="6715" xr:uid="{00000000-0005-0000-0000-00004D0C0000}"/>
    <cellStyle name="Currency 5 2 4 7 2 2" xfId="15157" xr:uid="{8945F9BA-D287-44CA-B5AE-A2D5A256A188}"/>
    <cellStyle name="Currency 5 2 4 7 2 3" xfId="23597" xr:uid="{BE786D10-440E-4C6D-8CBC-6581325EC01E}"/>
    <cellStyle name="Currency 5 2 4 7 3" xfId="10939" xr:uid="{8F9F6D4E-F612-4450-B860-32A9882DEF6C}"/>
    <cellStyle name="Currency 5 2 4 7 4" xfId="19380" xr:uid="{AF1CE78A-D2E9-4ABC-BB50-715E58A08E73}"/>
    <cellStyle name="Currency 5 2 4 8" xfId="2727" xr:uid="{00000000-0005-0000-0000-00004E0C0000}"/>
    <cellStyle name="Currency 5 2 4 9" xfId="2808" xr:uid="{00000000-0005-0000-0000-00004F0C0000}"/>
    <cellStyle name="Currency 5 2 4 9 2" xfId="7032" xr:uid="{00000000-0005-0000-0000-0000500C0000}"/>
    <cellStyle name="Currency 5 2 4 9 2 2" xfId="15474" xr:uid="{E293C6C6-4B0F-4EF1-95B5-EB71122553A8}"/>
    <cellStyle name="Currency 5 2 4 9 2 3" xfId="23914" xr:uid="{657A2E7D-4945-47E7-B023-D93022D54B53}"/>
    <cellStyle name="Currency 5 2 4 9 3" xfId="11256" xr:uid="{41DF174D-C236-4AAB-AB32-8A08E35AAB90}"/>
    <cellStyle name="Currency 5 2 4 9 4" xfId="19697" xr:uid="{1BC8D0E4-AC3A-486B-A8EF-4308B08E4F4F}"/>
    <cellStyle name="Currency 5 2 5" xfId="207" xr:uid="{00000000-0005-0000-0000-0000510C0000}"/>
    <cellStyle name="Currency 5 2 5 10" xfId="8875" xr:uid="{65A039D6-845D-4952-A99E-365357F4B163}"/>
    <cellStyle name="Currency 5 2 5 11" xfId="17316" xr:uid="{C6E2B1AC-5F60-4CE8-892C-DEC195D31103}"/>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15652" xr:uid="{B933E5F4-3866-41AF-80CD-7F21F64D5A89}"/>
    <cellStyle name="Currency 5 2 5 2 2 2 3" xfId="24092" xr:uid="{B1A8C33A-22AB-4FCC-B479-E880C790C4F9}"/>
    <cellStyle name="Currency 5 2 5 2 2 3" xfId="11434" xr:uid="{9A951E11-5085-4758-8FFC-95E273B984D4}"/>
    <cellStyle name="Currency 5 2 5 2 2 4" xfId="19875" xr:uid="{A645C052-25E7-4704-9735-FA772F16DC14}"/>
    <cellStyle name="Currency 5 2 5 2 3" xfId="5065" xr:uid="{00000000-0005-0000-0000-0000550C0000}"/>
    <cellStyle name="Currency 5 2 5 2 3 2" xfId="13507" xr:uid="{7F0CC5CA-F44F-468C-870E-B3D4556FA855}"/>
    <cellStyle name="Currency 5 2 5 2 3 3" xfId="21947" xr:uid="{FB76E5D6-ED31-49AF-A87E-C34762F53075}"/>
    <cellStyle name="Currency 5 2 5 2 4" xfId="9289" xr:uid="{403109FC-DA4C-4BD4-9D09-BA192A49A013}"/>
    <cellStyle name="Currency 5 2 5 2 5" xfId="17730" xr:uid="{8F37137A-A29F-4F96-B0F9-E319BBC69F07}"/>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16065" xr:uid="{0298B4B9-1B6D-4604-9EA9-433EC9983E8C}"/>
    <cellStyle name="Currency 5 2 5 3 2 2 3" xfId="24505" xr:uid="{0084A91D-AD85-49EF-9681-03A342331CDC}"/>
    <cellStyle name="Currency 5 2 5 3 2 3" xfId="11847" xr:uid="{46AC4FAE-C4B6-49A4-BE41-FEFD6FA009CB}"/>
    <cellStyle name="Currency 5 2 5 3 2 4" xfId="20288" xr:uid="{14900A78-D3A9-4DC3-89DF-74B0751110AD}"/>
    <cellStyle name="Currency 5 2 5 3 3" xfId="5478" xr:uid="{00000000-0005-0000-0000-0000590C0000}"/>
    <cellStyle name="Currency 5 2 5 3 3 2" xfId="13920" xr:uid="{46379043-F4CE-49DE-A8A2-052FBD7933B3}"/>
    <cellStyle name="Currency 5 2 5 3 3 3" xfId="22360" xr:uid="{3F9C3D46-D791-41E5-88C6-6AC26344904A}"/>
    <cellStyle name="Currency 5 2 5 3 4" xfId="9702" xr:uid="{92563A53-CB64-4828-95EF-2AAAA5CA762E}"/>
    <cellStyle name="Currency 5 2 5 3 5" xfId="18143" xr:uid="{BBAB3EEF-2569-40A2-9561-FF4EC3EE3E29}"/>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16478" xr:uid="{AB5C47A0-EBF2-4BB9-8B4F-529B93275246}"/>
    <cellStyle name="Currency 5 2 5 4 2 2 3" xfId="24918" xr:uid="{A32027C4-2364-4B9D-A8F6-34362F7ABAA8}"/>
    <cellStyle name="Currency 5 2 5 4 2 3" xfId="12260" xr:uid="{15C5FD32-25B0-4606-BB95-16C17633F4D7}"/>
    <cellStyle name="Currency 5 2 5 4 2 4" xfId="20701" xr:uid="{50CADFB5-8850-47BA-A84D-3AFD03ECE8EF}"/>
    <cellStyle name="Currency 5 2 5 4 3" xfId="5891" xr:uid="{00000000-0005-0000-0000-00005D0C0000}"/>
    <cellStyle name="Currency 5 2 5 4 3 2" xfId="14333" xr:uid="{D4F1631F-E065-41F1-A201-BC37A13BDBEE}"/>
    <cellStyle name="Currency 5 2 5 4 3 3" xfId="22773" xr:uid="{8BD8DA11-FCA2-403C-A36B-E31C9D41331C}"/>
    <cellStyle name="Currency 5 2 5 4 4" xfId="10115" xr:uid="{170D80EF-A0FF-4C90-9064-DECD0C939D92}"/>
    <cellStyle name="Currency 5 2 5 4 5" xfId="18556" xr:uid="{D6CECC18-462B-4094-B1A0-FA4C9E355837}"/>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16891" xr:uid="{82B89D2A-C28A-4FDD-A302-0C0EE21CA851}"/>
    <cellStyle name="Currency 5 2 5 5 2 2 3" xfId="25331" xr:uid="{A63E111A-56B9-412F-8686-D0B5795FB0C2}"/>
    <cellStyle name="Currency 5 2 5 5 2 3" xfId="12673" xr:uid="{E58188A5-BB05-4642-AAF2-5C9960F42305}"/>
    <cellStyle name="Currency 5 2 5 5 2 4" xfId="21114" xr:uid="{0D3139C0-5883-4B96-ACF9-E96FCF577CAF}"/>
    <cellStyle name="Currency 5 2 5 5 3" xfId="6304" xr:uid="{00000000-0005-0000-0000-0000610C0000}"/>
    <cellStyle name="Currency 5 2 5 5 3 2" xfId="14746" xr:uid="{C09D2B84-ED03-4471-97A7-AB0CA26806B8}"/>
    <cellStyle name="Currency 5 2 5 5 3 3" xfId="23186" xr:uid="{F90406B0-B75C-4075-B3BB-F6FB9528AECB}"/>
    <cellStyle name="Currency 5 2 5 5 4" xfId="10528" xr:uid="{E121D65A-9580-4FA4-96F6-2D417E8C4B92}"/>
    <cellStyle name="Currency 5 2 5 5 5" xfId="18969" xr:uid="{B458CC68-9F6F-40DE-8411-4550C9F2D347}"/>
    <cellStyle name="Currency 5 2 5 6" xfId="2432" xr:uid="{00000000-0005-0000-0000-0000620C0000}"/>
    <cellStyle name="Currency 5 2 5 6 2" xfId="6717" xr:uid="{00000000-0005-0000-0000-0000630C0000}"/>
    <cellStyle name="Currency 5 2 5 6 2 2" xfId="15159" xr:uid="{A5A6AD32-B139-4B4D-9531-789816469BC7}"/>
    <cellStyle name="Currency 5 2 5 6 2 3" xfId="23599" xr:uid="{F4CE9B16-B1C5-4CB8-914B-CB3C8E6137CF}"/>
    <cellStyle name="Currency 5 2 5 6 3" xfId="10941" xr:uid="{3D3EA423-3035-4E19-9FFF-0838322D522F}"/>
    <cellStyle name="Currency 5 2 5 6 4" xfId="19382" xr:uid="{782043BD-487E-4FC8-90DA-44F35D0065C3}"/>
    <cellStyle name="Currency 5 2 5 7" xfId="2729" xr:uid="{00000000-0005-0000-0000-0000640C0000}"/>
    <cellStyle name="Currency 5 2 5 8" xfId="2810" xr:uid="{00000000-0005-0000-0000-0000650C0000}"/>
    <cellStyle name="Currency 5 2 5 8 2" xfId="7034" xr:uid="{00000000-0005-0000-0000-0000660C0000}"/>
    <cellStyle name="Currency 5 2 5 8 2 2" xfId="15476" xr:uid="{514F972E-9954-4381-99FD-C78206D82756}"/>
    <cellStyle name="Currency 5 2 5 8 2 3" xfId="23916" xr:uid="{B53F26A8-909B-40C8-A302-69822E995D2E}"/>
    <cellStyle name="Currency 5 2 5 8 3" xfId="11258" xr:uid="{C5A29143-3E33-490D-BEC9-A86ED3EE92E3}"/>
    <cellStyle name="Currency 5 2 5 8 4" xfId="19699" xr:uid="{B268D7BF-411A-4CFD-840A-0F54B7EEF31A}"/>
    <cellStyle name="Currency 5 2 5 9" xfId="4651" xr:uid="{00000000-0005-0000-0000-0000670C0000}"/>
    <cellStyle name="Currency 5 2 5 9 2" xfId="13093" xr:uid="{95E49A01-5D82-405E-9F16-850018A7C14E}"/>
    <cellStyle name="Currency 5 2 5 9 3" xfId="21533" xr:uid="{BEA4BDC0-0AD3-4140-9A40-3703561DE87D}"/>
    <cellStyle name="Currency 5 2 6" xfId="208" xr:uid="{00000000-0005-0000-0000-0000680C0000}"/>
    <cellStyle name="Currency 5 2 6 10" xfId="8876" xr:uid="{010A7FF1-9652-4F2B-9642-36B5E5B7BAA5}"/>
    <cellStyle name="Currency 5 2 6 11" xfId="17317" xr:uid="{182B4005-C693-44CC-ABDB-DB109D6D8E22}"/>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15653" xr:uid="{4B387810-0DE8-4331-99E2-A0DF7F9B2D47}"/>
    <cellStyle name="Currency 5 2 6 2 2 2 3" xfId="24093" xr:uid="{2D066F4A-1171-4264-BBCD-11A951849F24}"/>
    <cellStyle name="Currency 5 2 6 2 2 3" xfId="11435" xr:uid="{0A0C6E8B-E360-46BF-B84A-0350107D089F}"/>
    <cellStyle name="Currency 5 2 6 2 2 4" xfId="19876" xr:uid="{0285D1FF-6FAC-4AC0-9ADB-845B15A5159C}"/>
    <cellStyle name="Currency 5 2 6 2 3" xfId="5066" xr:uid="{00000000-0005-0000-0000-00006C0C0000}"/>
    <cellStyle name="Currency 5 2 6 2 3 2" xfId="13508" xr:uid="{85E5AC15-3BB7-4B9B-AD62-49CAC748AC4C}"/>
    <cellStyle name="Currency 5 2 6 2 3 3" xfId="21948" xr:uid="{17E7F868-9940-437C-B7ED-F8D124E2EB49}"/>
    <cellStyle name="Currency 5 2 6 2 4" xfId="9290" xr:uid="{185D9343-3D0B-4823-A25A-9A3EDCB93601}"/>
    <cellStyle name="Currency 5 2 6 2 5" xfId="17731" xr:uid="{3C10B0FD-6247-4AC1-B05D-982F134FBDF8}"/>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16066" xr:uid="{539C266C-9113-4939-BF5E-26B6DAD5AA17}"/>
    <cellStyle name="Currency 5 2 6 3 2 2 3" xfId="24506" xr:uid="{A3A743C2-D3F9-4C9E-92D9-BF2A4EE19A9E}"/>
    <cellStyle name="Currency 5 2 6 3 2 3" xfId="11848" xr:uid="{9592E7FC-6950-4ADD-881D-D509C8C5DFD0}"/>
    <cellStyle name="Currency 5 2 6 3 2 4" xfId="20289" xr:uid="{00B4244A-99AE-48EA-8A91-D4F33D2C34D6}"/>
    <cellStyle name="Currency 5 2 6 3 3" xfId="5479" xr:uid="{00000000-0005-0000-0000-0000700C0000}"/>
    <cellStyle name="Currency 5 2 6 3 3 2" xfId="13921" xr:uid="{AD4B1A1D-5F99-4239-B03D-A2A28BEC3D46}"/>
    <cellStyle name="Currency 5 2 6 3 3 3" xfId="22361" xr:uid="{3F81680C-432E-43A9-9F76-D7ACDE3E4F20}"/>
    <cellStyle name="Currency 5 2 6 3 4" xfId="9703" xr:uid="{EC782162-7714-49F6-BD63-B1F77A158CDD}"/>
    <cellStyle name="Currency 5 2 6 3 5" xfId="18144" xr:uid="{814D9E35-13E2-4E3D-88BA-C2A2CC1BD04F}"/>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16479" xr:uid="{80F1A313-4698-4277-86FE-4EC10B23FE18}"/>
    <cellStyle name="Currency 5 2 6 4 2 2 3" xfId="24919" xr:uid="{688170C1-9EF9-43AD-A206-FB031094B514}"/>
    <cellStyle name="Currency 5 2 6 4 2 3" xfId="12261" xr:uid="{AC9ACC3D-6B7B-4705-B325-BC6147A00C78}"/>
    <cellStyle name="Currency 5 2 6 4 2 4" xfId="20702" xr:uid="{86464208-C2ED-4284-8CF8-FD74DBDAADB6}"/>
    <cellStyle name="Currency 5 2 6 4 3" xfId="5892" xr:uid="{00000000-0005-0000-0000-0000740C0000}"/>
    <cellStyle name="Currency 5 2 6 4 3 2" xfId="14334" xr:uid="{093CE38E-1AA6-47A0-B677-9A36BB610F6B}"/>
    <cellStyle name="Currency 5 2 6 4 3 3" xfId="22774" xr:uid="{B0C34D04-3780-4851-AA1D-881F14C19406}"/>
    <cellStyle name="Currency 5 2 6 4 4" xfId="10116" xr:uid="{01822575-42D6-466B-BF67-95654DE44A2C}"/>
    <cellStyle name="Currency 5 2 6 4 5" xfId="18557" xr:uid="{6A34C970-3099-48B9-BF8D-8DD3C4544FC5}"/>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16892" xr:uid="{7A7845C7-C4AD-4200-A198-F1791132A877}"/>
    <cellStyle name="Currency 5 2 6 5 2 2 3" xfId="25332" xr:uid="{F5D1D2FD-DB78-4263-A39F-44E5502728E9}"/>
    <cellStyle name="Currency 5 2 6 5 2 3" xfId="12674" xr:uid="{FED450B6-3730-4A9E-973E-374EA6D2E8E8}"/>
    <cellStyle name="Currency 5 2 6 5 2 4" xfId="21115" xr:uid="{BCF4F1D5-02AE-4EF6-8EBD-65E348890F09}"/>
    <cellStyle name="Currency 5 2 6 5 3" xfId="6305" xr:uid="{00000000-0005-0000-0000-0000780C0000}"/>
    <cellStyle name="Currency 5 2 6 5 3 2" xfId="14747" xr:uid="{0D684C9B-0402-49AE-8D5C-7071380CDD64}"/>
    <cellStyle name="Currency 5 2 6 5 3 3" xfId="23187" xr:uid="{EA8B8622-2D05-4646-8581-5F50DEC48E77}"/>
    <cellStyle name="Currency 5 2 6 5 4" xfId="10529" xr:uid="{8FC54CD8-6CD5-4A4F-8621-297C0579B3E3}"/>
    <cellStyle name="Currency 5 2 6 5 5" xfId="18970" xr:uid="{7AEBAC8D-D174-46AF-9DB1-FAD86AFAFE70}"/>
    <cellStyle name="Currency 5 2 6 6" xfId="2433" xr:uid="{00000000-0005-0000-0000-0000790C0000}"/>
    <cellStyle name="Currency 5 2 6 6 2" xfId="6718" xr:uid="{00000000-0005-0000-0000-00007A0C0000}"/>
    <cellStyle name="Currency 5 2 6 6 2 2" xfId="15160" xr:uid="{0DDE749C-2290-47BE-B5A5-CA2DEDB89226}"/>
    <cellStyle name="Currency 5 2 6 6 2 3" xfId="23600" xr:uid="{CF6FD581-E213-4F74-B31F-4C827A37979B}"/>
    <cellStyle name="Currency 5 2 6 6 3" xfId="10942" xr:uid="{6B627317-6CBA-49B1-9B4F-489EA8C5720C}"/>
    <cellStyle name="Currency 5 2 6 6 4" xfId="19383" xr:uid="{8A4970FD-906F-4C98-8286-3AA0DA8C8129}"/>
    <cellStyle name="Currency 5 2 6 7" xfId="2730" xr:uid="{00000000-0005-0000-0000-00007B0C0000}"/>
    <cellStyle name="Currency 5 2 6 8" xfId="2811" xr:uid="{00000000-0005-0000-0000-00007C0C0000}"/>
    <cellStyle name="Currency 5 2 6 8 2" xfId="7035" xr:uid="{00000000-0005-0000-0000-00007D0C0000}"/>
    <cellStyle name="Currency 5 2 6 8 2 2" xfId="15477" xr:uid="{08B4CE6B-A631-4A10-9B93-66BA0C48CBF4}"/>
    <cellStyle name="Currency 5 2 6 8 2 3" xfId="23917" xr:uid="{2A9E120C-FE26-470D-BDE2-67BDE0A5DE57}"/>
    <cellStyle name="Currency 5 2 6 8 3" xfId="11259" xr:uid="{2EFBA5B8-E5F0-4272-BD9F-D64229E8A8C8}"/>
    <cellStyle name="Currency 5 2 6 8 4" xfId="19700" xr:uid="{165B8962-7524-4FEB-AF44-1034DC2710C4}"/>
    <cellStyle name="Currency 5 2 6 9" xfId="4652" xr:uid="{00000000-0005-0000-0000-00007E0C0000}"/>
    <cellStyle name="Currency 5 2 6 9 2" xfId="13094" xr:uid="{E5C7294A-E152-4F3F-BBDC-0C168F23CF32}"/>
    <cellStyle name="Currency 5 2 6 9 3" xfId="21534" xr:uid="{3C097E83-6C98-479E-A0B0-FE52EBB0BBA2}"/>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15478" xr:uid="{E4AAB895-46B5-421D-B8D9-D200BE5CFDE3}"/>
    <cellStyle name="Currency 5 3 2 10 2 3" xfId="23918" xr:uid="{4033662E-91CF-4D61-9950-9E338465798A}"/>
    <cellStyle name="Currency 5 3 2 10 3" xfId="11260" xr:uid="{C7163A65-53D2-453F-AABD-2F0A77FBDB39}"/>
    <cellStyle name="Currency 5 3 2 10 4" xfId="19701" xr:uid="{0FAA2FEA-A674-484F-87AA-47E1EFCA495D}"/>
    <cellStyle name="Currency 5 3 2 11" xfId="4653" xr:uid="{00000000-0005-0000-0000-0000840C0000}"/>
    <cellStyle name="Currency 5 3 2 11 2" xfId="13095" xr:uid="{B5535D14-12EE-44F4-B7FC-CC68F6941955}"/>
    <cellStyle name="Currency 5 3 2 11 3" xfId="21535" xr:uid="{08F769B8-1D9C-4E80-8B55-C5E73644F54B}"/>
    <cellStyle name="Currency 5 3 2 12" xfId="8877" xr:uid="{2B2D598D-B7CE-49B8-ABF7-94B432E600F8}"/>
    <cellStyle name="Currency 5 3 2 13" xfId="17318" xr:uid="{07101C0C-658E-4AD7-9E74-FAE6C19AEFDD}"/>
    <cellStyle name="Currency 5 3 2 2" xfId="211" xr:uid="{00000000-0005-0000-0000-0000850C0000}"/>
    <cellStyle name="Currency 5 3 2 2 10" xfId="4654" xr:uid="{00000000-0005-0000-0000-0000860C0000}"/>
    <cellStyle name="Currency 5 3 2 2 10 2" xfId="13096" xr:uid="{3BA5E64B-5319-4633-B637-CD0128582353}"/>
    <cellStyle name="Currency 5 3 2 2 10 3" xfId="21536" xr:uid="{C01941A1-1927-4C76-8097-F26DC0C21008}"/>
    <cellStyle name="Currency 5 3 2 2 11" xfId="8878" xr:uid="{AEA71FEE-7042-4AC9-A121-B68013057E30}"/>
    <cellStyle name="Currency 5 3 2 2 12" xfId="17319" xr:uid="{C763C151-732B-4AFE-B989-B2D59CC60B86}"/>
    <cellStyle name="Currency 5 3 2 2 2" xfId="212" xr:uid="{00000000-0005-0000-0000-0000870C0000}"/>
    <cellStyle name="Currency 5 3 2 2 2 10" xfId="8879" xr:uid="{D3027871-A909-4AD7-9A90-C9B811705A57}"/>
    <cellStyle name="Currency 5 3 2 2 2 11" xfId="17320" xr:uid="{A457F6C8-726A-43A4-8B9B-C8487DB3CACC}"/>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15656" xr:uid="{4EF77765-4276-4CAA-9D26-5758CC5CE148}"/>
    <cellStyle name="Currency 5 3 2 2 2 2 2 2 3" xfId="24096" xr:uid="{54006584-60B9-4EA2-962E-439444CAC33E}"/>
    <cellStyle name="Currency 5 3 2 2 2 2 2 3" xfId="11438" xr:uid="{C5FE9158-A949-41AF-BF6A-1A896E7E63BD}"/>
    <cellStyle name="Currency 5 3 2 2 2 2 2 4" xfId="19879" xr:uid="{B3939921-8EA3-4075-94BC-ADEBB66A1E2F}"/>
    <cellStyle name="Currency 5 3 2 2 2 2 3" xfId="5069" xr:uid="{00000000-0005-0000-0000-00008B0C0000}"/>
    <cellStyle name="Currency 5 3 2 2 2 2 3 2" xfId="13511" xr:uid="{86183206-29DD-4BCA-9E83-3CCA9536B621}"/>
    <cellStyle name="Currency 5 3 2 2 2 2 3 3" xfId="21951" xr:uid="{40B59CEF-0FB8-41DE-A7ED-5FDB758419B8}"/>
    <cellStyle name="Currency 5 3 2 2 2 2 4" xfId="9293" xr:uid="{49D7EA66-788A-4BDA-98ED-96D9300A8F6C}"/>
    <cellStyle name="Currency 5 3 2 2 2 2 5" xfId="17734" xr:uid="{F8FE7069-10D8-4B31-AD88-B6E50274E067}"/>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16069" xr:uid="{7369A9B1-6F31-4E7E-813F-DCBE10A0E55E}"/>
    <cellStyle name="Currency 5 3 2 2 2 3 2 2 3" xfId="24509" xr:uid="{A5DCD58D-2548-4451-ADD5-1B51CF4D4468}"/>
    <cellStyle name="Currency 5 3 2 2 2 3 2 3" xfId="11851" xr:uid="{7D39A8BD-50B3-4B12-B99E-AC8DC3E07D09}"/>
    <cellStyle name="Currency 5 3 2 2 2 3 2 4" xfId="20292" xr:uid="{0C4AE0DB-B0D0-4EC7-981C-FCC583109268}"/>
    <cellStyle name="Currency 5 3 2 2 2 3 3" xfId="5482" xr:uid="{00000000-0005-0000-0000-00008F0C0000}"/>
    <cellStyle name="Currency 5 3 2 2 2 3 3 2" xfId="13924" xr:uid="{E49967CD-374B-4996-8C67-7F83417C9BFF}"/>
    <cellStyle name="Currency 5 3 2 2 2 3 3 3" xfId="22364" xr:uid="{8C18C387-82D8-4253-811A-3A1BC23E461D}"/>
    <cellStyle name="Currency 5 3 2 2 2 3 4" xfId="9706" xr:uid="{1E0C8E96-6130-4BBB-A7F3-5450C01082B2}"/>
    <cellStyle name="Currency 5 3 2 2 2 3 5" xfId="18147" xr:uid="{C9242361-77CE-4A68-85C6-23B6187F5ABF}"/>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16482" xr:uid="{3FE1848B-C0D5-4553-998C-722A15952529}"/>
    <cellStyle name="Currency 5 3 2 2 2 4 2 2 3" xfId="24922" xr:uid="{1318D917-4AF1-4BA8-B115-70E4C33432CE}"/>
    <cellStyle name="Currency 5 3 2 2 2 4 2 3" xfId="12264" xr:uid="{621C81C9-3EBA-499A-B286-3BF36073765B}"/>
    <cellStyle name="Currency 5 3 2 2 2 4 2 4" xfId="20705" xr:uid="{45DCBD70-1105-4548-B69B-FECEA78A6AB4}"/>
    <cellStyle name="Currency 5 3 2 2 2 4 3" xfId="5895" xr:uid="{00000000-0005-0000-0000-0000930C0000}"/>
    <cellStyle name="Currency 5 3 2 2 2 4 3 2" xfId="14337" xr:uid="{EAFADFCE-8B50-4CBB-97F4-CBEC8048AA40}"/>
    <cellStyle name="Currency 5 3 2 2 2 4 3 3" xfId="22777" xr:uid="{042C80E3-26E2-4C27-9C12-5AC60604EF69}"/>
    <cellStyle name="Currency 5 3 2 2 2 4 4" xfId="10119" xr:uid="{0C18F8C7-EAE9-4636-B942-F3D9F5EC409F}"/>
    <cellStyle name="Currency 5 3 2 2 2 4 5" xfId="18560" xr:uid="{86893BA7-F9E0-4CD4-81C2-37A619C17ECC}"/>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16895" xr:uid="{57FE0B36-3A9E-4519-BB61-40C8CC31E390}"/>
    <cellStyle name="Currency 5 3 2 2 2 5 2 2 3" xfId="25335" xr:uid="{8EF7343F-44C7-4907-A665-46B8364DBF81}"/>
    <cellStyle name="Currency 5 3 2 2 2 5 2 3" xfId="12677" xr:uid="{5B34E226-F3BD-4FE3-B681-9E1079F3EB04}"/>
    <cellStyle name="Currency 5 3 2 2 2 5 2 4" xfId="21118" xr:uid="{F4C07B15-693A-4454-A824-65352AFACE79}"/>
    <cellStyle name="Currency 5 3 2 2 2 5 3" xfId="6308" xr:uid="{00000000-0005-0000-0000-0000970C0000}"/>
    <cellStyle name="Currency 5 3 2 2 2 5 3 2" xfId="14750" xr:uid="{C59B6A9B-7492-4E5E-8F1D-BA244F25F0C5}"/>
    <cellStyle name="Currency 5 3 2 2 2 5 3 3" xfId="23190" xr:uid="{08116047-FBEA-4C31-9823-D2208E70BFE7}"/>
    <cellStyle name="Currency 5 3 2 2 2 5 4" xfId="10532" xr:uid="{0993A27B-3A9B-4BB2-8F86-099A073B4F16}"/>
    <cellStyle name="Currency 5 3 2 2 2 5 5" xfId="18973" xr:uid="{1417DE52-CDA1-447B-A897-571BE901CA3A}"/>
    <cellStyle name="Currency 5 3 2 2 2 6" xfId="2436" xr:uid="{00000000-0005-0000-0000-0000980C0000}"/>
    <cellStyle name="Currency 5 3 2 2 2 6 2" xfId="6721" xr:uid="{00000000-0005-0000-0000-0000990C0000}"/>
    <cellStyle name="Currency 5 3 2 2 2 6 2 2" xfId="15163" xr:uid="{FA98858A-B41E-4849-9990-D735117A672E}"/>
    <cellStyle name="Currency 5 3 2 2 2 6 2 3" xfId="23603" xr:uid="{913A45B5-CF9B-4A05-A590-C1F114BF0548}"/>
    <cellStyle name="Currency 5 3 2 2 2 6 3" xfId="10945" xr:uid="{7CEB5B17-314B-4618-9493-22A39B71DB98}"/>
    <cellStyle name="Currency 5 3 2 2 2 6 4" xfId="19386" xr:uid="{D9E3AC47-B083-4706-AD04-59AA86E1C1CF}"/>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15480" xr:uid="{7F2937C3-D311-4538-916B-E9C07E2D7C4E}"/>
    <cellStyle name="Currency 5 3 2 2 2 8 2 3" xfId="23920" xr:uid="{F8070552-B9EE-4FC2-ABB7-B1430CA27925}"/>
    <cellStyle name="Currency 5 3 2 2 2 8 3" xfId="11262" xr:uid="{2B3E9983-788F-4DDA-93CE-B158A489174D}"/>
    <cellStyle name="Currency 5 3 2 2 2 8 4" xfId="19703" xr:uid="{F91C9DFC-5F55-483F-A5FD-8A1C6F908444}"/>
    <cellStyle name="Currency 5 3 2 2 2 9" xfId="4655" xr:uid="{00000000-0005-0000-0000-00009D0C0000}"/>
    <cellStyle name="Currency 5 3 2 2 2 9 2" xfId="13097" xr:uid="{D358A34C-8E31-44D3-9CD6-B7E58238CD68}"/>
    <cellStyle name="Currency 5 3 2 2 2 9 3" xfId="21537" xr:uid="{27C610DC-CAFE-40CD-B8C0-4F91FF1F38BB}"/>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15655" xr:uid="{83575334-1B3E-4375-83C5-073413BAFC6E}"/>
    <cellStyle name="Currency 5 3 2 2 3 2 2 3" xfId="24095" xr:uid="{72AEE901-8655-41DA-A427-6BC28E8351C1}"/>
    <cellStyle name="Currency 5 3 2 2 3 2 3" xfId="11437" xr:uid="{B7CDDEA6-8C94-451D-B209-2F7AE0FFFE94}"/>
    <cellStyle name="Currency 5 3 2 2 3 2 4" xfId="19878" xr:uid="{49DD289F-F90F-49D8-9CA7-82D54849619D}"/>
    <cellStyle name="Currency 5 3 2 2 3 3" xfId="5068" xr:uid="{00000000-0005-0000-0000-0000A10C0000}"/>
    <cellStyle name="Currency 5 3 2 2 3 3 2" xfId="13510" xr:uid="{4237D746-E137-4867-A133-DF42E5CECF06}"/>
    <cellStyle name="Currency 5 3 2 2 3 3 3" xfId="21950" xr:uid="{2AD16C6B-3FAB-4741-9172-53EE5C79AF14}"/>
    <cellStyle name="Currency 5 3 2 2 3 4" xfId="9292" xr:uid="{CB893307-2444-4D49-8D34-7F5813D17021}"/>
    <cellStyle name="Currency 5 3 2 2 3 5" xfId="17733" xr:uid="{40EB88FF-7B1A-4358-8EF0-CDA9D30883F7}"/>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16068" xr:uid="{95BBD6C8-9388-45F5-8668-8D2AB624BB2A}"/>
    <cellStyle name="Currency 5 3 2 2 4 2 2 3" xfId="24508" xr:uid="{111AFBA0-B409-4BDA-B617-BA017DC4D73F}"/>
    <cellStyle name="Currency 5 3 2 2 4 2 3" xfId="11850" xr:uid="{E539EB04-871C-475D-8956-FAE63BEEED31}"/>
    <cellStyle name="Currency 5 3 2 2 4 2 4" xfId="20291" xr:uid="{BD9A670A-DAA5-4290-B641-DECF15E03B5F}"/>
    <cellStyle name="Currency 5 3 2 2 4 3" xfId="5481" xr:uid="{00000000-0005-0000-0000-0000A50C0000}"/>
    <cellStyle name="Currency 5 3 2 2 4 3 2" xfId="13923" xr:uid="{CC1AB774-0D85-44A5-AC8B-850CCF1E64DB}"/>
    <cellStyle name="Currency 5 3 2 2 4 3 3" xfId="22363" xr:uid="{D78C5112-9ACE-4292-81BA-ACDF4B8D1CFC}"/>
    <cellStyle name="Currency 5 3 2 2 4 4" xfId="9705" xr:uid="{D36772A9-FEF4-488A-A970-3D50BFA8D469}"/>
    <cellStyle name="Currency 5 3 2 2 4 5" xfId="18146" xr:uid="{C70D24AA-91A4-412A-81BB-2CD61046DB0D}"/>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16481" xr:uid="{77E05DCF-186C-4450-8D4B-5CDA23D2CEF8}"/>
    <cellStyle name="Currency 5 3 2 2 5 2 2 3" xfId="24921" xr:uid="{52FA6E96-5A75-4FF2-8EE8-B439864A55DA}"/>
    <cellStyle name="Currency 5 3 2 2 5 2 3" xfId="12263" xr:uid="{3F200053-FCA6-4D54-BCAB-748CE3C17D2E}"/>
    <cellStyle name="Currency 5 3 2 2 5 2 4" xfId="20704" xr:uid="{6954A3AE-EEA7-4206-8EAC-94CD05F78D27}"/>
    <cellStyle name="Currency 5 3 2 2 5 3" xfId="5894" xr:uid="{00000000-0005-0000-0000-0000A90C0000}"/>
    <cellStyle name="Currency 5 3 2 2 5 3 2" xfId="14336" xr:uid="{6EBA20DC-144F-44CE-9DF0-EC55921999BB}"/>
    <cellStyle name="Currency 5 3 2 2 5 3 3" xfId="22776" xr:uid="{7E90B32D-A2D5-4510-8502-0FD938A6ECF3}"/>
    <cellStyle name="Currency 5 3 2 2 5 4" xfId="10118" xr:uid="{2881546F-9A88-4E65-AD11-96E0A17CA85F}"/>
    <cellStyle name="Currency 5 3 2 2 5 5" xfId="18559" xr:uid="{6CAA7476-071E-4D49-BA6F-FDFE6BE6E549}"/>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16894" xr:uid="{010C4F64-5763-4396-91E2-AB4EAE09012C}"/>
    <cellStyle name="Currency 5 3 2 2 6 2 2 3" xfId="25334" xr:uid="{45154D25-71F5-4058-877D-01FA92B11FFB}"/>
    <cellStyle name="Currency 5 3 2 2 6 2 3" xfId="12676" xr:uid="{CB813EB6-210F-4B06-8F7F-6D816881F51E}"/>
    <cellStyle name="Currency 5 3 2 2 6 2 4" xfId="21117" xr:uid="{9614C190-EC42-4F30-8070-220323F50D69}"/>
    <cellStyle name="Currency 5 3 2 2 6 3" xfId="6307" xr:uid="{00000000-0005-0000-0000-0000AD0C0000}"/>
    <cellStyle name="Currency 5 3 2 2 6 3 2" xfId="14749" xr:uid="{CFFA4FF4-204C-4702-8B4C-FCEB2E3FB8E8}"/>
    <cellStyle name="Currency 5 3 2 2 6 3 3" xfId="23189" xr:uid="{0DF22951-A7F9-4286-B288-FACF6D5751B9}"/>
    <cellStyle name="Currency 5 3 2 2 6 4" xfId="10531" xr:uid="{75E05312-C516-4C86-A962-2901E5E9A063}"/>
    <cellStyle name="Currency 5 3 2 2 6 5" xfId="18972" xr:uid="{E17AA6C8-AA4B-42E4-84ED-15D60E936511}"/>
    <cellStyle name="Currency 5 3 2 2 7" xfId="2435" xr:uid="{00000000-0005-0000-0000-0000AE0C0000}"/>
    <cellStyle name="Currency 5 3 2 2 7 2" xfId="6720" xr:uid="{00000000-0005-0000-0000-0000AF0C0000}"/>
    <cellStyle name="Currency 5 3 2 2 7 2 2" xfId="15162" xr:uid="{77B12D09-082B-4F73-AB2A-7E93B5DC0D89}"/>
    <cellStyle name="Currency 5 3 2 2 7 2 3" xfId="23602" xr:uid="{1BBAFD0A-BA8C-4964-92AB-5B12D19EC764}"/>
    <cellStyle name="Currency 5 3 2 2 7 3" xfId="10944" xr:uid="{39C0144C-67AE-4715-B631-D44D2AD1032A}"/>
    <cellStyle name="Currency 5 3 2 2 7 4" xfId="19385" xr:uid="{0D0816C6-8EEE-4363-952A-B4A09925838C}"/>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15479" xr:uid="{E9D9636B-1094-4BBE-A2F4-9EF62C569422}"/>
    <cellStyle name="Currency 5 3 2 2 9 2 3" xfId="23919" xr:uid="{8D721E8F-EBB0-438A-B110-2D2529256152}"/>
    <cellStyle name="Currency 5 3 2 2 9 3" xfId="11261" xr:uid="{CE2DF380-90D2-4C7D-987E-091B22B20A39}"/>
    <cellStyle name="Currency 5 3 2 2 9 4" xfId="19702" xr:uid="{B3C2DB72-92F5-4511-A3DE-9943D62CC110}"/>
    <cellStyle name="Currency 5 3 2 3" xfId="213" xr:uid="{00000000-0005-0000-0000-0000B30C0000}"/>
    <cellStyle name="Currency 5 3 2 3 10" xfId="8880" xr:uid="{6BD91088-02E0-4A52-9A57-ADEF48AC1AF6}"/>
    <cellStyle name="Currency 5 3 2 3 11" xfId="17321" xr:uid="{8470E206-C7C5-4D4F-B855-FA5D6F0A16EC}"/>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15657" xr:uid="{0485E59B-C614-4198-A4D6-C6BAF9F6A7C8}"/>
    <cellStyle name="Currency 5 3 2 3 2 2 2 3" xfId="24097" xr:uid="{782157C9-FE3D-40CD-BF88-FCA2F7B07B46}"/>
    <cellStyle name="Currency 5 3 2 3 2 2 3" xfId="11439" xr:uid="{1A504B74-FF22-4D9B-8B6D-73648BF8FAD8}"/>
    <cellStyle name="Currency 5 3 2 3 2 2 4" xfId="19880" xr:uid="{A171FFB0-521C-49F6-A5DF-A343A25032FA}"/>
    <cellStyle name="Currency 5 3 2 3 2 3" xfId="5070" xr:uid="{00000000-0005-0000-0000-0000B70C0000}"/>
    <cellStyle name="Currency 5 3 2 3 2 3 2" xfId="13512" xr:uid="{D24A34C9-B1DD-4D23-B2E3-000BC84C3033}"/>
    <cellStyle name="Currency 5 3 2 3 2 3 3" xfId="21952" xr:uid="{0565F57F-ACF6-4077-A4C1-9760A45C1785}"/>
    <cellStyle name="Currency 5 3 2 3 2 4" xfId="9294" xr:uid="{331440FA-2DF2-49CB-9A74-D0B7BC293A71}"/>
    <cellStyle name="Currency 5 3 2 3 2 5" xfId="17735" xr:uid="{58BB2B78-965F-40D3-9A58-7C3C59464544}"/>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16070" xr:uid="{DECA40DB-A4D7-4B86-8397-37F85DB2FC19}"/>
    <cellStyle name="Currency 5 3 2 3 3 2 2 3" xfId="24510" xr:uid="{E028411B-3487-49FA-80DE-405E27E6C55F}"/>
    <cellStyle name="Currency 5 3 2 3 3 2 3" xfId="11852" xr:uid="{4736A0CA-6210-4165-B6E3-F663F95CD487}"/>
    <cellStyle name="Currency 5 3 2 3 3 2 4" xfId="20293" xr:uid="{525C86F3-50FA-4472-86E9-3D9DAB7C0CE5}"/>
    <cellStyle name="Currency 5 3 2 3 3 3" xfId="5483" xr:uid="{00000000-0005-0000-0000-0000BB0C0000}"/>
    <cellStyle name="Currency 5 3 2 3 3 3 2" xfId="13925" xr:uid="{3CA1404C-9DDB-467A-AEC3-D2E3409F6BDD}"/>
    <cellStyle name="Currency 5 3 2 3 3 3 3" xfId="22365" xr:uid="{70D787C0-A1EC-44EE-B495-43EBDCB12E89}"/>
    <cellStyle name="Currency 5 3 2 3 3 4" xfId="9707" xr:uid="{5028AFA3-8954-47B9-BD39-D4898D605212}"/>
    <cellStyle name="Currency 5 3 2 3 3 5" xfId="18148" xr:uid="{E86015FE-7EA5-4375-909F-E3759BB1C4F4}"/>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16483" xr:uid="{78CFC7B0-CA1C-474A-B03E-BBE597000A46}"/>
    <cellStyle name="Currency 5 3 2 3 4 2 2 3" xfId="24923" xr:uid="{78AABD6E-5B2B-4E1D-9562-782B4A3470BF}"/>
    <cellStyle name="Currency 5 3 2 3 4 2 3" xfId="12265" xr:uid="{283CA480-638C-4F4F-A835-4389294011BC}"/>
    <cellStyle name="Currency 5 3 2 3 4 2 4" xfId="20706" xr:uid="{0B70BAE8-E8EC-46C4-AE7F-DB7F8BE26715}"/>
    <cellStyle name="Currency 5 3 2 3 4 3" xfId="5896" xr:uid="{00000000-0005-0000-0000-0000BF0C0000}"/>
    <cellStyle name="Currency 5 3 2 3 4 3 2" xfId="14338" xr:uid="{A19D9737-C1D4-4FD0-815F-99F5334097B6}"/>
    <cellStyle name="Currency 5 3 2 3 4 3 3" xfId="22778" xr:uid="{8FF1CABE-709B-4899-9881-127B57F7D2ED}"/>
    <cellStyle name="Currency 5 3 2 3 4 4" xfId="10120" xr:uid="{F03CA4EF-13DA-468A-975C-011E02C7FDD3}"/>
    <cellStyle name="Currency 5 3 2 3 4 5" xfId="18561" xr:uid="{12AFC4FF-9575-42FC-9DF9-1DDF7D18E1DA}"/>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16896" xr:uid="{D5948F04-A8EC-4CDD-85FE-388D4C2C44F0}"/>
    <cellStyle name="Currency 5 3 2 3 5 2 2 3" xfId="25336" xr:uid="{8DBC7566-FC7D-499A-A415-1105647729F5}"/>
    <cellStyle name="Currency 5 3 2 3 5 2 3" xfId="12678" xr:uid="{5783FC56-6BE0-47E3-B27C-7F90F3FC0018}"/>
    <cellStyle name="Currency 5 3 2 3 5 2 4" xfId="21119" xr:uid="{10E6CA91-364C-4F4D-9B1F-E565940699A7}"/>
    <cellStyle name="Currency 5 3 2 3 5 3" xfId="6309" xr:uid="{00000000-0005-0000-0000-0000C30C0000}"/>
    <cellStyle name="Currency 5 3 2 3 5 3 2" xfId="14751" xr:uid="{B583147C-8565-4FD9-B319-CD2E5129378D}"/>
    <cellStyle name="Currency 5 3 2 3 5 3 3" xfId="23191" xr:uid="{4BECE735-6E16-4BF2-8B24-1CE4ADF599BC}"/>
    <cellStyle name="Currency 5 3 2 3 5 4" xfId="10533" xr:uid="{1DD8A729-4DBB-4617-A3F3-B1965B55F2E7}"/>
    <cellStyle name="Currency 5 3 2 3 5 5" xfId="18974" xr:uid="{1BDBE224-8908-4052-AA8C-D382202DFA8D}"/>
    <cellStyle name="Currency 5 3 2 3 6" xfId="2437" xr:uid="{00000000-0005-0000-0000-0000C40C0000}"/>
    <cellStyle name="Currency 5 3 2 3 6 2" xfId="6722" xr:uid="{00000000-0005-0000-0000-0000C50C0000}"/>
    <cellStyle name="Currency 5 3 2 3 6 2 2" xfId="15164" xr:uid="{2CA24A26-EC23-400E-946C-16EB7C72DC48}"/>
    <cellStyle name="Currency 5 3 2 3 6 2 3" xfId="23604" xr:uid="{224CEA25-2712-4F82-8961-05BAB953B7E3}"/>
    <cellStyle name="Currency 5 3 2 3 6 3" xfId="10946" xr:uid="{DFD052D7-6DEC-4900-BC94-D0C0BE8DD49D}"/>
    <cellStyle name="Currency 5 3 2 3 6 4" xfId="19387" xr:uid="{4BE44CBA-0226-4A9C-B12F-7AE111903515}"/>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15481" xr:uid="{CBEA9602-F011-40BE-AFC2-A7C78566FCC8}"/>
    <cellStyle name="Currency 5 3 2 3 8 2 3" xfId="23921" xr:uid="{F0F8AC3B-519D-47B8-8385-1D1BB5485A9A}"/>
    <cellStyle name="Currency 5 3 2 3 8 3" xfId="11263" xr:uid="{D0023FD8-1CAF-4120-B5FB-4C498BEC46F1}"/>
    <cellStyle name="Currency 5 3 2 3 8 4" xfId="19704" xr:uid="{A8CE4F22-93CB-4A42-8AB9-38533CC42D98}"/>
    <cellStyle name="Currency 5 3 2 3 9" xfId="4656" xr:uid="{00000000-0005-0000-0000-0000C90C0000}"/>
    <cellStyle name="Currency 5 3 2 3 9 2" xfId="13098" xr:uid="{E59DF92B-73A9-4B36-829A-F2DE476AC4E2}"/>
    <cellStyle name="Currency 5 3 2 3 9 3" xfId="21538" xr:uid="{7B11194A-C743-4955-B5BA-EBAE5A7E1FB9}"/>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15654" xr:uid="{6F74C781-6772-4E3B-A883-53D6CE8CE1BA}"/>
    <cellStyle name="Currency 5 3 2 4 2 2 3" xfId="24094" xr:uid="{D926A667-7C4C-4599-942A-8D36B97B9BEB}"/>
    <cellStyle name="Currency 5 3 2 4 2 3" xfId="11436" xr:uid="{641BA61D-704D-48DD-8492-227A7A7A30E8}"/>
    <cellStyle name="Currency 5 3 2 4 2 4" xfId="19877" xr:uid="{FCB12CDD-1A42-416B-919D-6CB319F963B1}"/>
    <cellStyle name="Currency 5 3 2 4 3" xfId="5067" xr:uid="{00000000-0005-0000-0000-0000CD0C0000}"/>
    <cellStyle name="Currency 5 3 2 4 3 2" xfId="13509" xr:uid="{E96227DC-4991-4589-91D7-D381D69B24DD}"/>
    <cellStyle name="Currency 5 3 2 4 3 3" xfId="21949" xr:uid="{0F98D4CE-C69A-4BC0-A201-F95746316511}"/>
    <cellStyle name="Currency 5 3 2 4 4" xfId="9291" xr:uid="{43B8DD4F-6F36-4895-B568-3855F4A2CA19}"/>
    <cellStyle name="Currency 5 3 2 4 5" xfId="17732" xr:uid="{6B17774D-CAEB-4732-A914-9B6EDBFB4E8B}"/>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16067" xr:uid="{AAF564AE-D71A-4AE8-8A60-FFAEC77A3170}"/>
    <cellStyle name="Currency 5 3 2 5 2 2 3" xfId="24507" xr:uid="{4A399FEE-69ED-4525-8410-2665E938EC15}"/>
    <cellStyle name="Currency 5 3 2 5 2 3" xfId="11849" xr:uid="{BE5D3D6C-3626-44D7-8FF2-3B6821F48507}"/>
    <cellStyle name="Currency 5 3 2 5 2 4" xfId="20290" xr:uid="{2AB75EEE-ADC6-448B-B43B-C13D1DD0BB5D}"/>
    <cellStyle name="Currency 5 3 2 5 3" xfId="5480" xr:uid="{00000000-0005-0000-0000-0000D10C0000}"/>
    <cellStyle name="Currency 5 3 2 5 3 2" xfId="13922" xr:uid="{FACFF2F6-07ED-44C4-9D96-36553371AAF0}"/>
    <cellStyle name="Currency 5 3 2 5 3 3" xfId="22362" xr:uid="{D8031CDE-74A7-4509-9F71-A62387116AAF}"/>
    <cellStyle name="Currency 5 3 2 5 4" xfId="9704" xr:uid="{4C5A3A34-DBEC-48C1-83C8-5D2A73E31EFF}"/>
    <cellStyle name="Currency 5 3 2 5 5" xfId="18145" xr:uid="{4C029CEF-0432-401B-9420-9E3D6A882FE3}"/>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16480" xr:uid="{49B17C0E-B32F-42E3-8B9E-7C84B4F465E0}"/>
    <cellStyle name="Currency 5 3 2 6 2 2 3" xfId="24920" xr:uid="{D67C12B0-C43E-4613-82DA-6726E4D6F1FF}"/>
    <cellStyle name="Currency 5 3 2 6 2 3" xfId="12262" xr:uid="{1062843F-C0EB-474E-8E2A-62B4F1D7F474}"/>
    <cellStyle name="Currency 5 3 2 6 2 4" xfId="20703" xr:uid="{C124A189-B27E-4AE1-BD4E-E232102B44DE}"/>
    <cellStyle name="Currency 5 3 2 6 3" xfId="5893" xr:uid="{00000000-0005-0000-0000-0000D50C0000}"/>
    <cellStyle name="Currency 5 3 2 6 3 2" xfId="14335" xr:uid="{60B68EAD-FD80-416A-A09B-CF7B69F8557C}"/>
    <cellStyle name="Currency 5 3 2 6 3 3" xfId="22775" xr:uid="{D33DD523-92FB-4875-A46D-FB3FED15B33A}"/>
    <cellStyle name="Currency 5 3 2 6 4" xfId="10117" xr:uid="{34069EFE-9417-45B0-944D-1C1FA9B98D33}"/>
    <cellStyle name="Currency 5 3 2 6 5" xfId="18558" xr:uid="{49E7D52E-FD36-41D6-B846-8FF63EA2E8EF}"/>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16893" xr:uid="{80B76CFE-6BB3-424B-A7A9-01BCE0401E29}"/>
    <cellStyle name="Currency 5 3 2 7 2 2 3" xfId="25333" xr:uid="{D9984554-E57A-4816-A7EF-31947AA5899B}"/>
    <cellStyle name="Currency 5 3 2 7 2 3" xfId="12675" xr:uid="{4657C838-B607-419C-B685-1E15239A1B7B}"/>
    <cellStyle name="Currency 5 3 2 7 2 4" xfId="21116" xr:uid="{1AC3F592-26C5-4859-A5E3-DA21A97D8456}"/>
    <cellStyle name="Currency 5 3 2 7 3" xfId="6306" xr:uid="{00000000-0005-0000-0000-0000D90C0000}"/>
    <cellStyle name="Currency 5 3 2 7 3 2" xfId="14748" xr:uid="{8715046A-A73A-4A4A-B1C4-DDE927A77BC1}"/>
    <cellStyle name="Currency 5 3 2 7 3 3" xfId="23188" xr:uid="{B23CD8E0-C362-422F-82DA-ED5B1905DE08}"/>
    <cellStyle name="Currency 5 3 2 7 4" xfId="10530" xr:uid="{CC89E46B-7205-448C-BA98-2E9A50965333}"/>
    <cellStyle name="Currency 5 3 2 7 5" xfId="18971" xr:uid="{CAE26C61-1612-4D18-BBF8-1B95729207B7}"/>
    <cellStyle name="Currency 5 3 2 8" xfId="2434" xr:uid="{00000000-0005-0000-0000-0000DA0C0000}"/>
    <cellStyle name="Currency 5 3 2 8 2" xfId="6719" xr:uid="{00000000-0005-0000-0000-0000DB0C0000}"/>
    <cellStyle name="Currency 5 3 2 8 2 2" xfId="15161" xr:uid="{B63E1860-052C-4FBC-9D8E-C0C672A3162E}"/>
    <cellStyle name="Currency 5 3 2 8 2 3" xfId="23601" xr:uid="{BDAC4FD3-8C0B-4D10-80CE-077EF538F73E}"/>
    <cellStyle name="Currency 5 3 2 8 3" xfId="10943" xr:uid="{3139F1A8-9F5D-45C5-AE79-3EF2A53982F0}"/>
    <cellStyle name="Currency 5 3 2 8 4" xfId="19384" xr:uid="{F1DB16DE-DB97-4EC9-BA72-A08505C1395A}"/>
    <cellStyle name="Currency 5 3 2 9" xfId="2731" xr:uid="{00000000-0005-0000-0000-0000DC0C0000}"/>
    <cellStyle name="Currency 5 3 3" xfId="214" xr:uid="{00000000-0005-0000-0000-0000DD0C0000}"/>
    <cellStyle name="Currency 5 3 3 10" xfId="4657" xr:uid="{00000000-0005-0000-0000-0000DE0C0000}"/>
    <cellStyle name="Currency 5 3 3 10 2" xfId="13099" xr:uid="{FF2A8BEB-75BF-435A-A7F1-A011B78FE6AF}"/>
    <cellStyle name="Currency 5 3 3 10 3" xfId="21539" xr:uid="{197EE573-61B7-4510-A8D0-6FDC784F2750}"/>
    <cellStyle name="Currency 5 3 3 11" xfId="8881" xr:uid="{EF49BA6C-25FE-4D8E-BC4B-429F1AAE7695}"/>
    <cellStyle name="Currency 5 3 3 12" xfId="17322" xr:uid="{BF2FCE45-2E5F-4862-A439-F36F4240F386}"/>
    <cellStyle name="Currency 5 3 3 2" xfId="215" xr:uid="{00000000-0005-0000-0000-0000DF0C0000}"/>
    <cellStyle name="Currency 5 3 3 2 10" xfId="8882" xr:uid="{45F6AF48-28F8-4276-BA1E-B3CE79BF4304}"/>
    <cellStyle name="Currency 5 3 3 2 11" xfId="17323" xr:uid="{CF980A4C-8059-4ED1-954F-0BA56EE0023F}"/>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15659" xr:uid="{7F7E023D-6249-4A49-89B0-6B6BF6E02977}"/>
    <cellStyle name="Currency 5 3 3 2 2 2 2 3" xfId="24099" xr:uid="{AA2FBB1A-6327-4365-ACFA-8FF642D3C923}"/>
    <cellStyle name="Currency 5 3 3 2 2 2 3" xfId="11441" xr:uid="{65C6902E-A8E3-4C63-A7DA-57211CE113CA}"/>
    <cellStyle name="Currency 5 3 3 2 2 2 4" xfId="19882" xr:uid="{0988DBDA-0F0B-4D26-8AA9-54608A2228C7}"/>
    <cellStyle name="Currency 5 3 3 2 2 3" xfId="5072" xr:uid="{00000000-0005-0000-0000-0000E30C0000}"/>
    <cellStyle name="Currency 5 3 3 2 2 3 2" xfId="13514" xr:uid="{6EB307DA-FEF1-430E-ADE1-C511FCC6E32D}"/>
    <cellStyle name="Currency 5 3 3 2 2 3 3" xfId="21954" xr:uid="{E37E7777-422D-49C7-8DA1-7310D97DA1EC}"/>
    <cellStyle name="Currency 5 3 3 2 2 4" xfId="9296" xr:uid="{EF4B4CF0-2DB5-4818-A6B3-5E7FDC00F211}"/>
    <cellStyle name="Currency 5 3 3 2 2 5" xfId="17737" xr:uid="{7AD185CB-ACA0-4E54-B0EF-8275A1ABBFCC}"/>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16072" xr:uid="{7C16880C-3EEE-4C1F-A08D-2219499D87F0}"/>
    <cellStyle name="Currency 5 3 3 2 3 2 2 3" xfId="24512" xr:uid="{5BCD6B45-0219-4F6F-A028-442F4F431F6B}"/>
    <cellStyle name="Currency 5 3 3 2 3 2 3" xfId="11854" xr:uid="{9B63B724-863C-4DBC-A58E-CFD7AF816996}"/>
    <cellStyle name="Currency 5 3 3 2 3 2 4" xfId="20295" xr:uid="{4BD7C8FE-7FAD-4CBE-8895-81CE31A74761}"/>
    <cellStyle name="Currency 5 3 3 2 3 3" xfId="5485" xr:uid="{00000000-0005-0000-0000-0000E70C0000}"/>
    <cellStyle name="Currency 5 3 3 2 3 3 2" xfId="13927" xr:uid="{5C47EC45-2EDF-4F21-9E0C-3C47EE62B810}"/>
    <cellStyle name="Currency 5 3 3 2 3 3 3" xfId="22367" xr:uid="{9D45BCC0-CB02-47BD-8DA3-B2B35C86EF08}"/>
    <cellStyle name="Currency 5 3 3 2 3 4" xfId="9709" xr:uid="{D0EF5431-2503-4A39-9964-7FCB778A53C6}"/>
    <cellStyle name="Currency 5 3 3 2 3 5" xfId="18150" xr:uid="{3027B871-B795-40BB-9ABC-1918C8C16D36}"/>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16485" xr:uid="{7C1C666E-DD67-482B-8847-2EE396950866}"/>
    <cellStyle name="Currency 5 3 3 2 4 2 2 3" xfId="24925" xr:uid="{C681B7CE-CF99-47D0-8708-E9DA6F2337DD}"/>
    <cellStyle name="Currency 5 3 3 2 4 2 3" xfId="12267" xr:uid="{3D44DB2F-D748-458F-BF32-342601A16DCC}"/>
    <cellStyle name="Currency 5 3 3 2 4 2 4" xfId="20708" xr:uid="{F4A78E08-3EBE-4C6F-A3F1-9504569B7841}"/>
    <cellStyle name="Currency 5 3 3 2 4 3" xfId="5898" xr:uid="{00000000-0005-0000-0000-0000EB0C0000}"/>
    <cellStyle name="Currency 5 3 3 2 4 3 2" xfId="14340" xr:uid="{2C772546-CB68-462C-A99E-FC0793C3FC7D}"/>
    <cellStyle name="Currency 5 3 3 2 4 3 3" xfId="22780" xr:uid="{0BE896DF-1A9F-4824-A9EB-9954E6388FF8}"/>
    <cellStyle name="Currency 5 3 3 2 4 4" xfId="10122" xr:uid="{77007ED5-B49F-4085-8C92-D3E6EA92D730}"/>
    <cellStyle name="Currency 5 3 3 2 4 5" xfId="18563" xr:uid="{B409CF39-8B76-47D4-B46F-BCF94C981293}"/>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16898" xr:uid="{016731A6-5306-4FD7-B9F2-49E9574C1F8F}"/>
    <cellStyle name="Currency 5 3 3 2 5 2 2 3" xfId="25338" xr:uid="{C2147E9C-D0B9-47D1-B10E-876BE9A30E1D}"/>
    <cellStyle name="Currency 5 3 3 2 5 2 3" xfId="12680" xr:uid="{597B3D8B-233A-45A1-ABBB-C198C6D4DA8B}"/>
    <cellStyle name="Currency 5 3 3 2 5 2 4" xfId="21121" xr:uid="{95ADEAB8-D728-41F0-A18E-5306B0A3DE0C}"/>
    <cellStyle name="Currency 5 3 3 2 5 3" xfId="6311" xr:uid="{00000000-0005-0000-0000-0000EF0C0000}"/>
    <cellStyle name="Currency 5 3 3 2 5 3 2" xfId="14753" xr:uid="{5F68C6A3-B5BF-460A-8788-A77C6DE206A5}"/>
    <cellStyle name="Currency 5 3 3 2 5 3 3" xfId="23193" xr:uid="{16EFFCB5-51B1-4BF3-90BD-5B03AF074108}"/>
    <cellStyle name="Currency 5 3 3 2 5 4" xfId="10535" xr:uid="{DB632D59-3C2C-48D3-9D45-CFF123520FF6}"/>
    <cellStyle name="Currency 5 3 3 2 5 5" xfId="18976" xr:uid="{E5BEF22F-5F5E-4BB1-897F-05C5714C49AE}"/>
    <cellStyle name="Currency 5 3 3 2 6" xfId="2439" xr:uid="{00000000-0005-0000-0000-0000F00C0000}"/>
    <cellStyle name="Currency 5 3 3 2 6 2" xfId="6724" xr:uid="{00000000-0005-0000-0000-0000F10C0000}"/>
    <cellStyle name="Currency 5 3 3 2 6 2 2" xfId="15166" xr:uid="{A52C6384-0103-4F16-8BB9-7D7E6D2FD369}"/>
    <cellStyle name="Currency 5 3 3 2 6 2 3" xfId="23606" xr:uid="{E9088597-0907-4CB6-B022-CEBD2DC50638}"/>
    <cellStyle name="Currency 5 3 3 2 6 3" xfId="10948" xr:uid="{14F050E2-6E92-440A-A32B-A0CCD7357CCC}"/>
    <cellStyle name="Currency 5 3 3 2 6 4" xfId="19389" xr:uid="{45DAC452-A93B-4932-8EAC-A4ACC0D9D9CA}"/>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15483" xr:uid="{3FBCB667-B0AA-4A6A-98B3-AA9A586B6FF5}"/>
    <cellStyle name="Currency 5 3 3 2 8 2 3" xfId="23923" xr:uid="{1A9872DF-0E57-4875-8BBE-ADFF78C495D6}"/>
    <cellStyle name="Currency 5 3 3 2 8 3" xfId="11265" xr:uid="{234AF903-2121-4E39-B8A9-3BC6CCC923B7}"/>
    <cellStyle name="Currency 5 3 3 2 8 4" xfId="19706" xr:uid="{83E433F2-8BBB-47E0-B382-62DF86FA16EE}"/>
    <cellStyle name="Currency 5 3 3 2 9" xfId="4658" xr:uid="{00000000-0005-0000-0000-0000F50C0000}"/>
    <cellStyle name="Currency 5 3 3 2 9 2" xfId="13100" xr:uid="{82B3D227-8E84-463F-87E4-3233ABFC8047}"/>
    <cellStyle name="Currency 5 3 3 2 9 3" xfId="21540" xr:uid="{95D63F3C-5338-4C5D-810D-97F9A8B9903A}"/>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15658" xr:uid="{5CC490A0-9C62-4167-8246-B0BA71782857}"/>
    <cellStyle name="Currency 5 3 3 3 2 2 3" xfId="24098" xr:uid="{9AE9D19D-9EFE-4152-8D4E-682BA66F8B21}"/>
    <cellStyle name="Currency 5 3 3 3 2 3" xfId="11440" xr:uid="{301F5611-DD54-4D0C-A41F-1FB2E5B37843}"/>
    <cellStyle name="Currency 5 3 3 3 2 4" xfId="19881" xr:uid="{D018BFAC-90CA-47CE-B0A4-8D45BD8BB659}"/>
    <cellStyle name="Currency 5 3 3 3 3" xfId="5071" xr:uid="{00000000-0005-0000-0000-0000F90C0000}"/>
    <cellStyle name="Currency 5 3 3 3 3 2" xfId="13513" xr:uid="{A3294A9A-3BA1-41AA-8E92-C1738717A8AB}"/>
    <cellStyle name="Currency 5 3 3 3 3 3" xfId="21953" xr:uid="{7A64CA16-7DE8-4A92-AD76-6AEC7BD2968B}"/>
    <cellStyle name="Currency 5 3 3 3 4" xfId="9295" xr:uid="{7042DCCD-5647-44EE-88C7-75DDCA23A523}"/>
    <cellStyle name="Currency 5 3 3 3 5" xfId="17736" xr:uid="{038B301F-2D85-420D-8740-ADF5915589A7}"/>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16071" xr:uid="{4D483E48-C494-4B84-BC72-91B098913DFE}"/>
    <cellStyle name="Currency 5 3 3 4 2 2 3" xfId="24511" xr:uid="{0729818C-6793-414B-A607-85604A9787D7}"/>
    <cellStyle name="Currency 5 3 3 4 2 3" xfId="11853" xr:uid="{4F0EEB58-FE69-43DF-A168-5BFAC8733079}"/>
    <cellStyle name="Currency 5 3 3 4 2 4" xfId="20294" xr:uid="{9DBF3B3B-5AED-49D0-A487-3D0FF21D9E81}"/>
    <cellStyle name="Currency 5 3 3 4 3" xfId="5484" xr:uid="{00000000-0005-0000-0000-0000FD0C0000}"/>
    <cellStyle name="Currency 5 3 3 4 3 2" xfId="13926" xr:uid="{5C855E0C-FFA4-417E-B476-76BA085F00C8}"/>
    <cellStyle name="Currency 5 3 3 4 3 3" xfId="22366" xr:uid="{C8E2B0C1-DBCF-4697-BCD1-26744D0A9C04}"/>
    <cellStyle name="Currency 5 3 3 4 4" xfId="9708" xr:uid="{422E9147-8F18-42C5-8257-1B62CAACD219}"/>
    <cellStyle name="Currency 5 3 3 4 5" xfId="18149" xr:uid="{29CE0DC5-B9CD-40D9-A6DA-D4D3BDB5F9A8}"/>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16484" xr:uid="{608C3D2A-FBF6-43B2-A603-10CFC5CBC1F5}"/>
    <cellStyle name="Currency 5 3 3 5 2 2 3" xfId="24924" xr:uid="{5E75C291-285E-4951-9945-01F516EFE43B}"/>
    <cellStyle name="Currency 5 3 3 5 2 3" xfId="12266" xr:uid="{FDAAFECC-A9ED-46E3-A957-2E7D24E69464}"/>
    <cellStyle name="Currency 5 3 3 5 2 4" xfId="20707" xr:uid="{E8557B52-FD89-4DC5-AB88-BC9AA1CD1880}"/>
    <cellStyle name="Currency 5 3 3 5 3" xfId="5897" xr:uid="{00000000-0005-0000-0000-0000010D0000}"/>
    <cellStyle name="Currency 5 3 3 5 3 2" xfId="14339" xr:uid="{7054200B-0865-4D9E-8EE2-7CFD44FDCB41}"/>
    <cellStyle name="Currency 5 3 3 5 3 3" xfId="22779" xr:uid="{574739FA-A771-4871-AF18-979E24F4F197}"/>
    <cellStyle name="Currency 5 3 3 5 4" xfId="10121" xr:uid="{A46D22F9-3B05-4101-A0EA-01F712DF0AA3}"/>
    <cellStyle name="Currency 5 3 3 5 5" xfId="18562" xr:uid="{8C69736F-ADE7-4DCF-93E6-41A604CDB2FC}"/>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16897" xr:uid="{F152F20C-5D95-4782-9741-BDB03F80DF17}"/>
    <cellStyle name="Currency 5 3 3 6 2 2 3" xfId="25337" xr:uid="{23E22570-56A2-485C-A188-0FBEC74243EB}"/>
    <cellStyle name="Currency 5 3 3 6 2 3" xfId="12679" xr:uid="{961F8F9E-FDBA-4D99-8506-4D4C00CC349A}"/>
    <cellStyle name="Currency 5 3 3 6 2 4" xfId="21120" xr:uid="{E5B784CA-C5D7-445E-BD9D-81956D1886DD}"/>
    <cellStyle name="Currency 5 3 3 6 3" xfId="6310" xr:uid="{00000000-0005-0000-0000-0000050D0000}"/>
    <cellStyle name="Currency 5 3 3 6 3 2" xfId="14752" xr:uid="{6479D875-F987-45CD-9D11-6CEAAC7E8B45}"/>
    <cellStyle name="Currency 5 3 3 6 3 3" xfId="23192" xr:uid="{5B459790-B872-48E0-8136-7C0768118D28}"/>
    <cellStyle name="Currency 5 3 3 6 4" xfId="10534" xr:uid="{D519D631-377B-4E00-BCB3-44E1A6C5BC80}"/>
    <cellStyle name="Currency 5 3 3 6 5" xfId="18975" xr:uid="{3CFBE6D9-A0D1-4EEA-ACC6-646F826DB81F}"/>
    <cellStyle name="Currency 5 3 3 7" xfId="2438" xr:uid="{00000000-0005-0000-0000-0000060D0000}"/>
    <cellStyle name="Currency 5 3 3 7 2" xfId="6723" xr:uid="{00000000-0005-0000-0000-0000070D0000}"/>
    <cellStyle name="Currency 5 3 3 7 2 2" xfId="15165" xr:uid="{EEA83C22-63EE-45B4-B8B0-182743C691F7}"/>
    <cellStyle name="Currency 5 3 3 7 2 3" xfId="23605" xr:uid="{2B49C5EE-1845-4749-BB98-288AE5A9FA5A}"/>
    <cellStyle name="Currency 5 3 3 7 3" xfId="10947" xr:uid="{80C349C4-A1B6-4654-8766-6827214C8D64}"/>
    <cellStyle name="Currency 5 3 3 7 4" xfId="19388" xr:uid="{691EBA5D-5CC9-427B-A9E4-4A136B17913C}"/>
    <cellStyle name="Currency 5 3 3 8" xfId="2735" xr:uid="{00000000-0005-0000-0000-0000080D0000}"/>
    <cellStyle name="Currency 5 3 3 9" xfId="2816" xr:uid="{00000000-0005-0000-0000-0000090D0000}"/>
    <cellStyle name="Currency 5 3 3 9 2" xfId="7040" xr:uid="{00000000-0005-0000-0000-00000A0D0000}"/>
    <cellStyle name="Currency 5 3 3 9 2 2" xfId="15482" xr:uid="{EA1296EB-A5D3-4333-B788-9874255FCEB3}"/>
    <cellStyle name="Currency 5 3 3 9 2 3" xfId="23922" xr:uid="{16540DC6-9C04-45F6-810F-9651DEF805D8}"/>
    <cellStyle name="Currency 5 3 3 9 3" xfId="11264" xr:uid="{1D09C727-08BD-4212-AA37-6EFD5B291A42}"/>
    <cellStyle name="Currency 5 3 3 9 4" xfId="19705" xr:uid="{C3BDC6A1-E32E-4422-A37E-36AC9BE2545E}"/>
    <cellStyle name="Currency 5 3 4" xfId="216" xr:uid="{00000000-0005-0000-0000-00000B0D0000}"/>
    <cellStyle name="Currency 5 3 4 10" xfId="8883" xr:uid="{6BCB31FC-3C63-4E65-939E-8A900FB9B871}"/>
    <cellStyle name="Currency 5 3 4 11" xfId="17324" xr:uid="{74C50910-379B-482C-BBB2-791177BBA7E7}"/>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15660" xr:uid="{6E9DCB69-5C9D-44EE-A90D-989E047C1249}"/>
    <cellStyle name="Currency 5 3 4 2 2 2 3" xfId="24100" xr:uid="{E349734A-F3A7-40B2-BD78-A1306E36175C}"/>
    <cellStyle name="Currency 5 3 4 2 2 3" xfId="11442" xr:uid="{F2932788-6378-4FD9-BA78-BC089437E7A9}"/>
    <cellStyle name="Currency 5 3 4 2 2 4" xfId="19883" xr:uid="{FE9837B0-4B28-4865-9443-EF28AF8D694E}"/>
    <cellStyle name="Currency 5 3 4 2 3" xfId="5073" xr:uid="{00000000-0005-0000-0000-00000F0D0000}"/>
    <cellStyle name="Currency 5 3 4 2 3 2" xfId="13515" xr:uid="{9ECFFDFC-ECAE-4C74-A5D7-F84C9ABC3AB7}"/>
    <cellStyle name="Currency 5 3 4 2 3 3" xfId="21955" xr:uid="{82A7679E-1DC6-4433-91F5-BFC7D6AB767D}"/>
    <cellStyle name="Currency 5 3 4 2 4" xfId="9297" xr:uid="{09CA3FA7-EEF0-4BA6-88D7-36A245408FF8}"/>
    <cellStyle name="Currency 5 3 4 2 5" xfId="17738" xr:uid="{3EF8AFDD-B63D-433A-84D9-F5D4CAC6D90F}"/>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16073" xr:uid="{236DD9CA-05E7-4791-8210-D5DF927CD642}"/>
    <cellStyle name="Currency 5 3 4 3 2 2 3" xfId="24513" xr:uid="{23BE3412-FBE9-4243-A09C-BD2903856421}"/>
    <cellStyle name="Currency 5 3 4 3 2 3" xfId="11855" xr:uid="{6F9E36FA-C458-4B7A-8A8A-961847672ABF}"/>
    <cellStyle name="Currency 5 3 4 3 2 4" xfId="20296" xr:uid="{169A5E7C-FE7C-4689-9150-2878195A0FB5}"/>
    <cellStyle name="Currency 5 3 4 3 3" xfId="5486" xr:uid="{00000000-0005-0000-0000-0000130D0000}"/>
    <cellStyle name="Currency 5 3 4 3 3 2" xfId="13928" xr:uid="{1AC3A029-EDDD-4FE6-B8ED-AFCB01290C41}"/>
    <cellStyle name="Currency 5 3 4 3 3 3" xfId="22368" xr:uid="{E646238E-848F-419A-A949-6AFB7D31888D}"/>
    <cellStyle name="Currency 5 3 4 3 4" xfId="9710" xr:uid="{49085A6F-A6C9-477E-AA8D-72A6F6FD9345}"/>
    <cellStyle name="Currency 5 3 4 3 5" xfId="18151" xr:uid="{C93FF49B-4ABB-4985-9B41-5D7ADC97FFE1}"/>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16486" xr:uid="{7AD47A24-08AC-4C03-AE02-155276E0C177}"/>
    <cellStyle name="Currency 5 3 4 4 2 2 3" xfId="24926" xr:uid="{6BE528B4-C28B-436F-A1FC-7F668010482C}"/>
    <cellStyle name="Currency 5 3 4 4 2 3" xfId="12268" xr:uid="{EC830862-1FC3-469B-B765-0A65FDE55C30}"/>
    <cellStyle name="Currency 5 3 4 4 2 4" xfId="20709" xr:uid="{98DBB6A6-A605-4653-93DF-C4836E93E5D9}"/>
    <cellStyle name="Currency 5 3 4 4 3" xfId="5899" xr:uid="{00000000-0005-0000-0000-0000170D0000}"/>
    <cellStyle name="Currency 5 3 4 4 3 2" xfId="14341" xr:uid="{DC5A6708-ED49-4620-A83F-814733E707DF}"/>
    <cellStyle name="Currency 5 3 4 4 3 3" xfId="22781" xr:uid="{472D61FF-ABA9-4729-9FED-2E6D2F9FBB4E}"/>
    <cellStyle name="Currency 5 3 4 4 4" xfId="10123" xr:uid="{A84469D0-2E61-47F4-93ED-6C005801ED63}"/>
    <cellStyle name="Currency 5 3 4 4 5" xfId="18564" xr:uid="{52991FCA-E7A8-4344-BC18-F7EC2E0EAB46}"/>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16899" xr:uid="{02F78D6B-1CDE-4FD0-845C-7A0930EC5D6B}"/>
    <cellStyle name="Currency 5 3 4 5 2 2 3" xfId="25339" xr:uid="{9901690A-7D19-41BB-B97D-ACB390630081}"/>
    <cellStyle name="Currency 5 3 4 5 2 3" xfId="12681" xr:uid="{C1773807-A7AA-4CC8-954A-27D3A4B8CDE3}"/>
    <cellStyle name="Currency 5 3 4 5 2 4" xfId="21122" xr:uid="{E5A3ABCF-AD58-44A7-9857-E7F77FB773D0}"/>
    <cellStyle name="Currency 5 3 4 5 3" xfId="6312" xr:uid="{00000000-0005-0000-0000-00001B0D0000}"/>
    <cellStyle name="Currency 5 3 4 5 3 2" xfId="14754" xr:uid="{0F02EB64-3B5D-4659-9C5E-6CD9114CA291}"/>
    <cellStyle name="Currency 5 3 4 5 3 3" xfId="23194" xr:uid="{6EAD626B-8153-4EFB-8656-16E948A31DED}"/>
    <cellStyle name="Currency 5 3 4 5 4" xfId="10536" xr:uid="{62BB9076-3B03-46BB-A7DC-57675F489DB9}"/>
    <cellStyle name="Currency 5 3 4 5 5" xfId="18977" xr:uid="{6F185A96-8437-4562-AFFF-297B3FD4B024}"/>
    <cellStyle name="Currency 5 3 4 6" xfId="2440" xr:uid="{00000000-0005-0000-0000-00001C0D0000}"/>
    <cellStyle name="Currency 5 3 4 6 2" xfId="6725" xr:uid="{00000000-0005-0000-0000-00001D0D0000}"/>
    <cellStyle name="Currency 5 3 4 6 2 2" xfId="15167" xr:uid="{F7DC6D38-820A-41E5-9317-5AFD9FA448F8}"/>
    <cellStyle name="Currency 5 3 4 6 2 3" xfId="23607" xr:uid="{BF2C3D22-9ED1-4946-A8D9-C8432149E944}"/>
    <cellStyle name="Currency 5 3 4 6 3" xfId="10949" xr:uid="{2A3EBD65-4681-4F49-949F-054143175B65}"/>
    <cellStyle name="Currency 5 3 4 6 4" xfId="19390" xr:uid="{07D8D5C1-BEE3-4E57-ADCE-2F6F2E037EA7}"/>
    <cellStyle name="Currency 5 3 4 7" xfId="2737" xr:uid="{00000000-0005-0000-0000-00001E0D0000}"/>
    <cellStyle name="Currency 5 3 4 8" xfId="2818" xr:uid="{00000000-0005-0000-0000-00001F0D0000}"/>
    <cellStyle name="Currency 5 3 4 8 2" xfId="7042" xr:uid="{00000000-0005-0000-0000-0000200D0000}"/>
    <cellStyle name="Currency 5 3 4 8 2 2" xfId="15484" xr:uid="{A288A4AE-F9B6-4A42-A170-D4157D7F1292}"/>
    <cellStyle name="Currency 5 3 4 8 2 3" xfId="23924" xr:uid="{7EF7A7F0-05AB-452F-A326-0B63035F938F}"/>
    <cellStyle name="Currency 5 3 4 8 3" xfId="11266" xr:uid="{A391EEE1-8FF0-4857-91E1-BF39CCAB2FC5}"/>
    <cellStyle name="Currency 5 3 4 8 4" xfId="19707" xr:uid="{816A7C26-11D6-463D-9539-FCF0BEA915D7}"/>
    <cellStyle name="Currency 5 3 4 9" xfId="4659" xr:uid="{00000000-0005-0000-0000-0000210D0000}"/>
    <cellStyle name="Currency 5 3 4 9 2" xfId="13101" xr:uid="{564B7042-2100-4527-BD24-BF553D22B768}"/>
    <cellStyle name="Currency 5 3 4 9 3" xfId="21541" xr:uid="{80E478DB-A10D-4E2D-9009-C020F50C695A}"/>
    <cellStyle name="Currency 5 3 5" xfId="217" xr:uid="{00000000-0005-0000-0000-0000220D0000}"/>
    <cellStyle name="Currency 5 3 5 10" xfId="8884" xr:uid="{A8BB2E96-3A6F-45BF-850A-7052A3CEFB92}"/>
    <cellStyle name="Currency 5 3 5 11" xfId="17325" xr:uid="{28BDBBE6-014C-4BF6-8F46-57A7B8E14659}"/>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15661" xr:uid="{DA1865BF-7EB1-4820-9138-B4E99F6AA593}"/>
    <cellStyle name="Currency 5 3 5 2 2 2 3" xfId="24101" xr:uid="{CB346D1F-7502-4A44-90A8-69555F5C85CF}"/>
    <cellStyle name="Currency 5 3 5 2 2 3" xfId="11443" xr:uid="{F26BE3C8-48D1-40DB-AF65-27FD8D27D359}"/>
    <cellStyle name="Currency 5 3 5 2 2 4" xfId="19884" xr:uid="{6B21B9A5-D193-42C5-B889-CCA8916E34BE}"/>
    <cellStyle name="Currency 5 3 5 2 3" xfId="5074" xr:uid="{00000000-0005-0000-0000-0000260D0000}"/>
    <cellStyle name="Currency 5 3 5 2 3 2" xfId="13516" xr:uid="{C58D393A-60F3-4166-9A58-F8C94B02B813}"/>
    <cellStyle name="Currency 5 3 5 2 3 3" xfId="21956" xr:uid="{317293C2-0140-4074-9C3C-7D86F5E79302}"/>
    <cellStyle name="Currency 5 3 5 2 4" xfId="9298" xr:uid="{4904A682-B04E-483B-AB0F-BE9101932E2C}"/>
    <cellStyle name="Currency 5 3 5 2 5" xfId="17739" xr:uid="{C9F07CC6-D1C6-4336-AB3D-725C5F59CDC6}"/>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16074" xr:uid="{A6063716-17FB-41A8-B34C-1FF70E522E8C}"/>
    <cellStyle name="Currency 5 3 5 3 2 2 3" xfId="24514" xr:uid="{2A0C54EE-0CF1-4E85-97CA-D34149D7FB34}"/>
    <cellStyle name="Currency 5 3 5 3 2 3" xfId="11856" xr:uid="{5B91DC24-1F6C-4CAE-82E7-BEEBC8948CC8}"/>
    <cellStyle name="Currency 5 3 5 3 2 4" xfId="20297" xr:uid="{C10F5F59-E3C9-4A12-BF6F-F01900CF9926}"/>
    <cellStyle name="Currency 5 3 5 3 3" xfId="5487" xr:uid="{00000000-0005-0000-0000-00002A0D0000}"/>
    <cellStyle name="Currency 5 3 5 3 3 2" xfId="13929" xr:uid="{F4F8A0BF-6478-4AEC-8E00-DE86EB19A94B}"/>
    <cellStyle name="Currency 5 3 5 3 3 3" xfId="22369" xr:uid="{A5E6EA5C-E598-4E0E-94CC-55C54B34BC78}"/>
    <cellStyle name="Currency 5 3 5 3 4" xfId="9711" xr:uid="{D64FA7D3-8568-48FB-94E1-DE61786971D1}"/>
    <cellStyle name="Currency 5 3 5 3 5" xfId="18152" xr:uid="{8C12A81E-A770-4931-A36A-5A609DA24862}"/>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16487" xr:uid="{508DC108-2399-4D5E-BF7D-91690DFA5E11}"/>
    <cellStyle name="Currency 5 3 5 4 2 2 3" xfId="24927" xr:uid="{DB76B093-C59C-4F89-9ECA-F9849CFBEFF5}"/>
    <cellStyle name="Currency 5 3 5 4 2 3" xfId="12269" xr:uid="{BFB74ABB-5967-486D-8B47-E0D3F4812FFF}"/>
    <cellStyle name="Currency 5 3 5 4 2 4" xfId="20710" xr:uid="{587901D0-C8E8-4AC1-91B6-C5A4DA6208DE}"/>
    <cellStyle name="Currency 5 3 5 4 3" xfId="5900" xr:uid="{00000000-0005-0000-0000-00002E0D0000}"/>
    <cellStyle name="Currency 5 3 5 4 3 2" xfId="14342" xr:uid="{78267658-9A45-45CE-A5E4-6C4B1F0511FA}"/>
    <cellStyle name="Currency 5 3 5 4 3 3" xfId="22782" xr:uid="{3EFBB8A4-DB25-406E-B3DA-688F9C1B984F}"/>
    <cellStyle name="Currency 5 3 5 4 4" xfId="10124" xr:uid="{AC5A4F5C-882D-4469-8691-770AA3899DC6}"/>
    <cellStyle name="Currency 5 3 5 4 5" xfId="18565" xr:uid="{57D0EE6A-E2C9-41B0-B04D-C748FF3AE8F3}"/>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16900" xr:uid="{528C0E9D-085E-44DB-9086-408A2E603B7D}"/>
    <cellStyle name="Currency 5 3 5 5 2 2 3" xfId="25340" xr:uid="{08676E5F-1A52-44C2-80A6-346130766F6F}"/>
    <cellStyle name="Currency 5 3 5 5 2 3" xfId="12682" xr:uid="{F3B54F4C-1700-4DE4-BF82-5ACB196C987A}"/>
    <cellStyle name="Currency 5 3 5 5 2 4" xfId="21123" xr:uid="{6744C867-10EB-4F81-A4C9-E531934BFD82}"/>
    <cellStyle name="Currency 5 3 5 5 3" xfId="6313" xr:uid="{00000000-0005-0000-0000-0000320D0000}"/>
    <cellStyle name="Currency 5 3 5 5 3 2" xfId="14755" xr:uid="{9E30B51C-EB34-43A1-A6F1-B42F8BF9CC3F}"/>
    <cellStyle name="Currency 5 3 5 5 3 3" xfId="23195" xr:uid="{EE7E3CB5-76B1-4CE0-92FB-04A09E53A9F0}"/>
    <cellStyle name="Currency 5 3 5 5 4" xfId="10537" xr:uid="{0E4C2BC9-AEFF-4CED-82B4-57E1CA098ECB}"/>
    <cellStyle name="Currency 5 3 5 5 5" xfId="18978" xr:uid="{B04180B2-CE08-45FF-8CFB-8515458B73A0}"/>
    <cellStyle name="Currency 5 3 5 6" xfId="2441" xr:uid="{00000000-0005-0000-0000-0000330D0000}"/>
    <cellStyle name="Currency 5 3 5 6 2" xfId="6726" xr:uid="{00000000-0005-0000-0000-0000340D0000}"/>
    <cellStyle name="Currency 5 3 5 6 2 2" xfId="15168" xr:uid="{7A69B835-29A4-43C1-AC8F-8EE2CA841B55}"/>
    <cellStyle name="Currency 5 3 5 6 2 3" xfId="23608" xr:uid="{FEF63FE4-7001-495C-A2A6-7E1FC223F6A3}"/>
    <cellStyle name="Currency 5 3 5 6 3" xfId="10950" xr:uid="{FD892767-578E-439D-A96E-3DEC6FA038EC}"/>
    <cellStyle name="Currency 5 3 5 6 4" xfId="19391" xr:uid="{04AF9883-5D78-4805-A4CC-8CA759D787AE}"/>
    <cellStyle name="Currency 5 3 5 7" xfId="2738" xr:uid="{00000000-0005-0000-0000-0000350D0000}"/>
    <cellStyle name="Currency 5 3 5 8" xfId="2819" xr:uid="{00000000-0005-0000-0000-0000360D0000}"/>
    <cellStyle name="Currency 5 3 5 8 2" xfId="7043" xr:uid="{00000000-0005-0000-0000-0000370D0000}"/>
    <cellStyle name="Currency 5 3 5 8 2 2" xfId="15485" xr:uid="{0D174086-DF2C-473B-B923-02954A49D9E8}"/>
    <cellStyle name="Currency 5 3 5 8 2 3" xfId="23925" xr:uid="{43FA7788-8C0A-4D8A-A262-C98A4FAC32E6}"/>
    <cellStyle name="Currency 5 3 5 8 3" xfId="11267" xr:uid="{BDEAE403-5587-4631-AB39-E4E1017BE5CE}"/>
    <cellStyle name="Currency 5 3 5 8 4" xfId="19708" xr:uid="{1D7DCBFE-D5DE-437F-9E7A-66546A9FD884}"/>
    <cellStyle name="Currency 5 3 5 9" xfId="4660" xr:uid="{00000000-0005-0000-0000-0000380D0000}"/>
    <cellStyle name="Currency 5 3 5 9 2" xfId="13102" xr:uid="{EB3D65EA-FA6D-43D1-9425-2F0EB1F97868}"/>
    <cellStyle name="Currency 5 3 5 9 3" xfId="21542" xr:uid="{6A4D88F7-417E-482A-B53C-93488996B8AA}"/>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13103" xr:uid="{D0489169-4CA7-4BC4-A945-14F05F557E2B}"/>
    <cellStyle name="Currency 5 5 10 3" xfId="21543" xr:uid="{D9A6807E-48E6-4115-9FE9-CFEF79853C1B}"/>
    <cellStyle name="Currency 5 5 11" xfId="8885" xr:uid="{FEF68F45-8805-4709-9F28-64B8781555C7}"/>
    <cellStyle name="Currency 5 5 12" xfId="17326" xr:uid="{96AA6C1B-183E-4098-8264-BEA8A94744C3}"/>
    <cellStyle name="Currency 5 5 2" xfId="220" xr:uid="{00000000-0005-0000-0000-00003D0D0000}"/>
    <cellStyle name="Currency 5 5 2 10" xfId="8886" xr:uid="{12A01C10-5D37-4E4B-98DE-CA7B6C3DC93C}"/>
    <cellStyle name="Currency 5 5 2 11" xfId="17327" xr:uid="{825AB5C1-01C3-4F8F-8345-9BA8E67A8EFD}"/>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15663" xr:uid="{0403AB01-BCBE-4E03-9BBA-AD821345DFDF}"/>
    <cellStyle name="Currency 5 5 2 2 2 2 3" xfId="24103" xr:uid="{62893D5F-DE3A-47DE-B99D-F4FDF41240B5}"/>
    <cellStyle name="Currency 5 5 2 2 2 3" xfId="11445" xr:uid="{12046CC7-C781-4A7A-A508-11840E192527}"/>
    <cellStyle name="Currency 5 5 2 2 2 4" xfId="19886" xr:uid="{E6F6051A-0AA4-4568-8462-CAD5E8DBBFB0}"/>
    <cellStyle name="Currency 5 5 2 2 3" xfId="5076" xr:uid="{00000000-0005-0000-0000-0000410D0000}"/>
    <cellStyle name="Currency 5 5 2 2 3 2" xfId="13518" xr:uid="{3D1FAB4E-D6F2-4A05-90AF-3F6ED34F456F}"/>
    <cellStyle name="Currency 5 5 2 2 3 3" xfId="21958" xr:uid="{53EAD22B-23C0-47A3-AB7D-D4D5ED6FD9CE}"/>
    <cellStyle name="Currency 5 5 2 2 4" xfId="9300" xr:uid="{87F9A566-342F-4605-B168-292C58C99F3B}"/>
    <cellStyle name="Currency 5 5 2 2 5" xfId="17741" xr:uid="{D1920279-2AD8-4BAF-949E-83909AB14065}"/>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16076" xr:uid="{2A52E4FF-30B4-470F-85EB-23ED5564BEF4}"/>
    <cellStyle name="Currency 5 5 2 3 2 2 3" xfId="24516" xr:uid="{283B18F6-945B-4110-A280-EB042F6E7C30}"/>
    <cellStyle name="Currency 5 5 2 3 2 3" xfId="11858" xr:uid="{15612122-A1DB-4DD3-B0E7-20A592324DFF}"/>
    <cellStyle name="Currency 5 5 2 3 2 4" xfId="20299" xr:uid="{17825B04-5B00-4EB4-BDE2-5666EE1A7314}"/>
    <cellStyle name="Currency 5 5 2 3 3" xfId="5489" xr:uid="{00000000-0005-0000-0000-0000450D0000}"/>
    <cellStyle name="Currency 5 5 2 3 3 2" xfId="13931" xr:uid="{9D34A986-310D-46BB-B91A-ECEDB3C43C1E}"/>
    <cellStyle name="Currency 5 5 2 3 3 3" xfId="22371" xr:uid="{D9B3C110-3EE0-43BC-81AD-B195D26D9FF8}"/>
    <cellStyle name="Currency 5 5 2 3 4" xfId="9713" xr:uid="{E76D64E6-A6CE-4050-9935-97A7CDC5FF21}"/>
    <cellStyle name="Currency 5 5 2 3 5" xfId="18154" xr:uid="{B7ADCB3A-3D24-4C0F-BCDC-9915718EAC3D}"/>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16489" xr:uid="{995C0432-E217-4363-BB46-BDAE66CED7A2}"/>
    <cellStyle name="Currency 5 5 2 4 2 2 3" xfId="24929" xr:uid="{BE8CEE50-CEF9-4262-81FD-CFAC2E53D804}"/>
    <cellStyle name="Currency 5 5 2 4 2 3" xfId="12271" xr:uid="{E2487BEE-1A05-4337-A102-D287A3729055}"/>
    <cellStyle name="Currency 5 5 2 4 2 4" xfId="20712" xr:uid="{4A4CC9CF-213B-421E-87FA-AE0F49556B85}"/>
    <cellStyle name="Currency 5 5 2 4 3" xfId="5902" xr:uid="{00000000-0005-0000-0000-0000490D0000}"/>
    <cellStyle name="Currency 5 5 2 4 3 2" xfId="14344" xr:uid="{29524AE8-017B-4A54-9053-2C1B3A23DAAA}"/>
    <cellStyle name="Currency 5 5 2 4 3 3" xfId="22784" xr:uid="{8D8721FC-2027-4D80-A935-A40AAFAC172C}"/>
    <cellStyle name="Currency 5 5 2 4 4" xfId="10126" xr:uid="{74E82A8D-C319-4CF5-A326-580B11021A6D}"/>
    <cellStyle name="Currency 5 5 2 4 5" xfId="18567" xr:uid="{A2BF4C41-FEDC-4639-835C-ADFB01D2FDF4}"/>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16902" xr:uid="{2E5806FE-80A0-4F86-ADC9-6F4827FB4CCB}"/>
    <cellStyle name="Currency 5 5 2 5 2 2 3" xfId="25342" xr:uid="{C4F1B8F2-2693-40AE-90D2-7D6FAB43F4EA}"/>
    <cellStyle name="Currency 5 5 2 5 2 3" xfId="12684" xr:uid="{013F6A7A-8FC3-41C4-BCE4-1DCA64FCEF65}"/>
    <cellStyle name="Currency 5 5 2 5 2 4" xfId="21125" xr:uid="{1585F03A-5E0F-4819-93C8-B933B6CE1D29}"/>
    <cellStyle name="Currency 5 5 2 5 3" xfId="6315" xr:uid="{00000000-0005-0000-0000-00004D0D0000}"/>
    <cellStyle name="Currency 5 5 2 5 3 2" xfId="14757" xr:uid="{1E902137-7EA5-4AE3-B784-C2AD8A478110}"/>
    <cellStyle name="Currency 5 5 2 5 3 3" xfId="23197" xr:uid="{B4312D37-56B0-4636-B6D6-01C35B71C7DF}"/>
    <cellStyle name="Currency 5 5 2 5 4" xfId="10539" xr:uid="{5AC0C4D3-9B6A-4B64-8FFB-1D4A65F18B20}"/>
    <cellStyle name="Currency 5 5 2 5 5" xfId="18980" xr:uid="{BA546D04-A472-48EB-AF53-36ADB5E16637}"/>
    <cellStyle name="Currency 5 5 2 6" xfId="2443" xr:uid="{00000000-0005-0000-0000-00004E0D0000}"/>
    <cellStyle name="Currency 5 5 2 6 2" xfId="6728" xr:uid="{00000000-0005-0000-0000-00004F0D0000}"/>
    <cellStyle name="Currency 5 5 2 6 2 2" xfId="15170" xr:uid="{8B6DD786-1344-428E-A29E-D2C5E65A90D5}"/>
    <cellStyle name="Currency 5 5 2 6 2 3" xfId="23610" xr:uid="{04FC8CD7-D772-4F8B-A688-F0F5E5700813}"/>
    <cellStyle name="Currency 5 5 2 6 3" xfId="10952" xr:uid="{D9324FB9-2CF0-490D-A6BE-6015E1AF60A1}"/>
    <cellStyle name="Currency 5 5 2 6 4" xfId="19393" xr:uid="{7D81773C-72D8-4324-B42C-361C4C9148E8}"/>
    <cellStyle name="Currency 5 5 2 7" xfId="2740" xr:uid="{00000000-0005-0000-0000-0000500D0000}"/>
    <cellStyle name="Currency 5 5 2 8" xfId="2821" xr:uid="{00000000-0005-0000-0000-0000510D0000}"/>
    <cellStyle name="Currency 5 5 2 8 2" xfId="7045" xr:uid="{00000000-0005-0000-0000-0000520D0000}"/>
    <cellStyle name="Currency 5 5 2 8 2 2" xfId="15487" xr:uid="{C3868AAB-A2FF-45EB-92A2-178BCCCC8E61}"/>
    <cellStyle name="Currency 5 5 2 8 2 3" xfId="23927" xr:uid="{FDB67111-18B7-44C2-82BB-19BADBBE1462}"/>
    <cellStyle name="Currency 5 5 2 8 3" xfId="11269" xr:uid="{A35490DA-8E15-4C05-B506-FD5CB5497099}"/>
    <cellStyle name="Currency 5 5 2 8 4" xfId="19710" xr:uid="{21A1CA42-3C9E-407F-975F-0BE085BA5803}"/>
    <cellStyle name="Currency 5 5 2 9" xfId="4662" xr:uid="{00000000-0005-0000-0000-0000530D0000}"/>
    <cellStyle name="Currency 5 5 2 9 2" xfId="13104" xr:uid="{46142FA9-5CFC-4EEE-A37C-7981B09AD652}"/>
    <cellStyle name="Currency 5 5 2 9 3" xfId="21544" xr:uid="{F1D07633-CD7E-4159-8CC5-CCF6EB2CCB6A}"/>
    <cellStyle name="Currency 5 5 3" xfId="745" xr:uid="{00000000-0005-0000-0000-0000540D0000}"/>
    <cellStyle name="Currency 5 5 3 2" xfId="2997" xr:uid="{00000000-0005-0000-0000-0000550D0000}"/>
    <cellStyle name="Currency 5 5 3 2 2" xfId="7220" xr:uid="{00000000-0005-0000-0000-0000560D0000}"/>
    <cellStyle name="Currency 5 5 3 2 2 2" xfId="15662" xr:uid="{9FF1722B-F7E1-4637-B860-2BFFCC266CD2}"/>
    <cellStyle name="Currency 5 5 3 2 2 3" xfId="24102" xr:uid="{DA0A0DE6-A4CF-4738-ADDA-5D9C20067A90}"/>
    <cellStyle name="Currency 5 5 3 2 3" xfId="11444" xr:uid="{F896087F-C36C-406D-82FB-7300FF7BC21A}"/>
    <cellStyle name="Currency 5 5 3 2 4" xfId="19885" xr:uid="{498218C0-D31D-4239-B580-8ED4B4C50CE9}"/>
    <cellStyle name="Currency 5 5 3 3" xfId="5075" xr:uid="{00000000-0005-0000-0000-0000570D0000}"/>
    <cellStyle name="Currency 5 5 3 3 2" xfId="13517" xr:uid="{CFFE97F4-9511-46D5-BCE8-ADC4B55B2621}"/>
    <cellStyle name="Currency 5 5 3 3 3" xfId="21957" xr:uid="{153FB3DA-9865-4583-BF19-CA664FEBA6E3}"/>
    <cellStyle name="Currency 5 5 3 4" xfId="9299" xr:uid="{32D86F00-A48A-47F8-B21A-9378A68C8F0E}"/>
    <cellStyle name="Currency 5 5 3 5" xfId="17740" xr:uid="{32E0FDB1-2542-44A9-8C0E-E504DF17F99C}"/>
    <cellStyle name="Currency 5 5 4" xfId="1179" xr:uid="{00000000-0005-0000-0000-0000580D0000}"/>
    <cellStyle name="Currency 5 5 4 2" xfId="3410" xr:uid="{00000000-0005-0000-0000-0000590D0000}"/>
    <cellStyle name="Currency 5 5 4 2 2" xfId="7633" xr:uid="{00000000-0005-0000-0000-00005A0D0000}"/>
    <cellStyle name="Currency 5 5 4 2 2 2" xfId="16075" xr:uid="{E0A2F82D-8AC8-4FE1-AC1F-F33E86B2C596}"/>
    <cellStyle name="Currency 5 5 4 2 2 3" xfId="24515" xr:uid="{4AE3C7FB-C322-4F65-A599-564659ECA048}"/>
    <cellStyle name="Currency 5 5 4 2 3" xfId="11857" xr:uid="{90B1D34E-21D6-4CA6-B7C3-C42591DD8551}"/>
    <cellStyle name="Currency 5 5 4 2 4" xfId="20298" xr:uid="{55EE537C-5010-4CFB-B459-8E20226C9D99}"/>
    <cellStyle name="Currency 5 5 4 3" xfId="5488" xr:uid="{00000000-0005-0000-0000-00005B0D0000}"/>
    <cellStyle name="Currency 5 5 4 3 2" xfId="13930" xr:uid="{FCBBB25D-A23B-47CC-BC88-B2325D2997BF}"/>
    <cellStyle name="Currency 5 5 4 3 3" xfId="22370" xr:uid="{270B29F5-969A-4E29-9ACF-A63CE57DD504}"/>
    <cellStyle name="Currency 5 5 4 4" xfId="9712" xr:uid="{5F587375-DD74-42E7-AFED-02307E4F4BAB}"/>
    <cellStyle name="Currency 5 5 4 5" xfId="18153" xr:uid="{A1F4C956-22FA-4BE4-90C0-9FEC66F916EC}"/>
    <cellStyle name="Currency 5 5 5" xfId="1593" xr:uid="{00000000-0005-0000-0000-00005C0D0000}"/>
    <cellStyle name="Currency 5 5 5 2" xfId="3823" xr:uid="{00000000-0005-0000-0000-00005D0D0000}"/>
    <cellStyle name="Currency 5 5 5 2 2" xfId="8046" xr:uid="{00000000-0005-0000-0000-00005E0D0000}"/>
    <cellStyle name="Currency 5 5 5 2 2 2" xfId="16488" xr:uid="{A16DF473-32C3-45F8-84E7-B471AB62DC97}"/>
    <cellStyle name="Currency 5 5 5 2 2 3" xfId="24928" xr:uid="{2F0DB8B2-5D4A-492E-87AE-FC5401A03D60}"/>
    <cellStyle name="Currency 5 5 5 2 3" xfId="12270" xr:uid="{FA591815-8E19-4D5F-B327-4E2AEEB018AC}"/>
    <cellStyle name="Currency 5 5 5 2 4" xfId="20711" xr:uid="{DDC1D383-45A1-496B-AB76-F56420D4AAFF}"/>
    <cellStyle name="Currency 5 5 5 3" xfId="5901" xr:uid="{00000000-0005-0000-0000-00005F0D0000}"/>
    <cellStyle name="Currency 5 5 5 3 2" xfId="14343" xr:uid="{DAE394B9-C5BD-4601-ABCA-FC88C0469632}"/>
    <cellStyle name="Currency 5 5 5 3 3" xfId="22783" xr:uid="{9A67321B-836F-4DD0-9E49-3A52D39A140C}"/>
    <cellStyle name="Currency 5 5 5 4" xfId="10125" xr:uid="{6069A0A3-9639-4382-860F-5BACBED29037}"/>
    <cellStyle name="Currency 5 5 5 5" xfId="18566" xr:uid="{974EB183-F430-4733-B6E4-0C46994795A3}"/>
    <cellStyle name="Currency 5 5 6" xfId="2007" xr:uid="{00000000-0005-0000-0000-0000600D0000}"/>
    <cellStyle name="Currency 5 5 6 2" xfId="4236" xr:uid="{00000000-0005-0000-0000-0000610D0000}"/>
    <cellStyle name="Currency 5 5 6 2 2" xfId="8459" xr:uid="{00000000-0005-0000-0000-0000620D0000}"/>
    <cellStyle name="Currency 5 5 6 2 2 2" xfId="16901" xr:uid="{6FADADAE-98A6-4272-811D-C6789067D96B}"/>
    <cellStyle name="Currency 5 5 6 2 2 3" xfId="25341" xr:uid="{8BA94F09-0BB9-40D8-A41F-D06A0C1DFB04}"/>
    <cellStyle name="Currency 5 5 6 2 3" xfId="12683" xr:uid="{D0182D65-1369-4D22-83B3-A7DAE9368C2E}"/>
    <cellStyle name="Currency 5 5 6 2 4" xfId="21124" xr:uid="{AAE16D98-BD28-4EF4-AAE3-CC1C6A1A88D5}"/>
    <cellStyle name="Currency 5 5 6 3" xfId="6314" xr:uid="{00000000-0005-0000-0000-0000630D0000}"/>
    <cellStyle name="Currency 5 5 6 3 2" xfId="14756" xr:uid="{10407634-39AF-408E-B12E-2B53FB30E284}"/>
    <cellStyle name="Currency 5 5 6 3 3" xfId="23196" xr:uid="{4D77F95C-47BA-484B-8AD1-013A2EDBCFD8}"/>
    <cellStyle name="Currency 5 5 6 4" xfId="10538" xr:uid="{C052CD4E-E419-4D24-8CFF-AAC825E2780E}"/>
    <cellStyle name="Currency 5 5 6 5" xfId="18979" xr:uid="{C22981D9-0D81-4ED4-B4F5-2DFDDD758343}"/>
    <cellStyle name="Currency 5 5 7" xfId="2442" xr:uid="{00000000-0005-0000-0000-0000640D0000}"/>
    <cellStyle name="Currency 5 5 7 2" xfId="6727" xr:uid="{00000000-0005-0000-0000-0000650D0000}"/>
    <cellStyle name="Currency 5 5 7 2 2" xfId="15169" xr:uid="{0EE83E29-A2E0-4A32-A110-98AE7136335B}"/>
    <cellStyle name="Currency 5 5 7 2 3" xfId="23609" xr:uid="{703339D7-ACCB-443B-A0CE-A90A05EEA54C}"/>
    <cellStyle name="Currency 5 5 7 3" xfId="10951" xr:uid="{46D9296C-7547-4010-AC42-83614AE52651}"/>
    <cellStyle name="Currency 5 5 7 4" xfId="19392" xr:uid="{86A1C53D-A66B-4A25-A1C1-6E86D76956EF}"/>
    <cellStyle name="Currency 5 5 8" xfId="2739" xr:uid="{00000000-0005-0000-0000-0000660D0000}"/>
    <cellStyle name="Currency 5 5 9" xfId="2820" xr:uid="{00000000-0005-0000-0000-0000670D0000}"/>
    <cellStyle name="Currency 5 5 9 2" xfId="7044" xr:uid="{00000000-0005-0000-0000-0000680D0000}"/>
    <cellStyle name="Currency 5 5 9 2 2" xfId="15486" xr:uid="{D6FCE9DA-A0D1-4D69-9587-22EAF75B6451}"/>
    <cellStyle name="Currency 5 5 9 2 3" xfId="23926" xr:uid="{5D165E90-0AE3-4CA3-B297-F3F86AB79D92}"/>
    <cellStyle name="Currency 5 5 9 3" xfId="11268" xr:uid="{993BE453-6E0F-46A0-880A-0D2878AF1D3F}"/>
    <cellStyle name="Currency 5 5 9 4" xfId="19709" xr:uid="{0B6D5B2E-0A39-4CE2-BD1A-A23A011A9E7E}"/>
    <cellStyle name="Currency 5 6" xfId="221" xr:uid="{00000000-0005-0000-0000-0000690D0000}"/>
    <cellStyle name="Currency 5 6 10" xfId="8887" xr:uid="{D1A71021-36AC-45FC-981C-D187D7BF08A9}"/>
    <cellStyle name="Currency 5 6 11" xfId="17328" xr:uid="{37799E73-0164-475C-9AC0-34621F48F148}"/>
    <cellStyle name="Currency 5 6 2" xfId="747" xr:uid="{00000000-0005-0000-0000-00006A0D0000}"/>
    <cellStyle name="Currency 5 6 2 2" xfId="2999" xr:uid="{00000000-0005-0000-0000-00006B0D0000}"/>
    <cellStyle name="Currency 5 6 2 2 2" xfId="7222" xr:uid="{00000000-0005-0000-0000-00006C0D0000}"/>
    <cellStyle name="Currency 5 6 2 2 2 2" xfId="15664" xr:uid="{D8383DE3-0169-464F-A253-86ED7C3B0C20}"/>
    <cellStyle name="Currency 5 6 2 2 2 3" xfId="24104" xr:uid="{0565E5C2-4C3D-4379-BBDD-4983CA52DDD3}"/>
    <cellStyle name="Currency 5 6 2 2 3" xfId="11446" xr:uid="{E437DEDA-4D1B-4905-A0EA-9EFBFEECFA09}"/>
    <cellStyle name="Currency 5 6 2 2 4" xfId="19887" xr:uid="{283D8CF7-B62E-4852-84BF-ABDBBDBFCD3D}"/>
    <cellStyle name="Currency 5 6 2 3" xfId="5077" xr:uid="{00000000-0005-0000-0000-00006D0D0000}"/>
    <cellStyle name="Currency 5 6 2 3 2" xfId="13519" xr:uid="{058438A1-BFE7-4C05-B760-C03F19978506}"/>
    <cellStyle name="Currency 5 6 2 3 3" xfId="21959" xr:uid="{FA5B362F-5C66-4631-9ACD-C7B93E7B9FE9}"/>
    <cellStyle name="Currency 5 6 2 4" xfId="9301" xr:uid="{28EA56B7-E364-4A41-B4CB-A45A71840CB2}"/>
    <cellStyle name="Currency 5 6 2 5" xfId="17742" xr:uid="{F6D54F33-9E37-4E4A-A089-828CFB9B1506}"/>
    <cellStyle name="Currency 5 6 3" xfId="1181" xr:uid="{00000000-0005-0000-0000-00006E0D0000}"/>
    <cellStyle name="Currency 5 6 3 2" xfId="3412" xr:uid="{00000000-0005-0000-0000-00006F0D0000}"/>
    <cellStyle name="Currency 5 6 3 2 2" xfId="7635" xr:uid="{00000000-0005-0000-0000-0000700D0000}"/>
    <cellStyle name="Currency 5 6 3 2 2 2" xfId="16077" xr:uid="{55D1A7B1-B870-4BD4-B02E-DA6E11C91E90}"/>
    <cellStyle name="Currency 5 6 3 2 2 3" xfId="24517" xr:uid="{8AD82125-DE59-4C56-9B27-216755994BD1}"/>
    <cellStyle name="Currency 5 6 3 2 3" xfId="11859" xr:uid="{20516CF6-5460-4D50-84D9-9F0549CAC5ED}"/>
    <cellStyle name="Currency 5 6 3 2 4" xfId="20300" xr:uid="{DB38C2B9-4CC2-44A6-B340-7E8843E04DAF}"/>
    <cellStyle name="Currency 5 6 3 3" xfId="5490" xr:uid="{00000000-0005-0000-0000-0000710D0000}"/>
    <cellStyle name="Currency 5 6 3 3 2" xfId="13932" xr:uid="{B15EA278-B33E-40BC-9293-C26610642768}"/>
    <cellStyle name="Currency 5 6 3 3 3" xfId="22372" xr:uid="{804C7957-A20B-4D1B-A299-1B13923A4F90}"/>
    <cellStyle name="Currency 5 6 3 4" xfId="9714" xr:uid="{350C468E-5E7B-43E3-BC2E-B19C63463EEA}"/>
    <cellStyle name="Currency 5 6 3 5" xfId="18155" xr:uid="{800A30E2-A550-43DC-910B-621133236049}"/>
    <cellStyle name="Currency 5 6 4" xfId="1595" xr:uid="{00000000-0005-0000-0000-0000720D0000}"/>
    <cellStyle name="Currency 5 6 4 2" xfId="3825" xr:uid="{00000000-0005-0000-0000-0000730D0000}"/>
    <cellStyle name="Currency 5 6 4 2 2" xfId="8048" xr:uid="{00000000-0005-0000-0000-0000740D0000}"/>
    <cellStyle name="Currency 5 6 4 2 2 2" xfId="16490" xr:uid="{BD4516E3-9A16-4654-9032-5ADCC2838097}"/>
    <cellStyle name="Currency 5 6 4 2 2 3" xfId="24930" xr:uid="{AE94F1BB-4869-4161-A214-42F3FE997107}"/>
    <cellStyle name="Currency 5 6 4 2 3" xfId="12272" xr:uid="{B4C56345-1C56-440B-B11B-B80B2252F407}"/>
    <cellStyle name="Currency 5 6 4 2 4" xfId="20713" xr:uid="{DCD55D98-9F72-49A4-A423-7991AC525A5F}"/>
    <cellStyle name="Currency 5 6 4 3" xfId="5903" xr:uid="{00000000-0005-0000-0000-0000750D0000}"/>
    <cellStyle name="Currency 5 6 4 3 2" xfId="14345" xr:uid="{27E05FFC-3A38-4B6A-98FD-7CB6B42EEDC5}"/>
    <cellStyle name="Currency 5 6 4 3 3" xfId="22785" xr:uid="{F8A92F1E-8901-44F4-B3A8-38C80CD67E45}"/>
    <cellStyle name="Currency 5 6 4 4" xfId="10127" xr:uid="{7C95AECD-14A8-42D2-BC59-F340217B9455}"/>
    <cellStyle name="Currency 5 6 4 5" xfId="18568" xr:uid="{4F737FDD-5726-4A8D-A7F3-C787371AC194}"/>
    <cellStyle name="Currency 5 6 5" xfId="2009" xr:uid="{00000000-0005-0000-0000-0000760D0000}"/>
    <cellStyle name="Currency 5 6 5 2" xfId="4238" xr:uid="{00000000-0005-0000-0000-0000770D0000}"/>
    <cellStyle name="Currency 5 6 5 2 2" xfId="8461" xr:uid="{00000000-0005-0000-0000-0000780D0000}"/>
    <cellStyle name="Currency 5 6 5 2 2 2" xfId="16903" xr:uid="{70DEA42F-B2AC-4296-B504-0AE41F9F817A}"/>
    <cellStyle name="Currency 5 6 5 2 2 3" xfId="25343" xr:uid="{7E55743B-7E77-4188-AF36-EE7E22F60B74}"/>
    <cellStyle name="Currency 5 6 5 2 3" xfId="12685" xr:uid="{9DAEA3A0-EE9B-4C7D-82D2-E948708C1586}"/>
    <cellStyle name="Currency 5 6 5 2 4" xfId="21126" xr:uid="{9EC1296E-264B-426C-A792-BFBBD9D6E4BA}"/>
    <cellStyle name="Currency 5 6 5 3" xfId="6316" xr:uid="{00000000-0005-0000-0000-0000790D0000}"/>
    <cellStyle name="Currency 5 6 5 3 2" xfId="14758" xr:uid="{D859D98E-7AEA-44DB-8931-6E165EA9E4A3}"/>
    <cellStyle name="Currency 5 6 5 3 3" xfId="23198" xr:uid="{42DC8C5F-397C-4AE0-A043-54C46395C0CE}"/>
    <cellStyle name="Currency 5 6 5 4" xfId="10540" xr:uid="{18C29277-7AA6-4290-98B4-0FD353CCFB63}"/>
    <cellStyle name="Currency 5 6 5 5" xfId="18981" xr:uid="{4CFB6875-403A-4212-95C6-6454EDBA2074}"/>
    <cellStyle name="Currency 5 6 6" xfId="2444" xr:uid="{00000000-0005-0000-0000-00007A0D0000}"/>
    <cellStyle name="Currency 5 6 6 2" xfId="6729" xr:uid="{00000000-0005-0000-0000-00007B0D0000}"/>
    <cellStyle name="Currency 5 6 6 2 2" xfId="15171" xr:uid="{DAD7804F-6B62-405A-8849-EB4686A2964D}"/>
    <cellStyle name="Currency 5 6 6 2 3" xfId="23611" xr:uid="{52653C43-2435-49AD-A58C-ACE5964B87D7}"/>
    <cellStyle name="Currency 5 6 6 3" xfId="10953" xr:uid="{AF470807-8F3B-47F9-9144-1B833FF3568D}"/>
    <cellStyle name="Currency 5 6 6 4" xfId="19394" xr:uid="{21796710-4265-4790-BFFF-8F6204CAF425}"/>
    <cellStyle name="Currency 5 6 7" xfId="2741" xr:uid="{00000000-0005-0000-0000-00007C0D0000}"/>
    <cellStyle name="Currency 5 6 8" xfId="2822" xr:uid="{00000000-0005-0000-0000-00007D0D0000}"/>
    <cellStyle name="Currency 5 6 8 2" xfId="7046" xr:uid="{00000000-0005-0000-0000-00007E0D0000}"/>
    <cellStyle name="Currency 5 6 8 2 2" xfId="15488" xr:uid="{E5511A4D-371B-42C2-AA07-3E888B04FBBE}"/>
    <cellStyle name="Currency 5 6 8 2 3" xfId="23928" xr:uid="{78D146E5-EE72-479F-9695-6D488F8A5D9A}"/>
    <cellStyle name="Currency 5 6 8 3" xfId="11270" xr:uid="{0BB9DD43-3F0E-400F-B765-51298A86BB5A}"/>
    <cellStyle name="Currency 5 6 8 4" xfId="19711" xr:uid="{B4172063-0554-4E0B-B31D-C481C46BD22C}"/>
    <cellStyle name="Currency 5 6 9" xfId="4663" xr:uid="{00000000-0005-0000-0000-00007F0D0000}"/>
    <cellStyle name="Currency 5 6 9 2" xfId="13105" xr:uid="{C97B3992-2C62-4416-A8E1-D8BD76ECEA6A}"/>
    <cellStyle name="Currency 5 6 9 3" xfId="21545" xr:uid="{15560614-B629-4774-985F-1508F3C673AF}"/>
    <cellStyle name="Currency 5 7" xfId="222" xr:uid="{00000000-0005-0000-0000-0000800D0000}"/>
    <cellStyle name="Currency 5 7 10" xfId="8888" xr:uid="{3B71177C-0603-4E0D-A958-7F98DF14E994}"/>
    <cellStyle name="Currency 5 7 11" xfId="17329" xr:uid="{DA7914F9-BA00-4A5D-A83B-6CA5F7EA2E6B}"/>
    <cellStyle name="Currency 5 7 2" xfId="748" xr:uid="{00000000-0005-0000-0000-0000810D0000}"/>
    <cellStyle name="Currency 5 7 2 2" xfId="3000" xr:uid="{00000000-0005-0000-0000-0000820D0000}"/>
    <cellStyle name="Currency 5 7 2 2 2" xfId="7223" xr:uid="{00000000-0005-0000-0000-0000830D0000}"/>
    <cellStyle name="Currency 5 7 2 2 2 2" xfId="15665" xr:uid="{B2AC0977-5244-48B3-A1E5-FA9441AEDA18}"/>
    <cellStyle name="Currency 5 7 2 2 2 3" xfId="24105" xr:uid="{3FEEC118-EF84-4D34-80F8-F7710750FC9C}"/>
    <cellStyle name="Currency 5 7 2 2 3" xfId="11447" xr:uid="{3A8CA1C9-E64A-46EC-931B-5A98DCF0E5C2}"/>
    <cellStyle name="Currency 5 7 2 2 4" xfId="19888" xr:uid="{E4431C48-F25C-4B44-9068-13BFAABCBF81}"/>
    <cellStyle name="Currency 5 7 2 3" xfId="5078" xr:uid="{00000000-0005-0000-0000-0000840D0000}"/>
    <cellStyle name="Currency 5 7 2 3 2" xfId="13520" xr:uid="{C710518D-28B5-4034-A34F-1D8B063A3C2E}"/>
    <cellStyle name="Currency 5 7 2 3 3" xfId="21960" xr:uid="{21B50D6E-6B11-4CF8-89F9-E17194F4A958}"/>
    <cellStyle name="Currency 5 7 2 4" xfId="9302" xr:uid="{B7034117-4D3E-49ED-89A6-A9F1175830AD}"/>
    <cellStyle name="Currency 5 7 2 5" xfId="17743" xr:uid="{52C51FE2-BE15-4914-B4AB-5B97189071A7}"/>
    <cellStyle name="Currency 5 7 3" xfId="1182" xr:uid="{00000000-0005-0000-0000-0000850D0000}"/>
    <cellStyle name="Currency 5 7 3 2" xfId="3413" xr:uid="{00000000-0005-0000-0000-0000860D0000}"/>
    <cellStyle name="Currency 5 7 3 2 2" xfId="7636" xr:uid="{00000000-0005-0000-0000-0000870D0000}"/>
    <cellStyle name="Currency 5 7 3 2 2 2" xfId="16078" xr:uid="{1AD119B7-2309-4EE7-9F13-7F4ABB1B80E2}"/>
    <cellStyle name="Currency 5 7 3 2 2 3" xfId="24518" xr:uid="{71862CBF-F86F-474B-A8CE-E1379816E6A9}"/>
    <cellStyle name="Currency 5 7 3 2 3" xfId="11860" xr:uid="{A3CC3A06-F235-412E-9CA3-8481139E76B0}"/>
    <cellStyle name="Currency 5 7 3 2 4" xfId="20301" xr:uid="{03A751D0-1A83-40A0-B24E-F1BCF6680D66}"/>
    <cellStyle name="Currency 5 7 3 3" xfId="5491" xr:uid="{00000000-0005-0000-0000-0000880D0000}"/>
    <cellStyle name="Currency 5 7 3 3 2" xfId="13933" xr:uid="{5217C0AC-B6E8-4398-B5F5-705F08321D93}"/>
    <cellStyle name="Currency 5 7 3 3 3" xfId="22373" xr:uid="{266DD4E0-0072-4D8A-BA3B-F0426B77F4D6}"/>
    <cellStyle name="Currency 5 7 3 4" xfId="9715" xr:uid="{2C02A9D2-6B79-4E20-8040-CD7DE4D90AAC}"/>
    <cellStyle name="Currency 5 7 3 5" xfId="18156" xr:uid="{17CDCCF5-B5CF-4293-B065-E9F495140658}"/>
    <cellStyle name="Currency 5 7 4" xfId="1596" xr:uid="{00000000-0005-0000-0000-0000890D0000}"/>
    <cellStyle name="Currency 5 7 4 2" xfId="3826" xr:uid="{00000000-0005-0000-0000-00008A0D0000}"/>
    <cellStyle name="Currency 5 7 4 2 2" xfId="8049" xr:uid="{00000000-0005-0000-0000-00008B0D0000}"/>
    <cellStyle name="Currency 5 7 4 2 2 2" xfId="16491" xr:uid="{477303E0-D2BC-45E6-9ABB-4B7CBFDE1CA3}"/>
    <cellStyle name="Currency 5 7 4 2 2 3" xfId="24931" xr:uid="{105DD4F5-771B-4169-A36A-E5427EFCCA99}"/>
    <cellStyle name="Currency 5 7 4 2 3" xfId="12273" xr:uid="{CDF5D9F3-17BC-4007-8B0E-485C59CE66A9}"/>
    <cellStyle name="Currency 5 7 4 2 4" xfId="20714" xr:uid="{89087626-5726-4999-B78B-FB6E1FFF7DDE}"/>
    <cellStyle name="Currency 5 7 4 3" xfId="5904" xr:uid="{00000000-0005-0000-0000-00008C0D0000}"/>
    <cellStyle name="Currency 5 7 4 3 2" xfId="14346" xr:uid="{7DE80109-CF46-46D3-A120-96A1CBF7ADF9}"/>
    <cellStyle name="Currency 5 7 4 3 3" xfId="22786" xr:uid="{51949D86-7EA9-4FB8-B68B-65DCDED30A1D}"/>
    <cellStyle name="Currency 5 7 4 4" xfId="10128" xr:uid="{060B33F1-7260-424F-910A-335A3DC15CEC}"/>
    <cellStyle name="Currency 5 7 4 5" xfId="18569" xr:uid="{DC306895-7452-4C20-BD17-B55D602E6385}"/>
    <cellStyle name="Currency 5 7 5" xfId="2010" xr:uid="{00000000-0005-0000-0000-00008D0D0000}"/>
    <cellStyle name="Currency 5 7 5 2" xfId="4239" xr:uid="{00000000-0005-0000-0000-00008E0D0000}"/>
    <cellStyle name="Currency 5 7 5 2 2" xfId="8462" xr:uid="{00000000-0005-0000-0000-00008F0D0000}"/>
    <cellStyle name="Currency 5 7 5 2 2 2" xfId="16904" xr:uid="{E24AA590-BC30-42F6-8401-14A9E0FE2739}"/>
    <cellStyle name="Currency 5 7 5 2 2 3" xfId="25344" xr:uid="{D208ADED-EEF3-42DF-8C58-237DF837D1D6}"/>
    <cellStyle name="Currency 5 7 5 2 3" xfId="12686" xr:uid="{46608EE9-6B20-42C1-A377-74569A13E068}"/>
    <cellStyle name="Currency 5 7 5 2 4" xfId="21127" xr:uid="{C59042B4-51CF-42D7-ADE2-494658D9D7DF}"/>
    <cellStyle name="Currency 5 7 5 3" xfId="6317" xr:uid="{00000000-0005-0000-0000-0000900D0000}"/>
    <cellStyle name="Currency 5 7 5 3 2" xfId="14759" xr:uid="{3F2A8089-7311-4EF9-B6E8-FF1F5518EE0D}"/>
    <cellStyle name="Currency 5 7 5 3 3" xfId="23199" xr:uid="{00340190-A85B-4043-961C-D58876D6FE02}"/>
    <cellStyle name="Currency 5 7 5 4" xfId="10541" xr:uid="{3FDAE073-DE44-4EFC-B7FB-25949B2A5301}"/>
    <cellStyle name="Currency 5 7 5 5" xfId="18982" xr:uid="{320590DC-B287-4103-9B41-9B9EFA704ED2}"/>
    <cellStyle name="Currency 5 7 6" xfId="2445" xr:uid="{00000000-0005-0000-0000-0000910D0000}"/>
    <cellStyle name="Currency 5 7 6 2" xfId="6730" xr:uid="{00000000-0005-0000-0000-0000920D0000}"/>
    <cellStyle name="Currency 5 7 6 2 2" xfId="15172" xr:uid="{23245E01-7635-4C90-85EE-47BEF3100FBB}"/>
    <cellStyle name="Currency 5 7 6 2 3" xfId="23612" xr:uid="{C16C97DA-0B69-46F4-A2F4-0488E6F40423}"/>
    <cellStyle name="Currency 5 7 6 3" xfId="10954" xr:uid="{9E05BDC1-EB49-4CF1-A8BA-C07E647DED17}"/>
    <cellStyle name="Currency 5 7 6 4" xfId="19395" xr:uid="{E83B8CA4-AB16-4446-AC39-1823E53747E1}"/>
    <cellStyle name="Currency 5 7 7" xfId="2742" xr:uid="{00000000-0005-0000-0000-0000930D0000}"/>
    <cellStyle name="Currency 5 7 8" xfId="2823" xr:uid="{00000000-0005-0000-0000-0000940D0000}"/>
    <cellStyle name="Currency 5 7 8 2" xfId="7047" xr:uid="{00000000-0005-0000-0000-0000950D0000}"/>
    <cellStyle name="Currency 5 7 8 2 2" xfId="15489" xr:uid="{2903D7BF-1D95-49DC-99FB-8ED1BDBDE9C0}"/>
    <cellStyle name="Currency 5 7 8 2 3" xfId="23929" xr:uid="{B30436ED-CFD1-449F-83DA-AB39F224DC91}"/>
    <cellStyle name="Currency 5 7 8 3" xfId="11271" xr:uid="{F6E0C7EE-28A0-47A9-8C42-2229A18427A5}"/>
    <cellStyle name="Currency 5 7 8 4" xfId="19712" xr:uid="{EFC32EA1-A960-43BE-A62E-13B7B7E1A761}"/>
    <cellStyle name="Currency 5 7 9" xfId="4664" xr:uid="{00000000-0005-0000-0000-0000960D0000}"/>
    <cellStyle name="Currency 5 7 9 2" xfId="13106" xr:uid="{43FABBF8-5C41-4B0D-8FD7-AD0F191E1E61}"/>
    <cellStyle name="Currency 5 7 9 3" xfId="21546" xr:uid="{611B1A71-4963-4157-9FD0-C31139FFE96F}"/>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0 2 2" xfId="15173" xr:uid="{71B39549-088E-4703-9311-43836ACF5F2E}"/>
    <cellStyle name="Normal 12 10 2 3" xfId="23613" xr:uid="{B37FA39C-03BD-4BD4-BEC3-73C02FC7E373}"/>
    <cellStyle name="Normal 12 10 3" xfId="10955" xr:uid="{3AAD6FE6-B025-4DC4-ADF7-9BD15C7F530C}"/>
    <cellStyle name="Normal 12 10 4" xfId="19396" xr:uid="{414C8F80-E23F-46A7-A4D4-281F6E8AD365}"/>
    <cellStyle name="Normal 12 11" xfId="4665" xr:uid="{00000000-0005-0000-0000-0000CC0D0000}"/>
    <cellStyle name="Normal 12 11 2" xfId="13107" xr:uid="{F591E376-9335-47AF-8728-AB2B215B3BA6}"/>
    <cellStyle name="Normal 12 11 3" xfId="21547" xr:uid="{9EEDD352-5FF2-46CE-9114-2FF265810358}"/>
    <cellStyle name="Normal 12 12" xfId="8889" xr:uid="{C8F55B07-5CF5-477E-A401-860A6157A628}"/>
    <cellStyle name="Normal 12 13" xfId="17330" xr:uid="{6A329EFB-75F7-40EF-9C01-8DF8F5E19A03}"/>
    <cellStyle name="Normal 12 2" xfId="260" xr:uid="{00000000-0005-0000-0000-0000CD0D0000}"/>
    <cellStyle name="Normal 12 2 10" xfId="8890" xr:uid="{CE7EACE3-6B34-4AF1-A1F3-0E03F322769E}"/>
    <cellStyle name="Normal 12 2 11" xfId="17331" xr:uid="{464E4D2E-1679-444B-93BF-8A6379C36CCD}"/>
    <cellStyle name="Normal 12 2 2" xfId="261" xr:uid="{00000000-0005-0000-0000-0000CE0D0000}"/>
    <cellStyle name="Normal 12 2 2 10" xfId="17332" xr:uid="{06A7DD50-9DE7-4982-BB22-0236BDF97E3F}"/>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15669" xr:uid="{F4CA7EBE-367C-4730-BC47-73285A83C127}"/>
    <cellStyle name="Normal 12 2 2 2 2 2 2 3" xfId="24109" xr:uid="{E38149FF-EF62-41C2-AC21-9AF4FD3A7027}"/>
    <cellStyle name="Normal 12 2 2 2 2 2 3" xfId="11451" xr:uid="{49EB9756-34EE-403D-B636-12EFAFCF85BA}"/>
    <cellStyle name="Normal 12 2 2 2 2 2 4" xfId="19892" xr:uid="{FDB3D113-FE98-49C4-A088-F015F9D0AF25}"/>
    <cellStyle name="Normal 12 2 2 2 2 3" xfId="5082" xr:uid="{00000000-0005-0000-0000-0000D30D0000}"/>
    <cellStyle name="Normal 12 2 2 2 2 3 2" xfId="13524" xr:uid="{A0F63609-90C1-409F-8F55-0B860B5B4AF3}"/>
    <cellStyle name="Normal 12 2 2 2 2 3 3" xfId="21964" xr:uid="{1FDFA325-5023-4F30-99CC-FB36CB049D55}"/>
    <cellStyle name="Normal 12 2 2 2 2 4" xfId="9306" xr:uid="{C40AA087-CF0B-4320-9702-2989A7F7AB27}"/>
    <cellStyle name="Normal 12 2 2 2 2 5" xfId="17747" xr:uid="{07A1EFA2-D486-4C77-9E78-14394CAEE46E}"/>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16082" xr:uid="{E785DEE6-2D2B-40FD-8CC3-59957927DEFE}"/>
    <cellStyle name="Normal 12 2 2 2 3 2 2 3" xfId="24522" xr:uid="{97D26645-0400-441D-9526-712BFF0063DF}"/>
    <cellStyle name="Normal 12 2 2 2 3 2 3" xfId="11864" xr:uid="{7FAC906A-249F-41BF-A551-9D3A3AB1CF8E}"/>
    <cellStyle name="Normal 12 2 2 2 3 2 4" xfId="20305" xr:uid="{B0000DA7-29B1-46AF-B1AB-C098F06FC9CD}"/>
    <cellStyle name="Normal 12 2 2 2 3 3" xfId="5495" xr:uid="{00000000-0005-0000-0000-0000D70D0000}"/>
    <cellStyle name="Normal 12 2 2 2 3 3 2" xfId="13937" xr:uid="{9FF3E94B-E85A-4495-8215-982AFC8DB184}"/>
    <cellStyle name="Normal 12 2 2 2 3 3 3" xfId="22377" xr:uid="{0580F42A-7F11-42FE-9793-D3788F31125E}"/>
    <cellStyle name="Normal 12 2 2 2 3 4" xfId="9719" xr:uid="{A59C5862-CD23-4CA5-9A27-7F5C82CAF496}"/>
    <cellStyle name="Normal 12 2 2 2 3 5" xfId="18160" xr:uid="{1F178B5E-E8B3-47F1-A9BE-92995378EA46}"/>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16495" xr:uid="{40019298-DF35-4D6A-B28B-A9475705E2CA}"/>
    <cellStyle name="Normal 12 2 2 2 4 2 2 3" xfId="24935" xr:uid="{6627F72F-FE6B-48B2-B1A2-781DC549711C}"/>
    <cellStyle name="Normal 12 2 2 2 4 2 3" xfId="12277" xr:uid="{3A2BA58E-51E6-4D2C-8C3D-744E3217148A}"/>
    <cellStyle name="Normal 12 2 2 2 4 2 4" xfId="20718" xr:uid="{8E3F2109-3BC2-4FB2-9AFF-DCB1B17DDAF5}"/>
    <cellStyle name="Normal 12 2 2 2 4 3" xfId="5908" xr:uid="{00000000-0005-0000-0000-0000DB0D0000}"/>
    <cellStyle name="Normal 12 2 2 2 4 3 2" xfId="14350" xr:uid="{40063554-923B-40D5-B4D7-9B66B5C6CEB6}"/>
    <cellStyle name="Normal 12 2 2 2 4 3 3" xfId="22790" xr:uid="{7D4B1009-C47E-4391-8A9C-6515E8445979}"/>
    <cellStyle name="Normal 12 2 2 2 4 4" xfId="10132" xr:uid="{501714B3-37D9-4739-8A95-94FEDC82E5FA}"/>
    <cellStyle name="Normal 12 2 2 2 4 5" xfId="18573" xr:uid="{D1F77CFE-CC57-4B23-8D5C-DB512F17C626}"/>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16908" xr:uid="{20251354-716C-4D5D-A701-46A5FAC71E1E}"/>
    <cellStyle name="Normal 12 2 2 2 5 2 2 3" xfId="25348" xr:uid="{C3486F31-19DB-4C06-8748-9A19C763BCF1}"/>
    <cellStyle name="Normal 12 2 2 2 5 2 3" xfId="12690" xr:uid="{83950871-39E3-4727-AC1F-2B3D786571C0}"/>
    <cellStyle name="Normal 12 2 2 2 5 2 4" xfId="21131" xr:uid="{176785A4-F7AD-4BF1-BA67-EB72EAF55941}"/>
    <cellStyle name="Normal 12 2 2 2 5 3" xfId="6321" xr:uid="{00000000-0005-0000-0000-0000DF0D0000}"/>
    <cellStyle name="Normal 12 2 2 2 5 3 2" xfId="14763" xr:uid="{76D32BF6-78EE-470F-B0C1-AC464F4A349D}"/>
    <cellStyle name="Normal 12 2 2 2 5 3 3" xfId="23203" xr:uid="{7A6C77CA-EC3A-4195-A9AE-75DAB7D99B94}"/>
    <cellStyle name="Normal 12 2 2 2 5 4" xfId="10545" xr:uid="{62BA5370-F466-4FAD-8D1D-9332794CB2F5}"/>
    <cellStyle name="Normal 12 2 2 2 5 5" xfId="18986" xr:uid="{57D0597D-E346-49EC-BDA5-686F7C34D64E}"/>
    <cellStyle name="Normal 12 2 2 2 6" xfId="2450" xr:uid="{00000000-0005-0000-0000-0000E00D0000}"/>
    <cellStyle name="Normal 12 2 2 2 6 2" xfId="6734" xr:uid="{00000000-0005-0000-0000-0000E10D0000}"/>
    <cellStyle name="Normal 12 2 2 2 6 2 2" xfId="15176" xr:uid="{8325D148-173A-4918-B13A-FEAA82EE456C}"/>
    <cellStyle name="Normal 12 2 2 2 6 2 3" xfId="23616" xr:uid="{650C8432-F615-4677-B7CE-6DFA19944D6D}"/>
    <cellStyle name="Normal 12 2 2 2 6 3" xfId="10958" xr:uid="{3BDAD8C5-3EE7-4FB5-8FC8-ACF05FE13AD0}"/>
    <cellStyle name="Normal 12 2 2 2 6 4" xfId="19399" xr:uid="{4D0CB991-3800-4569-B9B6-A330C1931DA4}"/>
    <cellStyle name="Normal 12 2 2 2 7" xfId="4668" xr:uid="{00000000-0005-0000-0000-0000E20D0000}"/>
    <cellStyle name="Normal 12 2 2 2 7 2" xfId="13110" xr:uid="{02B6788A-B2E0-4926-A282-10440CA15BCF}"/>
    <cellStyle name="Normal 12 2 2 2 7 3" xfId="21550" xr:uid="{A2A4E016-4D18-414F-8C3F-BEE8E393A375}"/>
    <cellStyle name="Normal 12 2 2 2 8" xfId="8892" xr:uid="{A34B7F3A-B177-481D-9D48-F4A78E2CD3A2}"/>
    <cellStyle name="Normal 12 2 2 2 9" xfId="17333" xr:uid="{1B3C78E3-D661-4A2A-9DD5-C9D245744447}"/>
    <cellStyle name="Normal 12 2 2 3" xfId="762" xr:uid="{00000000-0005-0000-0000-0000E30D0000}"/>
    <cellStyle name="Normal 12 2 2 3 2" xfId="3003" xr:uid="{00000000-0005-0000-0000-0000E40D0000}"/>
    <cellStyle name="Normal 12 2 2 3 2 2" xfId="7226" xr:uid="{00000000-0005-0000-0000-0000E50D0000}"/>
    <cellStyle name="Normal 12 2 2 3 2 2 2" xfId="15668" xr:uid="{660B77F3-6269-4EC4-BB49-56983BA25CA2}"/>
    <cellStyle name="Normal 12 2 2 3 2 2 3" xfId="24108" xr:uid="{A0A31E73-F743-4EDF-93F4-34E87BB7CB00}"/>
    <cellStyle name="Normal 12 2 2 3 2 3" xfId="11450" xr:uid="{68B11582-5E6F-4AC1-994A-840CFBF4411B}"/>
    <cellStyle name="Normal 12 2 2 3 2 4" xfId="19891" xr:uid="{EF598445-59B8-41C0-BC06-D2C63151213A}"/>
    <cellStyle name="Normal 12 2 2 3 3" xfId="5081" xr:uid="{00000000-0005-0000-0000-0000E60D0000}"/>
    <cellStyle name="Normal 12 2 2 3 3 2" xfId="13523" xr:uid="{77271558-8B8C-41EC-9D8B-D81D042E7E75}"/>
    <cellStyle name="Normal 12 2 2 3 3 3" xfId="21963" xr:uid="{291DC010-161E-4B72-8B7A-E9734420C4FD}"/>
    <cellStyle name="Normal 12 2 2 3 4" xfId="9305" xr:uid="{C332C62F-EDA2-43F0-B97D-DF367FB428D7}"/>
    <cellStyle name="Normal 12 2 2 3 5" xfId="17746" xr:uid="{4892FDF4-F073-4DAB-9EA6-CDBD5D8418CF}"/>
    <cellStyle name="Normal 12 2 2 4" xfId="1185" xr:uid="{00000000-0005-0000-0000-0000E70D0000}"/>
    <cellStyle name="Normal 12 2 2 4 2" xfId="3416" xr:uid="{00000000-0005-0000-0000-0000E80D0000}"/>
    <cellStyle name="Normal 12 2 2 4 2 2" xfId="7639" xr:uid="{00000000-0005-0000-0000-0000E90D0000}"/>
    <cellStyle name="Normal 12 2 2 4 2 2 2" xfId="16081" xr:uid="{840C6919-1DF1-4F0E-8D58-FF1CCC62342E}"/>
    <cellStyle name="Normal 12 2 2 4 2 2 3" xfId="24521" xr:uid="{56F81634-0F0C-423E-9D30-929EC1688C70}"/>
    <cellStyle name="Normal 12 2 2 4 2 3" xfId="11863" xr:uid="{339CA0C4-79D0-4984-8B89-01CE22F955AE}"/>
    <cellStyle name="Normal 12 2 2 4 2 4" xfId="20304" xr:uid="{98AF6029-A2CA-4F16-884E-76AE86000F74}"/>
    <cellStyle name="Normal 12 2 2 4 3" xfId="5494" xr:uid="{00000000-0005-0000-0000-0000EA0D0000}"/>
    <cellStyle name="Normal 12 2 2 4 3 2" xfId="13936" xr:uid="{454F7940-EAC9-4F51-BD5E-F0DCE76ED771}"/>
    <cellStyle name="Normal 12 2 2 4 3 3" xfId="22376" xr:uid="{D01997AD-9368-4F32-96A9-A581301282C4}"/>
    <cellStyle name="Normal 12 2 2 4 4" xfId="9718" xr:uid="{D708D3E6-90AC-4210-82BE-43DCC054277A}"/>
    <cellStyle name="Normal 12 2 2 4 5" xfId="18159" xr:uid="{51D1DC28-B60B-4CDC-9D3A-D2472FA43A56}"/>
    <cellStyle name="Normal 12 2 2 5" xfId="1599" xr:uid="{00000000-0005-0000-0000-0000EB0D0000}"/>
    <cellStyle name="Normal 12 2 2 5 2" xfId="3829" xr:uid="{00000000-0005-0000-0000-0000EC0D0000}"/>
    <cellStyle name="Normal 12 2 2 5 2 2" xfId="8052" xr:uid="{00000000-0005-0000-0000-0000ED0D0000}"/>
    <cellStyle name="Normal 12 2 2 5 2 2 2" xfId="16494" xr:uid="{211206CB-E8D7-4791-9211-5A11DEFAD2D9}"/>
    <cellStyle name="Normal 12 2 2 5 2 2 3" xfId="24934" xr:uid="{799AC469-B38A-42DF-867A-26390ECBB592}"/>
    <cellStyle name="Normal 12 2 2 5 2 3" xfId="12276" xr:uid="{7FC58558-1DBC-498E-AD6B-5845D61CBB8E}"/>
    <cellStyle name="Normal 12 2 2 5 2 4" xfId="20717" xr:uid="{FB7E2C6C-315E-486D-A226-4A0AA8EE6C16}"/>
    <cellStyle name="Normal 12 2 2 5 3" xfId="5907" xr:uid="{00000000-0005-0000-0000-0000EE0D0000}"/>
    <cellStyle name="Normal 12 2 2 5 3 2" xfId="14349" xr:uid="{086F2304-A982-41D2-85D5-8BE2ED06F084}"/>
    <cellStyle name="Normal 12 2 2 5 3 3" xfId="22789" xr:uid="{47DB8844-59AD-4801-9C71-85C7C11EBF6C}"/>
    <cellStyle name="Normal 12 2 2 5 4" xfId="10131" xr:uid="{850774C2-8083-4B2E-B4FC-24476E5BDAA3}"/>
    <cellStyle name="Normal 12 2 2 5 5" xfId="18572" xr:uid="{E7616B97-2ED4-4FC0-86C4-53574AD88874}"/>
    <cellStyle name="Normal 12 2 2 6" xfId="2013" xr:uid="{00000000-0005-0000-0000-0000EF0D0000}"/>
    <cellStyle name="Normal 12 2 2 6 2" xfId="4242" xr:uid="{00000000-0005-0000-0000-0000F00D0000}"/>
    <cellStyle name="Normal 12 2 2 6 2 2" xfId="8465" xr:uid="{00000000-0005-0000-0000-0000F10D0000}"/>
    <cellStyle name="Normal 12 2 2 6 2 2 2" xfId="16907" xr:uid="{CBD743B9-3B67-4965-B7B4-B95BAC00D053}"/>
    <cellStyle name="Normal 12 2 2 6 2 2 3" xfId="25347" xr:uid="{2E9A5BF2-ED2C-4AD3-8BE6-87CA75C2E0CC}"/>
    <cellStyle name="Normal 12 2 2 6 2 3" xfId="12689" xr:uid="{B4BB53B4-3DF8-41FE-98E7-BBFBD683A1FE}"/>
    <cellStyle name="Normal 12 2 2 6 2 4" xfId="21130" xr:uid="{B6EA6EE9-6331-4CB8-B9DD-5CEEC47BF47E}"/>
    <cellStyle name="Normal 12 2 2 6 3" xfId="6320" xr:uid="{00000000-0005-0000-0000-0000F20D0000}"/>
    <cellStyle name="Normal 12 2 2 6 3 2" xfId="14762" xr:uid="{9C571366-87A7-4E48-A544-E2D8BC0E3A6A}"/>
    <cellStyle name="Normal 12 2 2 6 3 3" xfId="23202" xr:uid="{C286A537-A5B0-4099-93F8-C499522882E2}"/>
    <cellStyle name="Normal 12 2 2 6 4" xfId="10544" xr:uid="{34F72C0D-DFBE-40B2-A68C-8A993646EBE6}"/>
    <cellStyle name="Normal 12 2 2 6 5" xfId="18985" xr:uid="{9A32D882-5B90-44FF-AFD4-4064E73B2EE7}"/>
    <cellStyle name="Normal 12 2 2 7" xfId="2449" xr:uid="{00000000-0005-0000-0000-0000F30D0000}"/>
    <cellStyle name="Normal 12 2 2 7 2" xfId="6733" xr:uid="{00000000-0005-0000-0000-0000F40D0000}"/>
    <cellStyle name="Normal 12 2 2 7 2 2" xfId="15175" xr:uid="{EC0E7313-34E9-4422-82B7-73A76936DBCB}"/>
    <cellStyle name="Normal 12 2 2 7 2 3" xfId="23615" xr:uid="{EEC4870A-8DFB-4566-9343-4D86DAA32F58}"/>
    <cellStyle name="Normal 12 2 2 7 3" xfId="10957" xr:uid="{3677881D-F110-464B-824F-284398A1EFF9}"/>
    <cellStyle name="Normal 12 2 2 7 4" xfId="19398" xr:uid="{AF8D307C-6AF4-4E9F-94A5-EFEDE087B86E}"/>
    <cellStyle name="Normal 12 2 2 8" xfId="4667" xr:uid="{00000000-0005-0000-0000-0000F50D0000}"/>
    <cellStyle name="Normal 12 2 2 8 2" xfId="13109" xr:uid="{1BE23A14-F349-423E-B258-86F339F0D6E0}"/>
    <cellStyle name="Normal 12 2 2 8 3" xfId="21549" xr:uid="{CC93978F-108A-4135-8D2F-F48BBE7A7734}"/>
    <cellStyle name="Normal 12 2 2 9" xfId="8891" xr:uid="{FACCB5EF-CC3F-4463-AA9A-02FCE9496AB1}"/>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2 2 2" xfId="15670" xr:uid="{B74C7A14-FC88-47C0-87ED-A51F81559A62}"/>
    <cellStyle name="Normal 12 2 3 2 2 2 3" xfId="24110" xr:uid="{3CE23098-B178-41EA-98BB-9E4BCD7BBB59}"/>
    <cellStyle name="Normal 12 2 3 2 2 3" xfId="11452" xr:uid="{95FFC262-405F-43B7-83A7-AD6C07494499}"/>
    <cellStyle name="Normal 12 2 3 2 2 4" xfId="19893" xr:uid="{6A651478-8645-44BE-B98A-D6C658DE52D6}"/>
    <cellStyle name="Normal 12 2 3 2 3" xfId="5083" xr:uid="{00000000-0005-0000-0000-0000FA0D0000}"/>
    <cellStyle name="Normal 12 2 3 2 3 2" xfId="13525" xr:uid="{80A94184-299C-4293-8EC6-9554CDEE8FFD}"/>
    <cellStyle name="Normal 12 2 3 2 3 3" xfId="21965" xr:uid="{D225380B-2722-4274-95F6-DB3B534D8675}"/>
    <cellStyle name="Normal 12 2 3 2 4" xfId="9307" xr:uid="{454B428F-AA46-41A6-84F9-B63F82904238}"/>
    <cellStyle name="Normal 12 2 3 2 5" xfId="17748" xr:uid="{72ECEA1D-251E-4350-AC20-8D9F6D523C0C}"/>
    <cellStyle name="Normal 12 2 3 3" xfId="1187" xr:uid="{00000000-0005-0000-0000-0000FB0D0000}"/>
    <cellStyle name="Normal 12 2 3 3 2" xfId="3418" xr:uid="{00000000-0005-0000-0000-0000FC0D0000}"/>
    <cellStyle name="Normal 12 2 3 3 2 2" xfId="7641" xr:uid="{00000000-0005-0000-0000-0000FD0D0000}"/>
    <cellStyle name="Normal 12 2 3 3 2 2 2" xfId="16083" xr:uid="{D7A861ED-64C7-4443-AACC-EE975A1004E8}"/>
    <cellStyle name="Normal 12 2 3 3 2 2 3" xfId="24523" xr:uid="{543B7624-28EE-4573-8C66-FDAF9DBFBC06}"/>
    <cellStyle name="Normal 12 2 3 3 2 3" xfId="11865" xr:uid="{B6B22255-CAFA-4F90-B1A8-8BA9864A763C}"/>
    <cellStyle name="Normal 12 2 3 3 2 4" xfId="20306" xr:uid="{31D2D784-F928-4CCF-9C45-A49219FC7E84}"/>
    <cellStyle name="Normal 12 2 3 3 3" xfId="5496" xr:uid="{00000000-0005-0000-0000-0000FE0D0000}"/>
    <cellStyle name="Normal 12 2 3 3 3 2" xfId="13938" xr:uid="{4C3051AC-FE5E-4845-A895-043AC73B028D}"/>
    <cellStyle name="Normal 12 2 3 3 3 3" xfId="22378" xr:uid="{C6366D47-B7A8-4B37-BDF5-CA1DC9BCA4FD}"/>
    <cellStyle name="Normal 12 2 3 3 4" xfId="9720" xr:uid="{56F871A8-31B3-4E71-9CCF-578CD04B40DF}"/>
    <cellStyle name="Normal 12 2 3 3 5" xfId="18161" xr:uid="{9EF8C6DE-85D3-4412-BB74-D0A3A9EF20DE}"/>
    <cellStyle name="Normal 12 2 3 4" xfId="1601" xr:uid="{00000000-0005-0000-0000-0000FF0D0000}"/>
    <cellStyle name="Normal 12 2 3 4 2" xfId="3831" xr:uid="{00000000-0005-0000-0000-0000000E0000}"/>
    <cellStyle name="Normal 12 2 3 4 2 2" xfId="8054" xr:uid="{00000000-0005-0000-0000-0000010E0000}"/>
    <cellStyle name="Normal 12 2 3 4 2 2 2" xfId="16496" xr:uid="{2F076F60-B3DD-4762-87FC-9095BB5BEF18}"/>
    <cellStyle name="Normal 12 2 3 4 2 2 3" xfId="24936" xr:uid="{8B1C8F6E-77F6-4A58-89BF-3AD7E69FCFC8}"/>
    <cellStyle name="Normal 12 2 3 4 2 3" xfId="12278" xr:uid="{5D8C148C-D3DF-498B-ABC8-D0E46494CDAC}"/>
    <cellStyle name="Normal 12 2 3 4 2 4" xfId="20719" xr:uid="{2415D2EB-4D22-4B7F-B242-DFBA7B3D9494}"/>
    <cellStyle name="Normal 12 2 3 4 3" xfId="5909" xr:uid="{00000000-0005-0000-0000-0000020E0000}"/>
    <cellStyle name="Normal 12 2 3 4 3 2" xfId="14351" xr:uid="{C83A36A6-97C3-49FA-B209-E05E26A32DC8}"/>
    <cellStyle name="Normal 12 2 3 4 3 3" xfId="22791" xr:uid="{9EDC26F2-B6B0-4C53-9718-855CC5B43ECD}"/>
    <cellStyle name="Normal 12 2 3 4 4" xfId="10133" xr:uid="{BAADE447-DB99-4DF2-A054-712B8170C910}"/>
    <cellStyle name="Normal 12 2 3 4 5" xfId="18574" xr:uid="{E5CEE6BF-66DA-48B9-9518-0185031EC5C4}"/>
    <cellStyle name="Normal 12 2 3 5" xfId="2015" xr:uid="{00000000-0005-0000-0000-0000030E0000}"/>
    <cellStyle name="Normal 12 2 3 5 2" xfId="4244" xr:uid="{00000000-0005-0000-0000-0000040E0000}"/>
    <cellStyle name="Normal 12 2 3 5 2 2" xfId="8467" xr:uid="{00000000-0005-0000-0000-0000050E0000}"/>
    <cellStyle name="Normal 12 2 3 5 2 2 2" xfId="16909" xr:uid="{7F624248-47FD-4109-B53A-DB1DA71B1D31}"/>
    <cellStyle name="Normal 12 2 3 5 2 2 3" xfId="25349" xr:uid="{DB787DF9-7F13-4D10-B658-EBF097CCF767}"/>
    <cellStyle name="Normal 12 2 3 5 2 3" xfId="12691" xr:uid="{2C9669FF-EBDC-4081-9477-5608D52D0324}"/>
    <cellStyle name="Normal 12 2 3 5 2 4" xfId="21132" xr:uid="{A6DEED4B-C274-4A7F-A1C1-F7AD9A75A1FF}"/>
    <cellStyle name="Normal 12 2 3 5 3" xfId="6322" xr:uid="{00000000-0005-0000-0000-0000060E0000}"/>
    <cellStyle name="Normal 12 2 3 5 3 2" xfId="14764" xr:uid="{A993C14D-6FC5-48EF-909C-ED2A19EAE0C6}"/>
    <cellStyle name="Normal 12 2 3 5 3 3" xfId="23204" xr:uid="{DA881184-5A7C-412F-A8A4-D442D5169959}"/>
    <cellStyle name="Normal 12 2 3 5 4" xfId="10546" xr:uid="{7C63E2FD-8D9B-4464-B43C-158F689DAF7A}"/>
    <cellStyle name="Normal 12 2 3 5 5" xfId="18987" xr:uid="{63EA5E71-D6E8-4051-A154-972E783D1B9D}"/>
    <cellStyle name="Normal 12 2 3 6" xfId="2451" xr:uid="{00000000-0005-0000-0000-0000070E0000}"/>
    <cellStyle name="Normal 12 2 3 6 2" xfId="6735" xr:uid="{00000000-0005-0000-0000-0000080E0000}"/>
    <cellStyle name="Normal 12 2 3 6 2 2" xfId="15177" xr:uid="{BCFDB8D9-29EB-4B10-81F2-1CB7EA974033}"/>
    <cellStyle name="Normal 12 2 3 6 2 3" xfId="23617" xr:uid="{952F8DED-47AF-407A-851F-ED75EABE7480}"/>
    <cellStyle name="Normal 12 2 3 6 3" xfId="10959" xr:uid="{1AD30897-6409-4743-920F-4A13FA6B456E}"/>
    <cellStyle name="Normal 12 2 3 6 4" xfId="19400" xr:uid="{C7A63F03-C19B-4E43-8243-F20EAB51C56A}"/>
    <cellStyle name="Normal 12 2 3 7" xfId="4669" xr:uid="{00000000-0005-0000-0000-0000090E0000}"/>
    <cellStyle name="Normal 12 2 3 7 2" xfId="13111" xr:uid="{A0476DF8-3241-45CA-BE73-60C5DD241726}"/>
    <cellStyle name="Normal 12 2 3 7 3" xfId="21551" xr:uid="{B554E736-9653-4EF6-AF66-F5426ADD7B78}"/>
    <cellStyle name="Normal 12 2 3 8" xfId="8893" xr:uid="{12BA2C97-3F15-4FED-B805-49EF4BF0AE70}"/>
    <cellStyle name="Normal 12 2 3 9" xfId="17334" xr:uid="{D434D063-81E3-4FD5-87D2-430B27A3DA40}"/>
    <cellStyle name="Normal 12 2 4" xfId="761" xr:uid="{00000000-0005-0000-0000-00000A0E0000}"/>
    <cellStyle name="Normal 12 2 4 2" xfId="3002" xr:uid="{00000000-0005-0000-0000-00000B0E0000}"/>
    <cellStyle name="Normal 12 2 4 2 2" xfId="7225" xr:uid="{00000000-0005-0000-0000-00000C0E0000}"/>
    <cellStyle name="Normal 12 2 4 2 2 2" xfId="15667" xr:uid="{9FC349FE-8EC8-4DB0-97E8-CA942AFEE881}"/>
    <cellStyle name="Normal 12 2 4 2 2 3" xfId="24107" xr:uid="{C227B85F-ACC3-4ADD-B8CF-8D09F4213EBF}"/>
    <cellStyle name="Normal 12 2 4 2 3" xfId="11449" xr:uid="{D36261F3-BBC8-4649-9806-168BB1F04C3F}"/>
    <cellStyle name="Normal 12 2 4 2 4" xfId="19890" xr:uid="{669413F2-B222-40B6-A6F3-19D233247A0C}"/>
    <cellStyle name="Normal 12 2 4 3" xfId="5080" xr:uid="{00000000-0005-0000-0000-00000D0E0000}"/>
    <cellStyle name="Normal 12 2 4 3 2" xfId="13522" xr:uid="{128BED1F-D13C-477B-911A-D6A3723F26B1}"/>
    <cellStyle name="Normal 12 2 4 3 3" xfId="21962" xr:uid="{5B240188-62B4-4C19-8212-E1722BBEA9AB}"/>
    <cellStyle name="Normal 12 2 4 4" xfId="9304" xr:uid="{A96CF4FB-6F78-467E-9DBB-FBA65745D5F7}"/>
    <cellStyle name="Normal 12 2 4 5" xfId="17745" xr:uid="{43E65EF6-3734-4EC5-BEC3-4F63CE60E52A}"/>
    <cellStyle name="Normal 12 2 5" xfId="1184" xr:uid="{00000000-0005-0000-0000-00000E0E0000}"/>
    <cellStyle name="Normal 12 2 5 2" xfId="3415" xr:uid="{00000000-0005-0000-0000-00000F0E0000}"/>
    <cellStyle name="Normal 12 2 5 2 2" xfId="7638" xr:uid="{00000000-0005-0000-0000-0000100E0000}"/>
    <cellStyle name="Normal 12 2 5 2 2 2" xfId="16080" xr:uid="{EC93A75B-474C-4016-A3C7-214211829649}"/>
    <cellStyle name="Normal 12 2 5 2 2 3" xfId="24520" xr:uid="{E8AC1ED1-AE87-4DBB-82FD-B7260A6139C7}"/>
    <cellStyle name="Normal 12 2 5 2 3" xfId="11862" xr:uid="{D9B8ACA6-9DF8-4D67-9FCC-AE371DC1134E}"/>
    <cellStyle name="Normal 12 2 5 2 4" xfId="20303" xr:uid="{E2D6FA01-9F13-45C9-8BC5-7301F646E444}"/>
    <cellStyle name="Normal 12 2 5 3" xfId="5493" xr:uid="{00000000-0005-0000-0000-0000110E0000}"/>
    <cellStyle name="Normal 12 2 5 3 2" xfId="13935" xr:uid="{18DC2FE6-B3D2-42F9-B6D6-52F0C071E520}"/>
    <cellStyle name="Normal 12 2 5 3 3" xfId="22375" xr:uid="{68835211-AF64-4032-8D87-C82958079E84}"/>
    <cellStyle name="Normal 12 2 5 4" xfId="9717" xr:uid="{BFDF2636-6983-4487-9372-09CFB3C4114A}"/>
    <cellStyle name="Normal 12 2 5 5" xfId="18158" xr:uid="{0EB6B8A9-4C6D-4561-9874-044DBA6B8EDE}"/>
    <cellStyle name="Normal 12 2 6" xfId="1598" xr:uid="{00000000-0005-0000-0000-0000120E0000}"/>
    <cellStyle name="Normal 12 2 6 2" xfId="3828" xr:uid="{00000000-0005-0000-0000-0000130E0000}"/>
    <cellStyle name="Normal 12 2 6 2 2" xfId="8051" xr:uid="{00000000-0005-0000-0000-0000140E0000}"/>
    <cellStyle name="Normal 12 2 6 2 2 2" xfId="16493" xr:uid="{8948B63A-3416-49B6-B588-C4048288DF7D}"/>
    <cellStyle name="Normal 12 2 6 2 2 3" xfId="24933" xr:uid="{48472732-A716-4395-8748-4BEE28F8A750}"/>
    <cellStyle name="Normal 12 2 6 2 3" xfId="12275" xr:uid="{96D2B5FE-AF56-4502-94A2-10DDD2894D6E}"/>
    <cellStyle name="Normal 12 2 6 2 4" xfId="20716" xr:uid="{82ADB174-2CBA-480A-8CB2-0F9F766FB11F}"/>
    <cellStyle name="Normal 12 2 6 3" xfId="5906" xr:uid="{00000000-0005-0000-0000-0000150E0000}"/>
    <cellStyle name="Normal 12 2 6 3 2" xfId="14348" xr:uid="{0052AE13-F411-4551-84C9-13FEE21AC891}"/>
    <cellStyle name="Normal 12 2 6 3 3" xfId="22788" xr:uid="{75FAC7FB-D993-4BE2-B2B0-B6B1FBCF2BBC}"/>
    <cellStyle name="Normal 12 2 6 4" xfId="10130" xr:uid="{C19EACE4-6347-41AD-A1AE-BEC2B1986C22}"/>
    <cellStyle name="Normal 12 2 6 5" xfId="18571" xr:uid="{9F0B02D0-9509-4B8D-8C7B-92F9011423A2}"/>
    <cellStyle name="Normal 12 2 7" xfId="2012" xr:uid="{00000000-0005-0000-0000-0000160E0000}"/>
    <cellStyle name="Normal 12 2 7 2" xfId="4241" xr:uid="{00000000-0005-0000-0000-0000170E0000}"/>
    <cellStyle name="Normal 12 2 7 2 2" xfId="8464" xr:uid="{00000000-0005-0000-0000-0000180E0000}"/>
    <cellStyle name="Normal 12 2 7 2 2 2" xfId="16906" xr:uid="{4DBEC9C1-6104-428D-88FE-281AF5C3273B}"/>
    <cellStyle name="Normal 12 2 7 2 2 3" xfId="25346" xr:uid="{3025EC74-B4CF-440D-9A9C-64AC9BC397CF}"/>
    <cellStyle name="Normal 12 2 7 2 3" xfId="12688" xr:uid="{5C384F69-1C1C-4A02-895E-2AFC61EB85D4}"/>
    <cellStyle name="Normal 12 2 7 2 4" xfId="21129" xr:uid="{030C7BDD-A1A8-48CE-9020-98ACA8A6A4FE}"/>
    <cellStyle name="Normal 12 2 7 3" xfId="6319" xr:uid="{00000000-0005-0000-0000-0000190E0000}"/>
    <cellStyle name="Normal 12 2 7 3 2" xfId="14761" xr:uid="{6B63121D-AF6D-4972-886A-DD920E69E103}"/>
    <cellStyle name="Normal 12 2 7 3 3" xfId="23201" xr:uid="{587B890C-2499-4A70-8E80-C01FC7FCB67A}"/>
    <cellStyle name="Normal 12 2 7 4" xfId="10543" xr:uid="{F946A0D8-E20C-43DC-899C-809816D20995}"/>
    <cellStyle name="Normal 12 2 7 5" xfId="18984" xr:uid="{79CEE975-60A3-43FA-8EB1-B8A464C86959}"/>
    <cellStyle name="Normal 12 2 8" xfId="2448" xr:uid="{00000000-0005-0000-0000-00001A0E0000}"/>
    <cellStyle name="Normal 12 2 8 2" xfId="6732" xr:uid="{00000000-0005-0000-0000-00001B0E0000}"/>
    <cellStyle name="Normal 12 2 8 2 2" xfId="15174" xr:uid="{DEC71F0F-7A9E-4E1E-B360-7425EE21135B}"/>
    <cellStyle name="Normal 12 2 8 2 3" xfId="23614" xr:uid="{DE70C6B1-BD1F-4E41-8CD0-B529C41163DC}"/>
    <cellStyle name="Normal 12 2 8 3" xfId="10956" xr:uid="{20254597-6586-4557-A97A-8907F6BCAB17}"/>
    <cellStyle name="Normal 12 2 8 4" xfId="19397" xr:uid="{1B672FF4-FEDE-45EF-8565-E57C3B0A6EA6}"/>
    <cellStyle name="Normal 12 2 9" xfId="4666" xr:uid="{00000000-0005-0000-0000-00001C0E0000}"/>
    <cellStyle name="Normal 12 2 9 2" xfId="13108" xr:uid="{3DDFD9EC-4221-4305-A2C0-E06DAB4B4355}"/>
    <cellStyle name="Normal 12 2 9 3" xfId="21548" xr:uid="{4B3FAAAC-22B8-4BF5-8F4A-B198C96FD3B7}"/>
    <cellStyle name="Normal 12 3" xfId="264" xr:uid="{00000000-0005-0000-0000-00001D0E0000}"/>
    <cellStyle name="Normal 12 3 10" xfId="17335" xr:uid="{9A9FC2EB-3F0D-4ABF-BFBC-131EC2A66B87}"/>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2 2 2" xfId="15672" xr:uid="{F62B6B53-55CE-47D8-A25E-F9760375169A}"/>
    <cellStyle name="Normal 12 3 2 2 2 2 3" xfId="24112" xr:uid="{F32169A6-6942-4B49-B9E3-71B8ABA8A9C8}"/>
    <cellStyle name="Normal 12 3 2 2 2 3" xfId="11454" xr:uid="{9309E4F8-25CC-457E-9702-A848B4C6B1FE}"/>
    <cellStyle name="Normal 12 3 2 2 2 4" xfId="19895" xr:uid="{A6DBFCAD-77E7-4492-9134-245BBD87977E}"/>
    <cellStyle name="Normal 12 3 2 2 3" xfId="5085" xr:uid="{00000000-0005-0000-0000-0000220E0000}"/>
    <cellStyle name="Normal 12 3 2 2 3 2" xfId="13527" xr:uid="{414E1074-F379-4A40-ACFF-E055BC5B837B}"/>
    <cellStyle name="Normal 12 3 2 2 3 3" xfId="21967" xr:uid="{1688174E-D799-4704-9394-986CE91DBBD8}"/>
    <cellStyle name="Normal 12 3 2 2 4" xfId="9309" xr:uid="{9213E80F-C5AA-493B-BFAA-45D8CF7C715C}"/>
    <cellStyle name="Normal 12 3 2 2 5" xfId="17750" xr:uid="{FA1D09B3-12F4-4104-8723-9725D39031D6}"/>
    <cellStyle name="Normal 12 3 2 3" xfId="1189" xr:uid="{00000000-0005-0000-0000-0000230E0000}"/>
    <cellStyle name="Normal 12 3 2 3 2" xfId="3420" xr:uid="{00000000-0005-0000-0000-0000240E0000}"/>
    <cellStyle name="Normal 12 3 2 3 2 2" xfId="7643" xr:uid="{00000000-0005-0000-0000-0000250E0000}"/>
    <cellStyle name="Normal 12 3 2 3 2 2 2" xfId="16085" xr:uid="{B9BC8BF3-3529-4787-9C28-73746889C3B7}"/>
    <cellStyle name="Normal 12 3 2 3 2 2 3" xfId="24525" xr:uid="{78AA1C56-093C-4614-BD7C-EC02EDA6D49B}"/>
    <cellStyle name="Normal 12 3 2 3 2 3" xfId="11867" xr:uid="{A7B4090E-C4E2-41AC-B8B4-8D0B45715380}"/>
    <cellStyle name="Normal 12 3 2 3 2 4" xfId="20308" xr:uid="{1FE19179-8E7F-421D-BBA3-C7ACDAA27804}"/>
    <cellStyle name="Normal 12 3 2 3 3" xfId="5498" xr:uid="{00000000-0005-0000-0000-0000260E0000}"/>
    <cellStyle name="Normal 12 3 2 3 3 2" xfId="13940" xr:uid="{CC30FA09-E5B8-40F7-AAF6-A6A19CC349C4}"/>
    <cellStyle name="Normal 12 3 2 3 3 3" xfId="22380" xr:uid="{1406DE31-633D-4F94-905C-C2B23F5418E9}"/>
    <cellStyle name="Normal 12 3 2 3 4" xfId="9722" xr:uid="{2F06762E-3631-4119-9153-FEE8C1B80D9E}"/>
    <cellStyle name="Normal 12 3 2 3 5" xfId="18163" xr:uid="{AAD537CD-DE3A-4E73-85C2-50C31A4D8CF8}"/>
    <cellStyle name="Normal 12 3 2 4" xfId="1603" xr:uid="{00000000-0005-0000-0000-0000270E0000}"/>
    <cellStyle name="Normal 12 3 2 4 2" xfId="3833" xr:uid="{00000000-0005-0000-0000-0000280E0000}"/>
    <cellStyle name="Normal 12 3 2 4 2 2" xfId="8056" xr:uid="{00000000-0005-0000-0000-0000290E0000}"/>
    <cellStyle name="Normal 12 3 2 4 2 2 2" xfId="16498" xr:uid="{D431AEFE-2CCA-41CB-9B4B-7BE401DBE3C1}"/>
    <cellStyle name="Normal 12 3 2 4 2 2 3" xfId="24938" xr:uid="{195C1B42-EAF6-4D92-9D51-43FF2CF32EFE}"/>
    <cellStyle name="Normal 12 3 2 4 2 3" xfId="12280" xr:uid="{23A7DDFB-E94F-4CD6-8C23-2CB69D6F415D}"/>
    <cellStyle name="Normal 12 3 2 4 2 4" xfId="20721" xr:uid="{6B224037-E749-4063-A8F3-B01131E28BB5}"/>
    <cellStyle name="Normal 12 3 2 4 3" xfId="5911" xr:uid="{00000000-0005-0000-0000-00002A0E0000}"/>
    <cellStyle name="Normal 12 3 2 4 3 2" xfId="14353" xr:uid="{EF82E168-9D89-4C99-8C4D-09F14CE9C68C}"/>
    <cellStyle name="Normal 12 3 2 4 3 3" xfId="22793" xr:uid="{84FA69B5-D689-4CE3-BED5-7EC33F799E67}"/>
    <cellStyle name="Normal 12 3 2 4 4" xfId="10135" xr:uid="{3950CDEB-BBD8-481C-8F7D-4F497C3943BA}"/>
    <cellStyle name="Normal 12 3 2 4 5" xfId="18576" xr:uid="{D426CABE-C1F7-4ECB-9A2B-A9D04946B7C7}"/>
    <cellStyle name="Normal 12 3 2 5" xfId="2017" xr:uid="{00000000-0005-0000-0000-00002B0E0000}"/>
    <cellStyle name="Normal 12 3 2 5 2" xfId="4246" xr:uid="{00000000-0005-0000-0000-00002C0E0000}"/>
    <cellStyle name="Normal 12 3 2 5 2 2" xfId="8469" xr:uid="{00000000-0005-0000-0000-00002D0E0000}"/>
    <cellStyle name="Normal 12 3 2 5 2 2 2" xfId="16911" xr:uid="{3D9925AA-DF02-43ED-ACA3-D3766B76CE56}"/>
    <cellStyle name="Normal 12 3 2 5 2 2 3" xfId="25351" xr:uid="{12B21D08-6473-4760-99A4-7C2460191C9B}"/>
    <cellStyle name="Normal 12 3 2 5 2 3" xfId="12693" xr:uid="{6BCC0649-AE46-45AC-90E2-DFE5EADBBB80}"/>
    <cellStyle name="Normal 12 3 2 5 2 4" xfId="21134" xr:uid="{24C5BFA5-9C78-4176-BD03-ABAD903FCAAC}"/>
    <cellStyle name="Normal 12 3 2 5 3" xfId="6324" xr:uid="{00000000-0005-0000-0000-00002E0E0000}"/>
    <cellStyle name="Normal 12 3 2 5 3 2" xfId="14766" xr:uid="{FC6D9E42-DB2D-4F9F-BFE0-C6F1498A1D68}"/>
    <cellStyle name="Normal 12 3 2 5 3 3" xfId="23206" xr:uid="{ACF2FBFA-332A-4CC0-9EDC-6C4A52F24F6D}"/>
    <cellStyle name="Normal 12 3 2 5 4" xfId="10548" xr:uid="{D69793D5-93A4-4E05-A5CA-F25B80F004F1}"/>
    <cellStyle name="Normal 12 3 2 5 5" xfId="18989" xr:uid="{B0FBE019-0721-4956-9D3A-E2987C6EEFAA}"/>
    <cellStyle name="Normal 12 3 2 6" xfId="2453" xr:uid="{00000000-0005-0000-0000-00002F0E0000}"/>
    <cellStyle name="Normal 12 3 2 6 2" xfId="6737" xr:uid="{00000000-0005-0000-0000-0000300E0000}"/>
    <cellStyle name="Normal 12 3 2 6 2 2" xfId="15179" xr:uid="{8122DF36-356E-4B5F-AB9A-4624DB4D28EA}"/>
    <cellStyle name="Normal 12 3 2 6 2 3" xfId="23619" xr:uid="{92926E3F-AE6E-4AC8-ACA5-BC12A3BFB2C4}"/>
    <cellStyle name="Normal 12 3 2 6 3" xfId="10961" xr:uid="{C6CB8D92-B872-4841-9EB8-762FFC2925AC}"/>
    <cellStyle name="Normal 12 3 2 6 4" xfId="19402" xr:uid="{19B256B5-B56A-4A11-A277-F9E60129EE65}"/>
    <cellStyle name="Normal 12 3 2 7" xfId="4671" xr:uid="{00000000-0005-0000-0000-0000310E0000}"/>
    <cellStyle name="Normal 12 3 2 7 2" xfId="13113" xr:uid="{E9F890C9-5127-4573-924E-9F798F2B5222}"/>
    <cellStyle name="Normal 12 3 2 7 3" xfId="21553" xr:uid="{CA7BD00F-2C47-41E9-9C6D-25C3A1177B4C}"/>
    <cellStyle name="Normal 12 3 2 8" xfId="8895" xr:uid="{B4325959-0BFE-4E6F-B3ED-4D346794366C}"/>
    <cellStyle name="Normal 12 3 2 9" xfId="17336" xr:uid="{998C21D8-BB26-4475-A30A-F898EF93FAD6}"/>
    <cellStyle name="Normal 12 3 3" xfId="765" xr:uid="{00000000-0005-0000-0000-0000320E0000}"/>
    <cellStyle name="Normal 12 3 3 2" xfId="3006" xr:uid="{00000000-0005-0000-0000-0000330E0000}"/>
    <cellStyle name="Normal 12 3 3 2 2" xfId="7229" xr:uid="{00000000-0005-0000-0000-0000340E0000}"/>
    <cellStyle name="Normal 12 3 3 2 2 2" xfId="15671" xr:uid="{6A9FFAD7-925B-441D-ABC0-EB07E7774844}"/>
    <cellStyle name="Normal 12 3 3 2 2 3" xfId="24111" xr:uid="{FB10B50D-716C-4192-9EB2-945A3479479B}"/>
    <cellStyle name="Normal 12 3 3 2 3" xfId="11453" xr:uid="{0222447A-55FF-4627-8B54-E73A7493292F}"/>
    <cellStyle name="Normal 12 3 3 2 4" xfId="19894" xr:uid="{7F04A3E5-99AD-4BC9-B560-AA03D4D051BE}"/>
    <cellStyle name="Normal 12 3 3 3" xfId="5084" xr:uid="{00000000-0005-0000-0000-0000350E0000}"/>
    <cellStyle name="Normal 12 3 3 3 2" xfId="13526" xr:uid="{03D3D753-EC24-41C7-9049-83DF25316944}"/>
    <cellStyle name="Normal 12 3 3 3 3" xfId="21966" xr:uid="{E5F16417-19A8-42FB-9537-4E8BC075F29B}"/>
    <cellStyle name="Normal 12 3 3 4" xfId="9308" xr:uid="{6A4A64C5-951D-4AF9-ADA5-E3526F84BA0C}"/>
    <cellStyle name="Normal 12 3 3 5" xfId="17749" xr:uid="{B5295DE9-372E-44AE-8D3D-4AAA8753FF80}"/>
    <cellStyle name="Normal 12 3 4" xfId="1188" xr:uid="{00000000-0005-0000-0000-0000360E0000}"/>
    <cellStyle name="Normal 12 3 4 2" xfId="3419" xr:uid="{00000000-0005-0000-0000-0000370E0000}"/>
    <cellStyle name="Normal 12 3 4 2 2" xfId="7642" xr:uid="{00000000-0005-0000-0000-0000380E0000}"/>
    <cellStyle name="Normal 12 3 4 2 2 2" xfId="16084" xr:uid="{6F137945-ECB6-4F89-AAE4-3CE50C25ABA2}"/>
    <cellStyle name="Normal 12 3 4 2 2 3" xfId="24524" xr:uid="{7C406B63-B62E-4CA3-8DC0-57638D510305}"/>
    <cellStyle name="Normal 12 3 4 2 3" xfId="11866" xr:uid="{9CACA32F-195C-4640-8A5C-7D4AE222F03D}"/>
    <cellStyle name="Normal 12 3 4 2 4" xfId="20307" xr:uid="{9E088C82-4F12-4409-A4A8-3BCA34BB697B}"/>
    <cellStyle name="Normal 12 3 4 3" xfId="5497" xr:uid="{00000000-0005-0000-0000-0000390E0000}"/>
    <cellStyle name="Normal 12 3 4 3 2" xfId="13939" xr:uid="{8D6E1D3A-4235-455C-9684-6033BDC6CAA5}"/>
    <cellStyle name="Normal 12 3 4 3 3" xfId="22379" xr:uid="{66B9F785-BB1E-4923-B483-80E9C37A3844}"/>
    <cellStyle name="Normal 12 3 4 4" xfId="9721" xr:uid="{788887C4-D226-4F28-8461-3FB9257402D4}"/>
    <cellStyle name="Normal 12 3 4 5" xfId="18162" xr:uid="{96CE222F-3F48-4677-9ABF-81C15DD438D3}"/>
    <cellStyle name="Normal 12 3 5" xfId="1602" xr:uid="{00000000-0005-0000-0000-00003A0E0000}"/>
    <cellStyle name="Normal 12 3 5 2" xfId="3832" xr:uid="{00000000-0005-0000-0000-00003B0E0000}"/>
    <cellStyle name="Normal 12 3 5 2 2" xfId="8055" xr:uid="{00000000-0005-0000-0000-00003C0E0000}"/>
    <cellStyle name="Normal 12 3 5 2 2 2" xfId="16497" xr:uid="{63D43551-220D-4BFD-96B3-E39D5F7BB3AF}"/>
    <cellStyle name="Normal 12 3 5 2 2 3" xfId="24937" xr:uid="{3FE0638A-DF52-46A1-B1F5-2EA131383E98}"/>
    <cellStyle name="Normal 12 3 5 2 3" xfId="12279" xr:uid="{623D16E5-8144-4BAC-9E77-8803CA73B568}"/>
    <cellStyle name="Normal 12 3 5 2 4" xfId="20720" xr:uid="{5CCC4A7F-27F6-4C06-8307-3EB91B422872}"/>
    <cellStyle name="Normal 12 3 5 3" xfId="5910" xr:uid="{00000000-0005-0000-0000-00003D0E0000}"/>
    <cellStyle name="Normal 12 3 5 3 2" xfId="14352" xr:uid="{848E1386-C920-45E9-ACC5-2B6A04DA196E}"/>
    <cellStyle name="Normal 12 3 5 3 3" xfId="22792" xr:uid="{BC9B0BC5-8E2A-43E8-ADC8-1D1996716D39}"/>
    <cellStyle name="Normal 12 3 5 4" xfId="10134" xr:uid="{9805F420-E760-4B38-8D50-0A95D069A17E}"/>
    <cellStyle name="Normal 12 3 5 5" xfId="18575" xr:uid="{158DBD6A-DD1C-4166-B973-750E12B2C83B}"/>
    <cellStyle name="Normal 12 3 6" xfId="2016" xr:uid="{00000000-0005-0000-0000-00003E0E0000}"/>
    <cellStyle name="Normal 12 3 6 2" xfId="4245" xr:uid="{00000000-0005-0000-0000-00003F0E0000}"/>
    <cellStyle name="Normal 12 3 6 2 2" xfId="8468" xr:uid="{00000000-0005-0000-0000-0000400E0000}"/>
    <cellStyle name="Normal 12 3 6 2 2 2" xfId="16910" xr:uid="{E5629DE1-C997-4EA5-BD99-561939F8EAC6}"/>
    <cellStyle name="Normal 12 3 6 2 2 3" xfId="25350" xr:uid="{FE1D95EE-09D3-4F86-8CD0-1BBD860DC585}"/>
    <cellStyle name="Normal 12 3 6 2 3" xfId="12692" xr:uid="{864803D8-A6A5-45EF-9E49-760373AFB97D}"/>
    <cellStyle name="Normal 12 3 6 2 4" xfId="21133" xr:uid="{5030CC89-B69C-4D45-A648-19C0351FCE3A}"/>
    <cellStyle name="Normal 12 3 6 3" xfId="6323" xr:uid="{00000000-0005-0000-0000-0000410E0000}"/>
    <cellStyle name="Normal 12 3 6 3 2" xfId="14765" xr:uid="{18003D2D-3BD1-4AFF-BB4B-914CE1327A71}"/>
    <cellStyle name="Normal 12 3 6 3 3" xfId="23205" xr:uid="{56099A00-B37A-4D9F-A09F-C0171570AC29}"/>
    <cellStyle name="Normal 12 3 6 4" xfId="10547" xr:uid="{A07DF56E-3276-4A27-B556-781A0B991D56}"/>
    <cellStyle name="Normal 12 3 6 5" xfId="18988" xr:uid="{1B6BCC50-F79F-4A37-9901-58E6856EB94C}"/>
    <cellStyle name="Normal 12 3 7" xfId="2452" xr:uid="{00000000-0005-0000-0000-0000420E0000}"/>
    <cellStyle name="Normal 12 3 7 2" xfId="6736" xr:uid="{00000000-0005-0000-0000-0000430E0000}"/>
    <cellStyle name="Normal 12 3 7 2 2" xfId="15178" xr:uid="{4F1DAC9F-AEAB-40C2-A7BB-D08AB07F87E9}"/>
    <cellStyle name="Normal 12 3 7 2 3" xfId="23618" xr:uid="{ECE74394-8C5B-4DF0-832B-2A80F91E8F62}"/>
    <cellStyle name="Normal 12 3 7 3" xfId="10960" xr:uid="{A8ADBB9B-0863-4AF9-BD91-073F62EDF0F3}"/>
    <cellStyle name="Normal 12 3 7 4" xfId="19401" xr:uid="{6DA5F8C2-DD71-43C0-ADB3-E41DC65B3BBF}"/>
    <cellStyle name="Normal 12 3 8" xfId="4670" xr:uid="{00000000-0005-0000-0000-0000440E0000}"/>
    <cellStyle name="Normal 12 3 8 2" xfId="13112" xr:uid="{C511A587-472C-4749-9475-0F0E591D5806}"/>
    <cellStyle name="Normal 12 3 8 3" xfId="21552" xr:uid="{CF62FDC7-1446-4A72-8290-180C00721770}"/>
    <cellStyle name="Normal 12 3 9" xfId="8894" xr:uid="{BD82C0CA-0A47-48D0-9ACC-C3085D53086D}"/>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2 2 2" xfId="15673" xr:uid="{6DC8EC0F-6409-4AE3-9299-93D3B7960B85}"/>
    <cellStyle name="Normal 12 4 2 2 2 3" xfId="24113" xr:uid="{EF249D09-1C0E-4073-ACF0-037323C525A6}"/>
    <cellStyle name="Normal 12 4 2 2 3" xfId="11455" xr:uid="{23B93FA5-73AD-48EF-8E6B-CB8A5FDC1866}"/>
    <cellStyle name="Normal 12 4 2 2 4" xfId="19896" xr:uid="{CBAFB334-564C-4903-9AE6-4DCA46865D19}"/>
    <cellStyle name="Normal 12 4 2 3" xfId="5086" xr:uid="{00000000-0005-0000-0000-0000490E0000}"/>
    <cellStyle name="Normal 12 4 2 3 2" xfId="13528" xr:uid="{9759441F-FABF-48FF-ABBC-DF7023482BD8}"/>
    <cellStyle name="Normal 12 4 2 3 3" xfId="21968" xr:uid="{2108C8F7-5778-4228-A92F-DF1EDAFA83C5}"/>
    <cellStyle name="Normal 12 4 2 4" xfId="9310" xr:uid="{AAFEE1C1-78E1-49DC-ADA6-66AF4B92A641}"/>
    <cellStyle name="Normal 12 4 2 5" xfId="17751" xr:uid="{F38C993D-8012-4D81-BD55-C1E4129F40F5}"/>
    <cellStyle name="Normal 12 4 3" xfId="1190" xr:uid="{00000000-0005-0000-0000-00004A0E0000}"/>
    <cellStyle name="Normal 12 4 3 2" xfId="3421" xr:uid="{00000000-0005-0000-0000-00004B0E0000}"/>
    <cellStyle name="Normal 12 4 3 2 2" xfId="7644" xr:uid="{00000000-0005-0000-0000-00004C0E0000}"/>
    <cellStyle name="Normal 12 4 3 2 2 2" xfId="16086" xr:uid="{A822FD3D-717C-4548-B65A-F24F60F31611}"/>
    <cellStyle name="Normal 12 4 3 2 2 3" xfId="24526" xr:uid="{594F7E03-BDF0-4A91-87C8-D64D75D61465}"/>
    <cellStyle name="Normal 12 4 3 2 3" xfId="11868" xr:uid="{EF76487D-9E52-4BCC-8419-FC4D2DF91D49}"/>
    <cellStyle name="Normal 12 4 3 2 4" xfId="20309" xr:uid="{59B7DEEF-5366-4C85-90B8-7D7AD4B38563}"/>
    <cellStyle name="Normal 12 4 3 3" xfId="5499" xr:uid="{00000000-0005-0000-0000-00004D0E0000}"/>
    <cellStyle name="Normal 12 4 3 3 2" xfId="13941" xr:uid="{81DF300F-8DDD-47F2-A5EE-FE314C1D2B1B}"/>
    <cellStyle name="Normal 12 4 3 3 3" xfId="22381" xr:uid="{54863203-3D4B-405F-9E22-90669CB30D12}"/>
    <cellStyle name="Normal 12 4 3 4" xfId="9723" xr:uid="{BB6E3AF1-4F63-4EB4-9F93-207D67AA7538}"/>
    <cellStyle name="Normal 12 4 3 5" xfId="18164" xr:uid="{8230340E-F67C-4C1D-A5F7-9CBDE4847207}"/>
    <cellStyle name="Normal 12 4 4" xfId="1604" xr:uid="{00000000-0005-0000-0000-00004E0E0000}"/>
    <cellStyle name="Normal 12 4 4 2" xfId="3834" xr:uid="{00000000-0005-0000-0000-00004F0E0000}"/>
    <cellStyle name="Normal 12 4 4 2 2" xfId="8057" xr:uid="{00000000-0005-0000-0000-0000500E0000}"/>
    <cellStyle name="Normal 12 4 4 2 2 2" xfId="16499" xr:uid="{78748052-B76E-4741-BA0E-7A474A0E1E82}"/>
    <cellStyle name="Normal 12 4 4 2 2 3" xfId="24939" xr:uid="{8A11F9EE-5B70-4899-A917-144C8BD58810}"/>
    <cellStyle name="Normal 12 4 4 2 3" xfId="12281" xr:uid="{C11A08CC-50E3-4593-B610-7D496022F07D}"/>
    <cellStyle name="Normal 12 4 4 2 4" xfId="20722" xr:uid="{3102A4AF-A961-4E42-8556-89FB8BB741B5}"/>
    <cellStyle name="Normal 12 4 4 3" xfId="5912" xr:uid="{00000000-0005-0000-0000-0000510E0000}"/>
    <cellStyle name="Normal 12 4 4 3 2" xfId="14354" xr:uid="{A903FCAE-14B4-431B-A895-74BA58F6508C}"/>
    <cellStyle name="Normal 12 4 4 3 3" xfId="22794" xr:uid="{19BA7C72-B62B-4C43-B583-46F6549A8D07}"/>
    <cellStyle name="Normal 12 4 4 4" xfId="10136" xr:uid="{718F3F3C-5067-4581-8218-F4DC445787A1}"/>
    <cellStyle name="Normal 12 4 4 5" xfId="18577" xr:uid="{5E6AB622-3092-47E1-B481-F95D6CB5A677}"/>
    <cellStyle name="Normal 12 4 5" xfId="2018" xr:uid="{00000000-0005-0000-0000-0000520E0000}"/>
    <cellStyle name="Normal 12 4 5 2" xfId="4247" xr:uid="{00000000-0005-0000-0000-0000530E0000}"/>
    <cellStyle name="Normal 12 4 5 2 2" xfId="8470" xr:uid="{00000000-0005-0000-0000-0000540E0000}"/>
    <cellStyle name="Normal 12 4 5 2 2 2" xfId="16912" xr:uid="{CFFFC3EB-0BE4-4B75-8BA5-122C184F5850}"/>
    <cellStyle name="Normal 12 4 5 2 2 3" xfId="25352" xr:uid="{FBADEBF7-3075-4F78-8273-95DB050D908C}"/>
    <cellStyle name="Normal 12 4 5 2 3" xfId="12694" xr:uid="{6BF6002A-01F9-48F5-8A7D-21BE57D39B81}"/>
    <cellStyle name="Normal 12 4 5 2 4" xfId="21135" xr:uid="{BE2DC669-3C07-4B8A-9C96-ABAECF248FEB}"/>
    <cellStyle name="Normal 12 4 5 3" xfId="6325" xr:uid="{00000000-0005-0000-0000-0000550E0000}"/>
    <cellStyle name="Normal 12 4 5 3 2" xfId="14767" xr:uid="{7B42ED13-3B54-4FAA-9D54-9EF866494DB5}"/>
    <cellStyle name="Normal 12 4 5 3 3" xfId="23207" xr:uid="{B49A639F-165F-4EC2-BE47-B14B6B84D138}"/>
    <cellStyle name="Normal 12 4 5 4" xfId="10549" xr:uid="{8E78F579-BA49-49E6-A3D7-67EDBC2FC722}"/>
    <cellStyle name="Normal 12 4 5 5" xfId="18990" xr:uid="{AC237907-7109-4C01-9FD7-EDE5AD4C2130}"/>
    <cellStyle name="Normal 12 4 6" xfId="2454" xr:uid="{00000000-0005-0000-0000-0000560E0000}"/>
    <cellStyle name="Normal 12 4 6 2" xfId="6738" xr:uid="{00000000-0005-0000-0000-0000570E0000}"/>
    <cellStyle name="Normal 12 4 6 2 2" xfId="15180" xr:uid="{EDDA2E2C-2748-4D78-BDE2-B5E74C35CFE9}"/>
    <cellStyle name="Normal 12 4 6 2 3" xfId="23620" xr:uid="{F29D101A-55CC-45EB-A6CB-69E60B05388D}"/>
    <cellStyle name="Normal 12 4 6 3" xfId="10962" xr:uid="{D3879DD9-407C-4D32-BF36-493F17D90FCF}"/>
    <cellStyle name="Normal 12 4 6 4" xfId="19403" xr:uid="{251AB6FD-541D-46CF-A719-A565F1EB8CDF}"/>
    <cellStyle name="Normal 12 4 7" xfId="4672" xr:uid="{00000000-0005-0000-0000-0000580E0000}"/>
    <cellStyle name="Normal 12 4 7 2" xfId="13114" xr:uid="{E3AE3EE2-676B-480A-8CCD-AE8A5A11D250}"/>
    <cellStyle name="Normal 12 4 7 3" xfId="21554" xr:uid="{C17DFB11-81E3-4056-89AA-D3B3C3A34955}"/>
    <cellStyle name="Normal 12 4 8" xfId="8896" xr:uid="{F4A6EAF7-C8A5-4B44-8047-7A3EBC8266E5}"/>
    <cellStyle name="Normal 12 4 9" xfId="17337" xr:uid="{4C25CCC4-C0DF-4BFA-A5DE-9F8C115DA798}"/>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15666" xr:uid="{CEF0980A-A6B5-4058-85A2-8BA7572B8339}"/>
    <cellStyle name="Normal 12 6 2 2 3" xfId="24106" xr:uid="{219E6492-715B-40E5-8424-6AE9DAAFF710}"/>
    <cellStyle name="Normal 12 6 2 3" xfId="11448" xr:uid="{A82F5C55-DAC9-4075-B85B-BC6E2D1B5659}"/>
    <cellStyle name="Normal 12 6 2 4" xfId="19889" xr:uid="{A0B5B8FC-82F1-4D15-BABD-E6E5613BB9FC}"/>
    <cellStyle name="Normal 12 6 3" xfId="5079" xr:uid="{00000000-0005-0000-0000-00005D0E0000}"/>
    <cellStyle name="Normal 12 6 3 2" xfId="13521" xr:uid="{17F3608B-CA93-4785-9BA2-B1F637844B4F}"/>
    <cellStyle name="Normal 12 6 3 3" xfId="21961" xr:uid="{6DFDBABC-992F-42F4-9B4F-592A9A44606F}"/>
    <cellStyle name="Normal 12 6 4" xfId="9303" xr:uid="{26A0F394-A0C7-4542-8AD3-5DD2D57D39F4}"/>
    <cellStyle name="Normal 12 6 5" xfId="17744" xr:uid="{807CE900-C56A-4EEE-8784-18C1217ADAE4}"/>
    <cellStyle name="Normal 12 7" xfId="1183" xr:uid="{00000000-0005-0000-0000-00005E0E0000}"/>
    <cellStyle name="Normal 12 7 2" xfId="3414" xr:uid="{00000000-0005-0000-0000-00005F0E0000}"/>
    <cellStyle name="Normal 12 7 2 2" xfId="7637" xr:uid="{00000000-0005-0000-0000-0000600E0000}"/>
    <cellStyle name="Normal 12 7 2 2 2" xfId="16079" xr:uid="{77EF9710-2B07-422F-BCB4-48930505FDDA}"/>
    <cellStyle name="Normal 12 7 2 2 3" xfId="24519" xr:uid="{38321336-D1F7-4A5B-96E6-29D00455F000}"/>
    <cellStyle name="Normal 12 7 2 3" xfId="11861" xr:uid="{4EE6D330-198B-4952-9521-0ADCFFA12D72}"/>
    <cellStyle name="Normal 12 7 2 4" xfId="20302" xr:uid="{4925B2C8-797B-4FCC-84C4-29EAF3B74680}"/>
    <cellStyle name="Normal 12 7 3" xfId="5492" xr:uid="{00000000-0005-0000-0000-0000610E0000}"/>
    <cellStyle name="Normal 12 7 3 2" xfId="13934" xr:uid="{CE2BCC5C-2DE7-412D-8CE9-17C2225F71E8}"/>
    <cellStyle name="Normal 12 7 3 3" xfId="22374" xr:uid="{4A0D9CBA-C185-4976-AE04-B06E62FA3A87}"/>
    <cellStyle name="Normal 12 7 4" xfId="9716" xr:uid="{B5730737-9F84-4F7A-B5B0-5B0DC0A2857B}"/>
    <cellStyle name="Normal 12 7 5" xfId="18157" xr:uid="{39881077-6B25-4A67-9CEB-30EE282EB9C8}"/>
    <cellStyle name="Normal 12 8" xfId="1597" xr:uid="{00000000-0005-0000-0000-0000620E0000}"/>
    <cellStyle name="Normal 12 8 2" xfId="3827" xr:uid="{00000000-0005-0000-0000-0000630E0000}"/>
    <cellStyle name="Normal 12 8 2 2" xfId="8050" xr:uid="{00000000-0005-0000-0000-0000640E0000}"/>
    <cellStyle name="Normal 12 8 2 2 2" xfId="16492" xr:uid="{3D5808A0-CEB5-40D5-89D4-0176DAC34A34}"/>
    <cellStyle name="Normal 12 8 2 2 3" xfId="24932" xr:uid="{1CE783C5-AA31-462F-B4C8-AA37EDFB42C4}"/>
    <cellStyle name="Normal 12 8 2 3" xfId="12274" xr:uid="{E21B65B9-9494-43FA-AD24-321D5FF9840F}"/>
    <cellStyle name="Normal 12 8 2 4" xfId="20715" xr:uid="{97EC23D9-542D-4166-9C17-D4E2972B27D9}"/>
    <cellStyle name="Normal 12 8 3" xfId="5905" xr:uid="{00000000-0005-0000-0000-0000650E0000}"/>
    <cellStyle name="Normal 12 8 3 2" xfId="14347" xr:uid="{69B471F6-0CF0-4160-876B-38ED7DD6BB24}"/>
    <cellStyle name="Normal 12 8 3 3" xfId="22787" xr:uid="{EAB620FB-0713-489F-9B9D-D03E7B6FBFE0}"/>
    <cellStyle name="Normal 12 8 4" xfId="10129" xr:uid="{0DE2D9F4-BC8D-4E06-8BCF-07360287646B}"/>
    <cellStyle name="Normal 12 8 5" xfId="18570" xr:uid="{FBB04694-8D03-4AB9-884D-E95562DDB766}"/>
    <cellStyle name="Normal 12 9" xfId="2011" xr:uid="{00000000-0005-0000-0000-0000660E0000}"/>
    <cellStyle name="Normal 12 9 2" xfId="4240" xr:uid="{00000000-0005-0000-0000-0000670E0000}"/>
    <cellStyle name="Normal 12 9 2 2" xfId="8463" xr:uid="{00000000-0005-0000-0000-0000680E0000}"/>
    <cellStyle name="Normal 12 9 2 2 2" xfId="16905" xr:uid="{DED0802F-AF2D-4DA1-B661-A62540D67650}"/>
    <cellStyle name="Normal 12 9 2 2 3" xfId="25345" xr:uid="{B295640B-BFE2-4B01-85A0-B6D550415C00}"/>
    <cellStyle name="Normal 12 9 2 3" xfId="12687" xr:uid="{C876314A-D23D-4F4C-9870-56A2A5050999}"/>
    <cellStyle name="Normal 12 9 2 4" xfId="21128" xr:uid="{3498701E-86C1-4649-98ED-59C9E509DADC}"/>
    <cellStyle name="Normal 12 9 3" xfId="6318" xr:uid="{00000000-0005-0000-0000-0000690E0000}"/>
    <cellStyle name="Normal 12 9 3 2" xfId="14760" xr:uid="{D37945A8-2CB3-4F03-95AE-552089B8FB94}"/>
    <cellStyle name="Normal 12 9 3 3" xfId="23200" xr:uid="{531B2A6C-DE22-4C0F-B9BA-E07294AC93DE}"/>
    <cellStyle name="Normal 12 9 4" xfId="10542" xr:uid="{59AE9F06-6269-41FE-A581-0AD0E19B798E}"/>
    <cellStyle name="Normal 12 9 5" xfId="18983" xr:uid="{0F740F35-D2D9-452E-917C-0A42EBB377B8}"/>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2 2 2" xfId="15674" xr:uid="{9D16ED19-6826-4AEB-A859-1DCA450B45E6}"/>
    <cellStyle name="Normal 14 2 2 2 3" xfId="24114" xr:uid="{CEE37503-4711-4775-B1C5-ABB2BDD1B3ED}"/>
    <cellStyle name="Normal 14 2 2 3" xfId="11456" xr:uid="{C6DED18E-A701-496D-AE58-73B1763BBF98}"/>
    <cellStyle name="Normal 14 2 2 4" xfId="19897" xr:uid="{AEAAC901-BEA0-4896-9798-F9262A8FC062}"/>
    <cellStyle name="Normal 14 2 3" xfId="5087" xr:uid="{00000000-0005-0000-0000-0000700E0000}"/>
    <cellStyle name="Normal 14 2 3 2" xfId="13529" xr:uid="{B3CCC7EC-0335-4A78-873B-4C6799936439}"/>
    <cellStyle name="Normal 14 2 3 3" xfId="21969" xr:uid="{02741223-7E15-4B3B-B2E7-0297A5A0A93F}"/>
    <cellStyle name="Normal 14 2 4" xfId="9311" xr:uid="{B870EC86-40DF-440B-8876-C82F6FF31326}"/>
    <cellStyle name="Normal 14 2 5" xfId="17752" xr:uid="{BE0B381E-36D5-44DC-A74E-274168787463}"/>
    <cellStyle name="Normal 14 3" xfId="1191" xr:uid="{00000000-0005-0000-0000-0000710E0000}"/>
    <cellStyle name="Normal 14 3 2" xfId="3422" xr:uid="{00000000-0005-0000-0000-0000720E0000}"/>
    <cellStyle name="Normal 14 3 2 2" xfId="7645" xr:uid="{00000000-0005-0000-0000-0000730E0000}"/>
    <cellStyle name="Normal 14 3 2 2 2" xfId="16087" xr:uid="{BF4E9C13-5EC0-4E6E-BF3F-5D4B15DD66FB}"/>
    <cellStyle name="Normal 14 3 2 2 3" xfId="24527" xr:uid="{EBD2314B-6FF5-4FB6-90EC-5311BEA3E293}"/>
    <cellStyle name="Normal 14 3 2 3" xfId="11869" xr:uid="{490C6D09-026C-4A27-B3EB-233BAFD7DF62}"/>
    <cellStyle name="Normal 14 3 2 4" xfId="20310" xr:uid="{C8DFE8D3-058C-4778-ABBD-6EE4F4993FE6}"/>
    <cellStyle name="Normal 14 3 3" xfId="5500" xr:uid="{00000000-0005-0000-0000-0000740E0000}"/>
    <cellStyle name="Normal 14 3 3 2" xfId="13942" xr:uid="{C7C95D62-201C-475C-BD60-496F8D32A0FE}"/>
    <cellStyle name="Normal 14 3 3 3" xfId="22382" xr:uid="{23B020D9-0B3B-4E85-9A61-394A482190FC}"/>
    <cellStyle name="Normal 14 3 4" xfId="9724" xr:uid="{A6F58B7E-0CBB-46A7-8F8C-194530CAAA58}"/>
    <cellStyle name="Normal 14 3 5" xfId="18165" xr:uid="{28CD5E7A-CB5C-4900-B57B-19E8EFAC8A7B}"/>
    <cellStyle name="Normal 14 4" xfId="1605" xr:uid="{00000000-0005-0000-0000-0000750E0000}"/>
    <cellStyle name="Normal 14 4 2" xfId="3835" xr:uid="{00000000-0005-0000-0000-0000760E0000}"/>
    <cellStyle name="Normal 14 4 2 2" xfId="8058" xr:uid="{00000000-0005-0000-0000-0000770E0000}"/>
    <cellStyle name="Normal 14 4 2 2 2" xfId="16500" xr:uid="{1D9B022A-8108-4FE9-B3D8-9687FC13B30B}"/>
    <cellStyle name="Normal 14 4 2 2 3" xfId="24940" xr:uid="{57AAC018-89B5-4E94-8CFE-42010709F75F}"/>
    <cellStyle name="Normal 14 4 2 3" xfId="12282" xr:uid="{1802345B-075E-4959-B313-C7955017EE98}"/>
    <cellStyle name="Normal 14 4 2 4" xfId="20723" xr:uid="{25338F65-E87C-434B-A9E2-63E02B1B82B6}"/>
    <cellStyle name="Normal 14 4 3" xfId="5913" xr:uid="{00000000-0005-0000-0000-0000780E0000}"/>
    <cellStyle name="Normal 14 4 3 2" xfId="14355" xr:uid="{CF1E598D-1103-4EE4-B896-256B9F2FFFC1}"/>
    <cellStyle name="Normal 14 4 3 3" xfId="22795" xr:uid="{2C063DFB-6466-4574-9AA0-34C664BC7DCB}"/>
    <cellStyle name="Normal 14 4 4" xfId="10137" xr:uid="{54B3D16D-DFCD-4852-B592-BA58D6E845E0}"/>
    <cellStyle name="Normal 14 4 5" xfId="18578" xr:uid="{83609CA6-8F19-45C1-9545-E7C32116F73E}"/>
    <cellStyle name="Normal 14 5" xfId="2019" xr:uid="{00000000-0005-0000-0000-0000790E0000}"/>
    <cellStyle name="Normal 14 5 2" xfId="4248" xr:uid="{00000000-0005-0000-0000-00007A0E0000}"/>
    <cellStyle name="Normal 14 5 2 2" xfId="8471" xr:uid="{00000000-0005-0000-0000-00007B0E0000}"/>
    <cellStyle name="Normal 14 5 2 2 2" xfId="16913" xr:uid="{5041D6B0-1EDA-4E81-BA44-BB4369C2F3E6}"/>
    <cellStyle name="Normal 14 5 2 2 3" xfId="25353" xr:uid="{7B24A8FE-8BAA-4564-84DA-CAD940A678FE}"/>
    <cellStyle name="Normal 14 5 2 3" xfId="12695" xr:uid="{29659C01-8DB0-44F6-B62B-671A9FB63C1A}"/>
    <cellStyle name="Normal 14 5 2 4" xfId="21136" xr:uid="{49708410-E6DB-47B3-8CAA-9EF33DF3A75F}"/>
    <cellStyle name="Normal 14 5 3" xfId="6326" xr:uid="{00000000-0005-0000-0000-00007C0E0000}"/>
    <cellStyle name="Normal 14 5 3 2" xfId="14768" xr:uid="{53C25A1E-A8C8-4217-B23A-4F8DC8A6DBFB}"/>
    <cellStyle name="Normal 14 5 3 3" xfId="23208" xr:uid="{7119EC6E-5D6F-4528-BFF0-7B7E8462295F}"/>
    <cellStyle name="Normal 14 5 4" xfId="10550" xr:uid="{61378C7B-FB51-4708-8D0E-39216B22FD2D}"/>
    <cellStyle name="Normal 14 5 5" xfId="18991" xr:uid="{9D514E66-469B-4572-93F2-495E7893DEA6}"/>
    <cellStyle name="Normal 14 6" xfId="2455" xr:uid="{00000000-0005-0000-0000-00007D0E0000}"/>
    <cellStyle name="Normal 14 6 2" xfId="6739" xr:uid="{00000000-0005-0000-0000-00007E0E0000}"/>
    <cellStyle name="Normal 14 6 2 2" xfId="15181" xr:uid="{7C97DB5D-72C8-43FE-AA1A-05EDB42DFD66}"/>
    <cellStyle name="Normal 14 6 2 3" xfId="23621" xr:uid="{35C7963F-947E-40F9-93C2-EE23D13CB915}"/>
    <cellStyle name="Normal 14 6 3" xfId="10963" xr:uid="{1F2D7A88-805D-496B-A306-24F6FB7D3253}"/>
    <cellStyle name="Normal 14 6 4" xfId="19404" xr:uid="{0796A2C2-2907-4641-B39C-0A2FEF39231F}"/>
    <cellStyle name="Normal 14 7" xfId="4673" xr:uid="{00000000-0005-0000-0000-00007F0E0000}"/>
    <cellStyle name="Normal 14 7 2" xfId="13115" xr:uid="{0DBCB9FE-366E-4A78-875D-DE2E14B7339A}"/>
    <cellStyle name="Normal 14 7 3" xfId="21555" xr:uid="{F955C560-715C-41B2-8373-9941C2764329}"/>
    <cellStyle name="Normal 14 8" xfId="8897" xr:uid="{C35BF198-333B-4543-884B-6295405D346F}"/>
    <cellStyle name="Normal 14 9" xfId="17338" xr:uid="{7A4C6C08-3BD9-4DF5-90F3-F8F2BCE83096}"/>
    <cellStyle name="Normal 15" xfId="4496" xr:uid="{00000000-0005-0000-0000-0000800E0000}"/>
    <cellStyle name="Normal 15 2" xfId="12941" xr:uid="{84839A6A-8D4C-4D4B-A1FA-7DE7A9C346DA}"/>
    <cellStyle name="Normal 15 3" xfId="21381" xr:uid="{A386F4CC-A9E6-42B5-996C-CA5D9D0EF0B7}"/>
    <cellStyle name="Normal 16" xfId="4500" xr:uid="{00000000-0005-0000-0000-0000810E0000}"/>
    <cellStyle name="Normal 16 2" xfId="8716" xr:uid="{00000000-0005-0000-0000-0000820E0000}"/>
    <cellStyle name="Normal 16 2 2" xfId="17158" xr:uid="{030321B5-E517-4F52-815F-CE6AA878EA2A}"/>
    <cellStyle name="Normal 16 2 3" xfId="25598" xr:uid="{15BF49EC-B5B2-4F3D-A8B1-49BA5FF18DE6}"/>
    <cellStyle name="Normal 16 3" xfId="8719" xr:uid="{3DE1BEEB-61FA-4094-B10F-9E0444F68763}"/>
    <cellStyle name="Normal 16 3 2" xfId="8723" xr:uid="{FE0BC069-4698-40B2-814D-8E09719245E9}"/>
    <cellStyle name="Normal 16 3 2 2" xfId="8726" xr:uid="{D3E9609F-293A-4CFC-B194-1FF2F92D621D}"/>
    <cellStyle name="Normal 16 3 2 2 2" xfId="17167" xr:uid="{0044026E-B26D-492A-AE62-2CD1B8261535}"/>
    <cellStyle name="Normal 16 3 2 2 3" xfId="25607" xr:uid="{BEAE94AF-1C10-4747-9611-CA0D66BA5F88}"/>
    <cellStyle name="Normal 16 3 2 3" xfId="17164" xr:uid="{F26BD6C7-AC73-416B-BEAE-3856F77596A1}"/>
    <cellStyle name="Normal 16 3 2 4" xfId="25604" xr:uid="{76B23D81-2E9C-4CFF-B533-C453A19DB2B8}"/>
    <cellStyle name="Normal 16 3 3" xfId="17161" xr:uid="{432ACB38-0967-4D95-A2C3-2C30A69A88AE}"/>
    <cellStyle name="Normal 16 3 4" xfId="25601" xr:uid="{836FC8D1-DD1F-4ED2-89B8-448BF88C07BD}"/>
    <cellStyle name="Normal 16 4" xfId="12944" xr:uid="{3389AB2B-501B-42F1-BCAD-8D6CB9F143CD}"/>
    <cellStyle name="Normal 16 5" xfId="21384" xr:uid="{26A51E00-6433-4F95-8936-39D85B5038CE}"/>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16914" xr:uid="{6B4B3AE2-CE3E-491A-9527-4844094DA855}"/>
    <cellStyle name="Normal 2 4 2 10 2 2 3" xfId="25354" xr:uid="{FD8DDD36-6D21-470A-90DF-76E741A0FEE5}"/>
    <cellStyle name="Normal 2 4 2 10 2 3" xfId="12696" xr:uid="{5E61DF23-DC34-4F98-A7D9-D6C99A8C759E}"/>
    <cellStyle name="Normal 2 4 2 10 2 4" xfId="21137" xr:uid="{0F59BB7B-3CA2-4026-A393-83B277853A18}"/>
    <cellStyle name="Normal 2 4 2 10 3" xfId="6327" xr:uid="{00000000-0005-0000-0000-0000910E0000}"/>
    <cellStyle name="Normal 2 4 2 10 3 2" xfId="14769" xr:uid="{9C57B516-2187-4767-B8DF-25DDF36C7EDF}"/>
    <cellStyle name="Normal 2 4 2 10 3 3" xfId="23209" xr:uid="{DF68FD3E-A652-4E94-9B3F-15ED59E19864}"/>
    <cellStyle name="Normal 2 4 2 10 4" xfId="10551" xr:uid="{FD42421E-7CEF-479F-94F1-FC680B266CD5}"/>
    <cellStyle name="Normal 2 4 2 10 5" xfId="18992" xr:uid="{E9330999-5EE2-4CB0-A24D-8EFB95DF3DBA}"/>
    <cellStyle name="Normal 2 4 2 11" xfId="2456" xr:uid="{00000000-0005-0000-0000-0000920E0000}"/>
    <cellStyle name="Normal 2 4 2 11 2" xfId="6740" xr:uid="{00000000-0005-0000-0000-0000930E0000}"/>
    <cellStyle name="Normal 2 4 2 11 2 2" xfId="15182" xr:uid="{D4C3103F-CCF4-47F6-AD3D-E049844EC898}"/>
    <cellStyle name="Normal 2 4 2 11 2 3" xfId="23622" xr:uid="{F5F77FED-B9BF-4915-80E9-C662A63F17B8}"/>
    <cellStyle name="Normal 2 4 2 11 3" xfId="10964" xr:uid="{42FFE5FC-4DA2-436A-9255-AFAE29C9BF55}"/>
    <cellStyle name="Normal 2 4 2 11 4" xfId="19405" xr:uid="{1FF1FD0D-5748-4B0D-8122-C7BDB0B6B2F5}"/>
    <cellStyle name="Normal 2 4 2 12" xfId="4674" xr:uid="{00000000-0005-0000-0000-0000940E0000}"/>
    <cellStyle name="Normal 2 4 2 12 2" xfId="13116" xr:uid="{2C0ACAAE-599C-45DC-B877-19303468E8C5}"/>
    <cellStyle name="Normal 2 4 2 12 3" xfId="21556" xr:uid="{2DD7129E-2FC8-4CF3-8B1D-231F308B9A9A}"/>
    <cellStyle name="Normal 2 4 2 13" xfId="8898" xr:uid="{ACCDF47D-E4A9-48CB-9931-4B2EF8599F63}"/>
    <cellStyle name="Normal 2 4 2 14" xfId="17339" xr:uid="{B6CCFCE2-C787-46FE-A4BC-6CD79D2FF8C9}"/>
    <cellStyle name="Normal 2 4 2 2" xfId="280" xr:uid="{00000000-0005-0000-0000-0000950E0000}"/>
    <cellStyle name="Normal 2 4 2 3" xfId="281" xr:uid="{00000000-0005-0000-0000-0000960E0000}"/>
    <cellStyle name="Normal 2 4 2 3 10" xfId="4675" xr:uid="{00000000-0005-0000-0000-0000970E0000}"/>
    <cellStyle name="Normal 2 4 2 3 10 2" xfId="13117" xr:uid="{587C4E95-76AB-4EBF-8F31-4A60A6771989}"/>
    <cellStyle name="Normal 2 4 2 3 10 3" xfId="21557" xr:uid="{A0895442-806B-4BF9-B6E9-9AB5151FA059}"/>
    <cellStyle name="Normal 2 4 2 3 11" xfId="8899" xr:uid="{9CB24DE2-E0EC-4765-BB07-0658BAEE4372}"/>
    <cellStyle name="Normal 2 4 2 3 12" xfId="17340" xr:uid="{1B73332D-B4E7-4AC1-9C5B-03A7391C1C91}"/>
    <cellStyle name="Normal 2 4 2 3 2" xfId="282" xr:uid="{00000000-0005-0000-0000-0000980E0000}"/>
    <cellStyle name="Normal 2 4 2 3 2 10" xfId="8900" xr:uid="{C448FD63-94C3-4F62-B384-F46DED3BE3A1}"/>
    <cellStyle name="Normal 2 4 2 3 2 11" xfId="17341" xr:uid="{F8B5E5AB-C48B-46DF-8128-B7AF6C4F0DBE}"/>
    <cellStyle name="Normal 2 4 2 3 2 2" xfId="283" xr:uid="{00000000-0005-0000-0000-0000990E0000}"/>
    <cellStyle name="Normal 2 4 2 3 2 2 10" xfId="17342" xr:uid="{4E88721C-B802-4868-BAD8-AC3662608006}"/>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15679" xr:uid="{8B840CF7-F0AB-46E1-BC48-3A938BF97C89}"/>
    <cellStyle name="Normal 2 4 2 3 2 2 2 2 2 2 3" xfId="24119" xr:uid="{4532121B-8040-44F4-B00E-194B7BDB8AE1}"/>
    <cellStyle name="Normal 2 4 2 3 2 2 2 2 2 3" xfId="11461" xr:uid="{C97FC390-EC0B-42D0-A601-0B69FEC5DE4D}"/>
    <cellStyle name="Normal 2 4 2 3 2 2 2 2 2 4" xfId="19902" xr:uid="{96D50B4F-C7E7-4D65-BB03-9614E250567F}"/>
    <cellStyle name="Normal 2 4 2 3 2 2 2 2 3" xfId="5092" xr:uid="{00000000-0005-0000-0000-00009E0E0000}"/>
    <cellStyle name="Normal 2 4 2 3 2 2 2 2 3 2" xfId="13534" xr:uid="{872BF166-0A68-4336-9C6A-3961E0657137}"/>
    <cellStyle name="Normal 2 4 2 3 2 2 2 2 3 3" xfId="21974" xr:uid="{C4305359-1F1C-4140-BE37-9C0A46322ACF}"/>
    <cellStyle name="Normal 2 4 2 3 2 2 2 2 4" xfId="9316" xr:uid="{F680FB37-90BD-47D9-AE0B-440C8A395B96}"/>
    <cellStyle name="Normal 2 4 2 3 2 2 2 2 5" xfId="17757" xr:uid="{9312A211-D40E-4673-A0E6-DC30B09AE5E7}"/>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16092" xr:uid="{9D763006-52B3-4086-8C9F-BFA9C4744B02}"/>
    <cellStyle name="Normal 2 4 2 3 2 2 2 3 2 2 3" xfId="24532" xr:uid="{97E0102D-D2C6-4468-856E-8C88ED26FD02}"/>
    <cellStyle name="Normal 2 4 2 3 2 2 2 3 2 3" xfId="11874" xr:uid="{A5CEBDA1-48D9-4908-9E0D-310F57212867}"/>
    <cellStyle name="Normal 2 4 2 3 2 2 2 3 2 4" xfId="20315" xr:uid="{4EFF8026-225D-4945-87B3-FCA1AE0FF923}"/>
    <cellStyle name="Normal 2 4 2 3 2 2 2 3 3" xfId="5505" xr:uid="{00000000-0005-0000-0000-0000A20E0000}"/>
    <cellStyle name="Normal 2 4 2 3 2 2 2 3 3 2" xfId="13947" xr:uid="{792D22B3-A987-4B69-9533-60B14F24028B}"/>
    <cellStyle name="Normal 2 4 2 3 2 2 2 3 3 3" xfId="22387" xr:uid="{CF746F6C-DBB4-4F2A-B709-7F63EECC04E4}"/>
    <cellStyle name="Normal 2 4 2 3 2 2 2 3 4" xfId="9729" xr:uid="{9F0742A0-9435-4E8F-ACA3-6840C939139B}"/>
    <cellStyle name="Normal 2 4 2 3 2 2 2 3 5" xfId="18170" xr:uid="{563C84F7-32AA-4AD2-ABFD-065E2AC22CE7}"/>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16505" xr:uid="{939125BB-89A6-4773-B5EC-3B0119EE1CEE}"/>
    <cellStyle name="Normal 2 4 2 3 2 2 2 4 2 2 3" xfId="24945" xr:uid="{612425AF-0B9A-41A6-8B0B-7689AC0689E7}"/>
    <cellStyle name="Normal 2 4 2 3 2 2 2 4 2 3" xfId="12287" xr:uid="{D028DD73-4B08-44BC-A7CD-4549549CBA30}"/>
    <cellStyle name="Normal 2 4 2 3 2 2 2 4 2 4" xfId="20728" xr:uid="{1E7D9FE5-4A85-4976-8AF2-9A2BCCD16212}"/>
    <cellStyle name="Normal 2 4 2 3 2 2 2 4 3" xfId="5918" xr:uid="{00000000-0005-0000-0000-0000A60E0000}"/>
    <cellStyle name="Normal 2 4 2 3 2 2 2 4 3 2" xfId="14360" xr:uid="{14D3892A-FFFB-4622-959B-994EE866A01A}"/>
    <cellStyle name="Normal 2 4 2 3 2 2 2 4 3 3" xfId="22800" xr:uid="{25C72213-68C0-414D-AB6F-3FE09E05DB56}"/>
    <cellStyle name="Normal 2 4 2 3 2 2 2 4 4" xfId="10142" xr:uid="{C22D50BE-8055-4C18-B0EA-F943F7CECAE8}"/>
    <cellStyle name="Normal 2 4 2 3 2 2 2 4 5" xfId="18583" xr:uid="{2D91A163-FEF3-4C83-AA81-5C6B394D0938}"/>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16918" xr:uid="{4BB82EC3-B54E-41D2-9582-A24C0AFADFE6}"/>
    <cellStyle name="Normal 2 4 2 3 2 2 2 5 2 2 3" xfId="25358" xr:uid="{0DDCD88A-60D0-436F-8F87-305E1C95C4A4}"/>
    <cellStyle name="Normal 2 4 2 3 2 2 2 5 2 3" xfId="12700" xr:uid="{0AD32E4D-CBE6-4BBE-85BC-D8B74018E8BF}"/>
    <cellStyle name="Normal 2 4 2 3 2 2 2 5 2 4" xfId="21141" xr:uid="{F54B05EE-62F4-4774-AC8A-FEC528197F9D}"/>
    <cellStyle name="Normal 2 4 2 3 2 2 2 5 3" xfId="6331" xr:uid="{00000000-0005-0000-0000-0000AA0E0000}"/>
    <cellStyle name="Normal 2 4 2 3 2 2 2 5 3 2" xfId="14773" xr:uid="{EFA83D19-E41C-4324-A8BD-DCAA748D9407}"/>
    <cellStyle name="Normal 2 4 2 3 2 2 2 5 3 3" xfId="23213" xr:uid="{195BB290-25D9-4181-8224-2A0055C6065B}"/>
    <cellStyle name="Normal 2 4 2 3 2 2 2 5 4" xfId="10555" xr:uid="{75F091BF-A1B2-4292-993D-981BA50486A6}"/>
    <cellStyle name="Normal 2 4 2 3 2 2 2 5 5" xfId="18996" xr:uid="{21A52597-699C-4808-8CB6-59522FFD80C9}"/>
    <cellStyle name="Normal 2 4 2 3 2 2 2 6" xfId="2460" xr:uid="{00000000-0005-0000-0000-0000AB0E0000}"/>
    <cellStyle name="Normal 2 4 2 3 2 2 2 6 2" xfId="6744" xr:uid="{00000000-0005-0000-0000-0000AC0E0000}"/>
    <cellStyle name="Normal 2 4 2 3 2 2 2 6 2 2" xfId="15186" xr:uid="{24589E40-E3EE-4BFB-AC39-E0BEA4E7A6AF}"/>
    <cellStyle name="Normal 2 4 2 3 2 2 2 6 2 3" xfId="23626" xr:uid="{91170C2F-CFFC-4789-A969-F6D503126D31}"/>
    <cellStyle name="Normal 2 4 2 3 2 2 2 6 3" xfId="10968" xr:uid="{71ABBD8F-2FBA-4F75-BB38-0E1B28FCE108}"/>
    <cellStyle name="Normal 2 4 2 3 2 2 2 6 4" xfId="19409" xr:uid="{64557F78-84F7-46DD-8E87-23E6206F8E29}"/>
    <cellStyle name="Normal 2 4 2 3 2 2 2 7" xfId="4678" xr:uid="{00000000-0005-0000-0000-0000AD0E0000}"/>
    <cellStyle name="Normal 2 4 2 3 2 2 2 7 2" xfId="13120" xr:uid="{E33EABFE-BE6E-4895-87CA-3A04B3DE347E}"/>
    <cellStyle name="Normal 2 4 2 3 2 2 2 7 3" xfId="21560" xr:uid="{55AAE755-A7CD-4E45-B0C0-F9F7A57FD4D9}"/>
    <cellStyle name="Normal 2 4 2 3 2 2 2 8" xfId="8902" xr:uid="{46D4DF96-F8E1-411E-A4E5-E3B3E6738674}"/>
    <cellStyle name="Normal 2 4 2 3 2 2 2 9" xfId="17343" xr:uid="{CF049C85-8B0F-4DEE-B487-6F0E9BAD5406}"/>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15678" xr:uid="{C4A9DADE-53F9-4F29-A0A9-25CC6F81F7FF}"/>
    <cellStyle name="Normal 2 4 2 3 2 2 3 2 2 3" xfId="24118" xr:uid="{505A3567-2E32-42C4-8C89-13240F0BC21D}"/>
    <cellStyle name="Normal 2 4 2 3 2 2 3 2 3" xfId="11460" xr:uid="{78DBC182-0F36-4AF5-9E34-55FBB0A93816}"/>
    <cellStyle name="Normal 2 4 2 3 2 2 3 2 4" xfId="19901" xr:uid="{85F10A52-F50E-4C29-8643-8A16B47748AD}"/>
    <cellStyle name="Normal 2 4 2 3 2 2 3 3" xfId="5091" xr:uid="{00000000-0005-0000-0000-0000B10E0000}"/>
    <cellStyle name="Normal 2 4 2 3 2 2 3 3 2" xfId="13533" xr:uid="{BEAD3348-026F-43B5-B564-4EB5965748EB}"/>
    <cellStyle name="Normal 2 4 2 3 2 2 3 3 3" xfId="21973" xr:uid="{C3602FB7-8065-4370-8AA7-D53532CD0976}"/>
    <cellStyle name="Normal 2 4 2 3 2 2 3 4" xfId="9315" xr:uid="{E8F5035C-C89A-4687-AB49-310831BBB182}"/>
    <cellStyle name="Normal 2 4 2 3 2 2 3 5" xfId="17756" xr:uid="{0519BD21-5920-4142-BAB9-ED457DC78544}"/>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16091" xr:uid="{C0F0102F-E4E6-4BF8-AF02-C457443DC32E}"/>
    <cellStyle name="Normal 2 4 2 3 2 2 4 2 2 3" xfId="24531" xr:uid="{8982FF3C-2BD4-4F7C-A001-E7285D026D5F}"/>
    <cellStyle name="Normal 2 4 2 3 2 2 4 2 3" xfId="11873" xr:uid="{094DBB45-FE36-4A98-AFC1-466FD5740BAE}"/>
    <cellStyle name="Normal 2 4 2 3 2 2 4 2 4" xfId="20314" xr:uid="{ECBF2AC1-4C00-4900-AA3C-9FBD9D70579B}"/>
    <cellStyle name="Normal 2 4 2 3 2 2 4 3" xfId="5504" xr:uid="{00000000-0005-0000-0000-0000B50E0000}"/>
    <cellStyle name="Normal 2 4 2 3 2 2 4 3 2" xfId="13946" xr:uid="{4DC5E7E3-CC2E-4F92-8063-75464D5C48B9}"/>
    <cellStyle name="Normal 2 4 2 3 2 2 4 3 3" xfId="22386" xr:uid="{39454D14-2382-4675-AB93-960CDC8E830B}"/>
    <cellStyle name="Normal 2 4 2 3 2 2 4 4" xfId="9728" xr:uid="{843B4248-4F0E-4A13-A7E9-1E4E6FD7F1FF}"/>
    <cellStyle name="Normal 2 4 2 3 2 2 4 5" xfId="18169" xr:uid="{CADCD940-415F-4012-89B8-CE2DEFCF700B}"/>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16504" xr:uid="{3D3544E4-0430-4ED8-8EB0-4CCEFDC623A3}"/>
    <cellStyle name="Normal 2 4 2 3 2 2 5 2 2 3" xfId="24944" xr:uid="{A182FC07-9537-470B-A687-DAC10DA10F87}"/>
    <cellStyle name="Normal 2 4 2 3 2 2 5 2 3" xfId="12286" xr:uid="{E0CAC457-22C0-4FB7-9818-E1C75F0AA3E5}"/>
    <cellStyle name="Normal 2 4 2 3 2 2 5 2 4" xfId="20727" xr:uid="{C0D3F32A-F0A1-4687-8CA8-E54D8744F831}"/>
    <cellStyle name="Normal 2 4 2 3 2 2 5 3" xfId="5917" xr:uid="{00000000-0005-0000-0000-0000B90E0000}"/>
    <cellStyle name="Normal 2 4 2 3 2 2 5 3 2" xfId="14359" xr:uid="{A0F694CD-AF0C-48BE-A746-4F40D6B560CD}"/>
    <cellStyle name="Normal 2 4 2 3 2 2 5 3 3" xfId="22799" xr:uid="{0DE8BE4A-A785-45A8-9E94-A56B04299FA6}"/>
    <cellStyle name="Normal 2 4 2 3 2 2 5 4" xfId="10141" xr:uid="{53B4C2A2-5B20-4420-BBD3-0C2983E94126}"/>
    <cellStyle name="Normal 2 4 2 3 2 2 5 5" xfId="18582" xr:uid="{D3432A58-B92B-45FB-8851-A6C59A7303D5}"/>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16917" xr:uid="{A346315D-2606-4602-9218-D4684ECDEA41}"/>
    <cellStyle name="Normal 2 4 2 3 2 2 6 2 2 3" xfId="25357" xr:uid="{3874BC1B-9DB9-436D-97ED-FC861BEB4E24}"/>
    <cellStyle name="Normal 2 4 2 3 2 2 6 2 3" xfId="12699" xr:uid="{699894BA-9C2E-4254-BF93-834E11F7C43A}"/>
    <cellStyle name="Normal 2 4 2 3 2 2 6 2 4" xfId="21140" xr:uid="{6565C9DC-2CEC-4CB8-BD4E-6CE638320235}"/>
    <cellStyle name="Normal 2 4 2 3 2 2 6 3" xfId="6330" xr:uid="{00000000-0005-0000-0000-0000BD0E0000}"/>
    <cellStyle name="Normal 2 4 2 3 2 2 6 3 2" xfId="14772" xr:uid="{02A264CE-E184-4D28-B4CF-562289F70D6C}"/>
    <cellStyle name="Normal 2 4 2 3 2 2 6 3 3" xfId="23212" xr:uid="{EACF0160-5B3C-4901-8F80-325A52D0A689}"/>
    <cellStyle name="Normal 2 4 2 3 2 2 6 4" xfId="10554" xr:uid="{E58B83A9-F3D7-426E-8370-00929CA071DB}"/>
    <cellStyle name="Normal 2 4 2 3 2 2 6 5" xfId="18995" xr:uid="{9C2C33F0-BEB0-4E9D-BA5E-8108280824FE}"/>
    <cellStyle name="Normal 2 4 2 3 2 2 7" xfId="2459" xr:uid="{00000000-0005-0000-0000-0000BE0E0000}"/>
    <cellStyle name="Normal 2 4 2 3 2 2 7 2" xfId="6743" xr:uid="{00000000-0005-0000-0000-0000BF0E0000}"/>
    <cellStyle name="Normal 2 4 2 3 2 2 7 2 2" xfId="15185" xr:uid="{EF053667-77B2-48EE-9AA6-3777DE575663}"/>
    <cellStyle name="Normal 2 4 2 3 2 2 7 2 3" xfId="23625" xr:uid="{95564045-AE28-448E-9722-194C627F66AF}"/>
    <cellStyle name="Normal 2 4 2 3 2 2 7 3" xfId="10967" xr:uid="{2194E40E-F3E1-4B6E-A268-C7914E26E8DD}"/>
    <cellStyle name="Normal 2 4 2 3 2 2 7 4" xfId="19408" xr:uid="{37C928C2-D909-4724-9151-4EA4CB75B6F9}"/>
    <cellStyle name="Normal 2 4 2 3 2 2 8" xfId="4677" xr:uid="{00000000-0005-0000-0000-0000C00E0000}"/>
    <cellStyle name="Normal 2 4 2 3 2 2 8 2" xfId="13119" xr:uid="{4DEEC757-81AD-4A66-8A43-1DB81FC255E3}"/>
    <cellStyle name="Normal 2 4 2 3 2 2 8 3" xfId="21559" xr:uid="{98AF5E2E-F29E-46F4-81C8-97BFD1365551}"/>
    <cellStyle name="Normal 2 4 2 3 2 2 9" xfId="8901" xr:uid="{9DBC04FE-B08F-45BF-B167-1975367F95A7}"/>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15680" xr:uid="{F20C9ADC-BDEE-43C3-A1EE-5AF3306612AC}"/>
    <cellStyle name="Normal 2 4 2 3 2 3 2 2 2 3" xfId="24120" xr:uid="{7E168A7C-B1DD-4EC2-B639-46289991A2E3}"/>
    <cellStyle name="Normal 2 4 2 3 2 3 2 2 3" xfId="11462" xr:uid="{E5134C22-EF84-4155-BED2-417485A37AEE}"/>
    <cellStyle name="Normal 2 4 2 3 2 3 2 2 4" xfId="19903" xr:uid="{23354774-39BF-43E5-BBCA-A6688793C058}"/>
    <cellStyle name="Normal 2 4 2 3 2 3 2 3" xfId="5093" xr:uid="{00000000-0005-0000-0000-0000C50E0000}"/>
    <cellStyle name="Normal 2 4 2 3 2 3 2 3 2" xfId="13535" xr:uid="{1D4818CB-F190-4D64-9435-3CA9C3680328}"/>
    <cellStyle name="Normal 2 4 2 3 2 3 2 3 3" xfId="21975" xr:uid="{E03806A3-1162-4F63-BA10-03935A60D942}"/>
    <cellStyle name="Normal 2 4 2 3 2 3 2 4" xfId="9317" xr:uid="{A4F3CF50-276D-4659-8544-24D702049E78}"/>
    <cellStyle name="Normal 2 4 2 3 2 3 2 5" xfId="17758" xr:uid="{FE74250D-B832-454D-8BF4-C787C6BCB012}"/>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16093" xr:uid="{C5C2F988-989B-4C38-A4C5-2D0A216EEE2F}"/>
    <cellStyle name="Normal 2 4 2 3 2 3 3 2 2 3" xfId="24533" xr:uid="{7C2E50FB-1CFF-4EB4-8166-482118823B1F}"/>
    <cellStyle name="Normal 2 4 2 3 2 3 3 2 3" xfId="11875" xr:uid="{C2E4FC93-7003-4662-9AAE-07654717E895}"/>
    <cellStyle name="Normal 2 4 2 3 2 3 3 2 4" xfId="20316" xr:uid="{69D07090-800D-4698-9841-A62634538083}"/>
    <cellStyle name="Normal 2 4 2 3 2 3 3 3" xfId="5506" xr:uid="{00000000-0005-0000-0000-0000C90E0000}"/>
    <cellStyle name="Normal 2 4 2 3 2 3 3 3 2" xfId="13948" xr:uid="{CEE24825-37EE-41E7-9B38-6A2965D89A9D}"/>
    <cellStyle name="Normal 2 4 2 3 2 3 3 3 3" xfId="22388" xr:uid="{588189FD-ADC5-45A3-9414-82FDFD34DB2E}"/>
    <cellStyle name="Normal 2 4 2 3 2 3 3 4" xfId="9730" xr:uid="{A8170468-DFF6-4D1E-8612-B0FEE7FE92F4}"/>
    <cellStyle name="Normal 2 4 2 3 2 3 3 5" xfId="18171" xr:uid="{F1E671D0-CCC5-4110-A2B4-666328E375A9}"/>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16506" xr:uid="{4DB43F0B-09CA-4BD6-8816-C398BD60D808}"/>
    <cellStyle name="Normal 2 4 2 3 2 3 4 2 2 3" xfId="24946" xr:uid="{C4F945CE-38DB-4E1E-860A-B3D9832B4F99}"/>
    <cellStyle name="Normal 2 4 2 3 2 3 4 2 3" xfId="12288" xr:uid="{D8E2AF7A-2C85-4F10-AEAE-F25C8AB07086}"/>
    <cellStyle name="Normal 2 4 2 3 2 3 4 2 4" xfId="20729" xr:uid="{0F2A579F-339B-4870-A697-610171ED642C}"/>
    <cellStyle name="Normal 2 4 2 3 2 3 4 3" xfId="5919" xr:uid="{00000000-0005-0000-0000-0000CD0E0000}"/>
    <cellStyle name="Normal 2 4 2 3 2 3 4 3 2" xfId="14361" xr:uid="{2D53C209-4B92-4CB7-AB92-CC222A08ED33}"/>
    <cellStyle name="Normal 2 4 2 3 2 3 4 3 3" xfId="22801" xr:uid="{0405CA73-10B9-466C-AF9C-8C33F7589527}"/>
    <cellStyle name="Normal 2 4 2 3 2 3 4 4" xfId="10143" xr:uid="{955BE07E-A4E0-457F-AE3B-370811EBD356}"/>
    <cellStyle name="Normal 2 4 2 3 2 3 4 5" xfId="18584" xr:uid="{150FED69-D792-4425-B82A-DE902406EF38}"/>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16919" xr:uid="{DAFFEA2F-79AF-426A-8223-8555F50F893F}"/>
    <cellStyle name="Normal 2 4 2 3 2 3 5 2 2 3" xfId="25359" xr:uid="{93F898D5-8166-48B9-901F-4EB0715AE2ED}"/>
    <cellStyle name="Normal 2 4 2 3 2 3 5 2 3" xfId="12701" xr:uid="{858F6820-EA75-4F15-BD9D-F909BE593413}"/>
    <cellStyle name="Normal 2 4 2 3 2 3 5 2 4" xfId="21142" xr:uid="{B2C52E8D-746F-4689-A543-F278153F1300}"/>
    <cellStyle name="Normal 2 4 2 3 2 3 5 3" xfId="6332" xr:uid="{00000000-0005-0000-0000-0000D10E0000}"/>
    <cellStyle name="Normal 2 4 2 3 2 3 5 3 2" xfId="14774" xr:uid="{BBBF4601-F4E3-460A-9E6E-E5248D6AD2BA}"/>
    <cellStyle name="Normal 2 4 2 3 2 3 5 3 3" xfId="23214" xr:uid="{9F4D8FED-B531-4627-960D-D785E6BB7FCB}"/>
    <cellStyle name="Normal 2 4 2 3 2 3 5 4" xfId="10556" xr:uid="{FE540B8B-1671-4C82-9510-410A1A2CB230}"/>
    <cellStyle name="Normal 2 4 2 3 2 3 5 5" xfId="18997" xr:uid="{38855BC9-7932-4DA2-B3FE-C1191AEBA3DB}"/>
    <cellStyle name="Normal 2 4 2 3 2 3 6" xfId="2461" xr:uid="{00000000-0005-0000-0000-0000D20E0000}"/>
    <cellStyle name="Normal 2 4 2 3 2 3 6 2" xfId="6745" xr:uid="{00000000-0005-0000-0000-0000D30E0000}"/>
    <cellStyle name="Normal 2 4 2 3 2 3 6 2 2" xfId="15187" xr:uid="{FC86899E-A6DE-473C-87F2-C6E23E1C69B8}"/>
    <cellStyle name="Normal 2 4 2 3 2 3 6 2 3" xfId="23627" xr:uid="{410BB451-3CAE-4E04-9D20-F17388BE64C0}"/>
    <cellStyle name="Normal 2 4 2 3 2 3 6 3" xfId="10969" xr:uid="{3115A207-AEB9-4AA8-BCBA-968DA6A7C7F9}"/>
    <cellStyle name="Normal 2 4 2 3 2 3 6 4" xfId="19410" xr:uid="{4A1D144F-EAE7-4A3A-B6AE-31329A973571}"/>
    <cellStyle name="Normal 2 4 2 3 2 3 7" xfId="4679" xr:uid="{00000000-0005-0000-0000-0000D40E0000}"/>
    <cellStyle name="Normal 2 4 2 3 2 3 7 2" xfId="13121" xr:uid="{DA30E4D7-2B51-45AD-A4BB-75B40F825157}"/>
    <cellStyle name="Normal 2 4 2 3 2 3 7 3" xfId="21561" xr:uid="{D566EBC8-B69E-4200-A0BF-ED88ACCE3119}"/>
    <cellStyle name="Normal 2 4 2 3 2 3 8" xfId="8903" xr:uid="{7740488F-F4BE-4DED-9E52-432355DF3EB4}"/>
    <cellStyle name="Normal 2 4 2 3 2 3 9" xfId="17344" xr:uid="{A1BCE0DF-77C3-4167-BB69-7E9CBF963EA2}"/>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15677" xr:uid="{2D1BA6C5-8C33-44D4-8921-495AEC7F8A4E}"/>
    <cellStyle name="Normal 2 4 2 3 2 4 2 2 3" xfId="24117" xr:uid="{13DEE4C9-6935-471A-8E88-98035150D4B9}"/>
    <cellStyle name="Normal 2 4 2 3 2 4 2 3" xfId="11459" xr:uid="{99B3A823-4EAF-4AE1-B931-39F035A5FC2C}"/>
    <cellStyle name="Normal 2 4 2 3 2 4 2 4" xfId="19900" xr:uid="{51BB8218-108C-46B6-8242-35D31A9E07EB}"/>
    <cellStyle name="Normal 2 4 2 3 2 4 3" xfId="5090" xr:uid="{00000000-0005-0000-0000-0000D80E0000}"/>
    <cellStyle name="Normal 2 4 2 3 2 4 3 2" xfId="13532" xr:uid="{89248A77-8465-4E43-80B9-9177387C338C}"/>
    <cellStyle name="Normal 2 4 2 3 2 4 3 3" xfId="21972" xr:uid="{EB6F0277-2DBF-4C68-A94D-A6393B980A5F}"/>
    <cellStyle name="Normal 2 4 2 3 2 4 4" xfId="9314" xr:uid="{4953E552-C6FE-4D7E-942A-8ACE99152398}"/>
    <cellStyle name="Normal 2 4 2 3 2 4 5" xfId="17755" xr:uid="{C8DEC944-2A4A-4DF8-B806-C6BB27D849E3}"/>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16090" xr:uid="{C85C9C9A-D2AF-43CC-A84D-19B4EE374132}"/>
    <cellStyle name="Normal 2 4 2 3 2 5 2 2 3" xfId="24530" xr:uid="{50CD99CC-F6C0-4221-86BE-D01EACBC13BC}"/>
    <cellStyle name="Normal 2 4 2 3 2 5 2 3" xfId="11872" xr:uid="{B17FA9C8-F3B5-4B77-B80A-3DC7ECA44C5B}"/>
    <cellStyle name="Normal 2 4 2 3 2 5 2 4" xfId="20313" xr:uid="{4324CA12-F720-4337-9DDB-8F4FFE711E4A}"/>
    <cellStyle name="Normal 2 4 2 3 2 5 3" xfId="5503" xr:uid="{00000000-0005-0000-0000-0000DC0E0000}"/>
    <cellStyle name="Normal 2 4 2 3 2 5 3 2" xfId="13945" xr:uid="{4696A1F3-0C42-4911-9421-D0BB2D68A318}"/>
    <cellStyle name="Normal 2 4 2 3 2 5 3 3" xfId="22385" xr:uid="{C6B14E22-870A-446D-B1CB-3703E6D6892F}"/>
    <cellStyle name="Normal 2 4 2 3 2 5 4" xfId="9727" xr:uid="{6FD9E0CE-66DB-4E3C-AF38-F472E89DF92B}"/>
    <cellStyle name="Normal 2 4 2 3 2 5 5" xfId="18168" xr:uid="{8556EDD6-8004-4EFB-8F18-FAA017A7FE2D}"/>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16503" xr:uid="{5CC785CA-E006-4710-9A8E-56A3A4E60BB3}"/>
    <cellStyle name="Normal 2 4 2 3 2 6 2 2 3" xfId="24943" xr:uid="{BEBBF092-E484-446F-AB1F-0E0913269DD7}"/>
    <cellStyle name="Normal 2 4 2 3 2 6 2 3" xfId="12285" xr:uid="{9E9D89D3-1BFA-43CB-9D1B-770AB46B479A}"/>
    <cellStyle name="Normal 2 4 2 3 2 6 2 4" xfId="20726" xr:uid="{6525C056-23DC-439E-A12D-D15ABA0C02B4}"/>
    <cellStyle name="Normal 2 4 2 3 2 6 3" xfId="5916" xr:uid="{00000000-0005-0000-0000-0000E00E0000}"/>
    <cellStyle name="Normal 2 4 2 3 2 6 3 2" xfId="14358" xr:uid="{CE24572A-4195-4E9E-8308-C72D52171DF8}"/>
    <cellStyle name="Normal 2 4 2 3 2 6 3 3" xfId="22798" xr:uid="{9E86D688-7975-4641-90C1-D00E15EF4B91}"/>
    <cellStyle name="Normal 2 4 2 3 2 6 4" xfId="10140" xr:uid="{BBA3470F-E3D2-4B2F-B725-91BCB7193AD2}"/>
    <cellStyle name="Normal 2 4 2 3 2 6 5" xfId="18581" xr:uid="{644412A0-1D9D-4365-9A21-A59BAAB9A538}"/>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16916" xr:uid="{1F1CBA9B-8535-4427-A92E-56B6C03C07BC}"/>
    <cellStyle name="Normal 2 4 2 3 2 7 2 2 3" xfId="25356" xr:uid="{5B5D2AEE-D2CA-4814-8377-CEF2E0250549}"/>
    <cellStyle name="Normal 2 4 2 3 2 7 2 3" xfId="12698" xr:uid="{B02A1314-77E7-4CE3-B9FE-FFD658A6E976}"/>
    <cellStyle name="Normal 2 4 2 3 2 7 2 4" xfId="21139" xr:uid="{D1775D4A-7637-49BE-ABEF-0FD3F019273F}"/>
    <cellStyle name="Normal 2 4 2 3 2 7 3" xfId="6329" xr:uid="{00000000-0005-0000-0000-0000E40E0000}"/>
    <cellStyle name="Normal 2 4 2 3 2 7 3 2" xfId="14771" xr:uid="{0D6B184E-3078-4A26-B91B-2E8F8159D3C8}"/>
    <cellStyle name="Normal 2 4 2 3 2 7 3 3" xfId="23211" xr:uid="{6643B3D9-1F57-4978-946C-789664451092}"/>
    <cellStyle name="Normal 2 4 2 3 2 7 4" xfId="10553" xr:uid="{9BAAEA48-A6B8-418F-B07F-A1EB9E1C454D}"/>
    <cellStyle name="Normal 2 4 2 3 2 7 5" xfId="18994" xr:uid="{AD5AF8E1-408B-4AB3-A9C5-29DFF8799FB6}"/>
    <cellStyle name="Normal 2 4 2 3 2 8" xfId="2458" xr:uid="{00000000-0005-0000-0000-0000E50E0000}"/>
    <cellStyle name="Normal 2 4 2 3 2 8 2" xfId="6742" xr:uid="{00000000-0005-0000-0000-0000E60E0000}"/>
    <cellStyle name="Normal 2 4 2 3 2 8 2 2" xfId="15184" xr:uid="{CED105D7-470F-4A64-A133-94EFEAD60B92}"/>
    <cellStyle name="Normal 2 4 2 3 2 8 2 3" xfId="23624" xr:uid="{91F81D4F-52F4-47F4-91F7-DF13978E224D}"/>
    <cellStyle name="Normal 2 4 2 3 2 8 3" xfId="10966" xr:uid="{6B479128-49C4-494D-8CEF-D59C1860946D}"/>
    <cellStyle name="Normal 2 4 2 3 2 8 4" xfId="19407" xr:uid="{EB32D9AA-A164-483C-8564-882C7DB8C944}"/>
    <cellStyle name="Normal 2 4 2 3 2 9" xfId="4676" xr:uid="{00000000-0005-0000-0000-0000E70E0000}"/>
    <cellStyle name="Normal 2 4 2 3 2 9 2" xfId="13118" xr:uid="{39E07B17-008B-4EED-9226-7C29C0D7D3FE}"/>
    <cellStyle name="Normal 2 4 2 3 2 9 3" xfId="21558" xr:uid="{4189D289-DC7F-430F-98A7-0753C8CD14AE}"/>
    <cellStyle name="Normal 2 4 2 3 3" xfId="286" xr:uid="{00000000-0005-0000-0000-0000E80E0000}"/>
    <cellStyle name="Normal 2 4 2 3 3 10" xfId="17345" xr:uid="{EBC98C2C-02E4-4A1A-9D30-BC4DDC5CB036}"/>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15682" xr:uid="{17334F7B-2443-4482-87F3-86140D5F0408}"/>
    <cellStyle name="Normal 2 4 2 3 3 2 2 2 2 3" xfId="24122" xr:uid="{AA963DD0-0615-4E09-B848-44B528D26CBA}"/>
    <cellStyle name="Normal 2 4 2 3 3 2 2 2 3" xfId="11464" xr:uid="{0761825E-1851-41A4-A3E1-B8F817A9BA9E}"/>
    <cellStyle name="Normal 2 4 2 3 3 2 2 2 4" xfId="19905" xr:uid="{96537DCF-2094-408B-8549-277006C24CB4}"/>
    <cellStyle name="Normal 2 4 2 3 3 2 2 3" xfId="5095" xr:uid="{00000000-0005-0000-0000-0000ED0E0000}"/>
    <cellStyle name="Normal 2 4 2 3 3 2 2 3 2" xfId="13537" xr:uid="{58E55BF5-39AD-4A25-9307-4E0C632D870A}"/>
    <cellStyle name="Normal 2 4 2 3 3 2 2 3 3" xfId="21977" xr:uid="{BC17A659-2563-46B9-8643-B2B50BA87DEA}"/>
    <cellStyle name="Normal 2 4 2 3 3 2 2 4" xfId="9319" xr:uid="{796E5267-DA5F-4D66-9AE9-A517356B8322}"/>
    <cellStyle name="Normal 2 4 2 3 3 2 2 5" xfId="17760" xr:uid="{834247AE-748B-4B8B-9480-F0CD1249033E}"/>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16095" xr:uid="{EAB134B3-0751-4B64-9E70-57763B4A1116}"/>
    <cellStyle name="Normal 2 4 2 3 3 2 3 2 2 3" xfId="24535" xr:uid="{DD275F71-BA98-440C-B243-E8EF7003D839}"/>
    <cellStyle name="Normal 2 4 2 3 3 2 3 2 3" xfId="11877" xr:uid="{1A3BF6D5-4ECB-44B4-9B27-94DB43905F39}"/>
    <cellStyle name="Normal 2 4 2 3 3 2 3 2 4" xfId="20318" xr:uid="{BE2544B0-9859-4533-B163-D91090C3DD35}"/>
    <cellStyle name="Normal 2 4 2 3 3 2 3 3" xfId="5508" xr:uid="{00000000-0005-0000-0000-0000F10E0000}"/>
    <cellStyle name="Normal 2 4 2 3 3 2 3 3 2" xfId="13950" xr:uid="{429E7E15-7D19-43BA-B10E-18A5FD43D7BF}"/>
    <cellStyle name="Normal 2 4 2 3 3 2 3 3 3" xfId="22390" xr:uid="{2791FE30-854E-4711-8698-091456EF7B81}"/>
    <cellStyle name="Normal 2 4 2 3 3 2 3 4" xfId="9732" xr:uid="{9477B4EC-6093-4FCE-B392-FFE1CAEF1168}"/>
    <cellStyle name="Normal 2 4 2 3 3 2 3 5" xfId="18173" xr:uid="{06174689-534A-4F50-BED1-4F3B66077665}"/>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16508" xr:uid="{427B6A88-0B3C-4F21-BAA3-EEB73C798596}"/>
    <cellStyle name="Normal 2 4 2 3 3 2 4 2 2 3" xfId="24948" xr:uid="{2C109A7D-827D-4773-B37D-206C235BE211}"/>
    <cellStyle name="Normal 2 4 2 3 3 2 4 2 3" xfId="12290" xr:uid="{A4F8ED97-B644-4F93-8C99-9B6F71E69871}"/>
    <cellStyle name="Normal 2 4 2 3 3 2 4 2 4" xfId="20731" xr:uid="{6A2E9910-103E-4E40-ABC0-A40BF6E20F10}"/>
    <cellStyle name="Normal 2 4 2 3 3 2 4 3" xfId="5921" xr:uid="{00000000-0005-0000-0000-0000F50E0000}"/>
    <cellStyle name="Normal 2 4 2 3 3 2 4 3 2" xfId="14363" xr:uid="{8C56C971-1129-403B-BDDC-211CF5584E11}"/>
    <cellStyle name="Normal 2 4 2 3 3 2 4 3 3" xfId="22803" xr:uid="{B292477B-277A-4060-B5FC-BE2821ECF399}"/>
    <cellStyle name="Normal 2 4 2 3 3 2 4 4" xfId="10145" xr:uid="{E399C6DC-6042-486B-8B86-10905822405C}"/>
    <cellStyle name="Normal 2 4 2 3 3 2 4 5" xfId="18586" xr:uid="{585E4CFD-1945-401D-BD0B-6BACCF3F12C7}"/>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16921" xr:uid="{C0F19BA2-D4EC-45F3-8238-35C3417FE1DA}"/>
    <cellStyle name="Normal 2 4 2 3 3 2 5 2 2 3" xfId="25361" xr:uid="{B8541ECF-E9D0-4BB1-B642-0673E259EE29}"/>
    <cellStyle name="Normal 2 4 2 3 3 2 5 2 3" xfId="12703" xr:uid="{1BA86E71-6736-4765-BE8A-9CFC41ED4D32}"/>
    <cellStyle name="Normal 2 4 2 3 3 2 5 2 4" xfId="21144" xr:uid="{7A3A0CDF-5472-49C4-AFB9-C77DA4112FE0}"/>
    <cellStyle name="Normal 2 4 2 3 3 2 5 3" xfId="6334" xr:uid="{00000000-0005-0000-0000-0000F90E0000}"/>
    <cellStyle name="Normal 2 4 2 3 3 2 5 3 2" xfId="14776" xr:uid="{9CE6A695-7F00-4064-AECF-9F3ED6F113AC}"/>
    <cellStyle name="Normal 2 4 2 3 3 2 5 3 3" xfId="23216" xr:uid="{5B5DA511-4FDA-4AD5-A6CA-2D3C1CF59059}"/>
    <cellStyle name="Normal 2 4 2 3 3 2 5 4" xfId="10558" xr:uid="{5D1FC302-C8FF-4C68-8E4E-A81A1DA5BF57}"/>
    <cellStyle name="Normal 2 4 2 3 3 2 5 5" xfId="18999" xr:uid="{AEAFBEAF-4D38-496E-8C9F-414707165A18}"/>
    <cellStyle name="Normal 2 4 2 3 3 2 6" xfId="2463" xr:uid="{00000000-0005-0000-0000-0000FA0E0000}"/>
    <cellStyle name="Normal 2 4 2 3 3 2 6 2" xfId="6747" xr:uid="{00000000-0005-0000-0000-0000FB0E0000}"/>
    <cellStyle name="Normal 2 4 2 3 3 2 6 2 2" xfId="15189" xr:uid="{039EC76C-E4BE-4384-819C-717CC82877F9}"/>
    <cellStyle name="Normal 2 4 2 3 3 2 6 2 3" xfId="23629" xr:uid="{77F3E50A-A3B9-497B-BD4D-6240114B5765}"/>
    <cellStyle name="Normal 2 4 2 3 3 2 6 3" xfId="10971" xr:uid="{EC1E9100-4ECE-42E1-95E1-C3EF3740CB10}"/>
    <cellStyle name="Normal 2 4 2 3 3 2 6 4" xfId="19412" xr:uid="{16D778C6-48CF-4638-8A80-D07EFD615D00}"/>
    <cellStyle name="Normal 2 4 2 3 3 2 7" xfId="4681" xr:uid="{00000000-0005-0000-0000-0000FC0E0000}"/>
    <cellStyle name="Normal 2 4 2 3 3 2 7 2" xfId="13123" xr:uid="{11D9AE92-F79C-4D52-96E5-018397CF898C}"/>
    <cellStyle name="Normal 2 4 2 3 3 2 7 3" xfId="21563" xr:uid="{86E79FF1-856D-4495-BA3D-D251C1C1AA28}"/>
    <cellStyle name="Normal 2 4 2 3 3 2 8" xfId="8905" xr:uid="{F4588533-9405-454D-BABC-95E8A364CC83}"/>
    <cellStyle name="Normal 2 4 2 3 3 2 9" xfId="17346" xr:uid="{59A4DAC1-B298-40B5-997D-77C2F4F8D7F1}"/>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15681" xr:uid="{E823C5B9-0A15-40B2-9BA1-66E5A1D277DD}"/>
    <cellStyle name="Normal 2 4 2 3 3 3 2 2 3" xfId="24121" xr:uid="{8EBF5DC3-C5CF-4B0B-B3E1-337FC1B539BE}"/>
    <cellStyle name="Normal 2 4 2 3 3 3 2 3" xfId="11463" xr:uid="{97459EEC-89D0-468A-9CC5-FFDC6DAD2CB9}"/>
    <cellStyle name="Normal 2 4 2 3 3 3 2 4" xfId="19904" xr:uid="{05CE567A-0C52-49B6-9FA1-89131E1F50C0}"/>
    <cellStyle name="Normal 2 4 2 3 3 3 3" xfId="5094" xr:uid="{00000000-0005-0000-0000-0000000F0000}"/>
    <cellStyle name="Normal 2 4 2 3 3 3 3 2" xfId="13536" xr:uid="{80044E14-7FBB-46CD-881D-05B874E15694}"/>
    <cellStyle name="Normal 2 4 2 3 3 3 3 3" xfId="21976" xr:uid="{FDA44FAA-5C80-4671-A073-A06D03D3F1EB}"/>
    <cellStyle name="Normal 2 4 2 3 3 3 4" xfId="9318" xr:uid="{94E1516C-8DB9-4F38-842D-84E4FD411BC4}"/>
    <cellStyle name="Normal 2 4 2 3 3 3 5" xfId="17759" xr:uid="{4FF47D57-21C3-4192-B24F-3171C229B349}"/>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16094" xr:uid="{9AC9FCB9-F014-4529-A9DE-7179D0188707}"/>
    <cellStyle name="Normal 2 4 2 3 3 4 2 2 3" xfId="24534" xr:uid="{7B70F84D-7C72-49C4-BDC2-C736E7EA4FCA}"/>
    <cellStyle name="Normal 2 4 2 3 3 4 2 3" xfId="11876" xr:uid="{C8575A40-94BB-49D9-81AF-F76E6826E75F}"/>
    <cellStyle name="Normal 2 4 2 3 3 4 2 4" xfId="20317" xr:uid="{74F9EC93-8ED2-4885-B11E-494F4E99C8D0}"/>
    <cellStyle name="Normal 2 4 2 3 3 4 3" xfId="5507" xr:uid="{00000000-0005-0000-0000-0000040F0000}"/>
    <cellStyle name="Normal 2 4 2 3 3 4 3 2" xfId="13949" xr:uid="{D7308D14-665F-45F3-A555-C75B91B231FB}"/>
    <cellStyle name="Normal 2 4 2 3 3 4 3 3" xfId="22389" xr:uid="{0D9D0C6F-7FA3-4288-933B-4CF8FB52875C}"/>
    <cellStyle name="Normal 2 4 2 3 3 4 4" xfId="9731" xr:uid="{5B20F2CD-C2B1-4163-AD69-1EF8795B3D6F}"/>
    <cellStyle name="Normal 2 4 2 3 3 4 5" xfId="18172" xr:uid="{34CC44F6-9340-46A0-924F-D412603ECFD3}"/>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16507" xr:uid="{0D0C18B4-223C-4AD5-9DC1-F7950982FA76}"/>
    <cellStyle name="Normal 2 4 2 3 3 5 2 2 3" xfId="24947" xr:uid="{DDB9FEC4-3386-49E1-9179-15127A4BF593}"/>
    <cellStyle name="Normal 2 4 2 3 3 5 2 3" xfId="12289" xr:uid="{A873FF55-84E4-4E1D-A703-FCD60A5EB698}"/>
    <cellStyle name="Normal 2 4 2 3 3 5 2 4" xfId="20730" xr:uid="{25B0FF22-FC46-45F4-9F40-51935CF057E6}"/>
    <cellStyle name="Normal 2 4 2 3 3 5 3" xfId="5920" xr:uid="{00000000-0005-0000-0000-0000080F0000}"/>
    <cellStyle name="Normal 2 4 2 3 3 5 3 2" xfId="14362" xr:uid="{1A7ED446-62DF-47E5-8EBC-59B97728C2FE}"/>
    <cellStyle name="Normal 2 4 2 3 3 5 3 3" xfId="22802" xr:uid="{84EE0816-C583-4973-B771-16D73E55C729}"/>
    <cellStyle name="Normal 2 4 2 3 3 5 4" xfId="10144" xr:uid="{4255A319-DDEC-493D-956E-135FE569D276}"/>
    <cellStyle name="Normal 2 4 2 3 3 5 5" xfId="18585" xr:uid="{9DB2A46A-63B8-4AEA-851C-C3C1C1E23526}"/>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16920" xr:uid="{78C10FDE-6EEF-4078-8AB0-8395910D624E}"/>
    <cellStyle name="Normal 2 4 2 3 3 6 2 2 3" xfId="25360" xr:uid="{8879CA96-229F-45CE-BE61-A2E4A97F4623}"/>
    <cellStyle name="Normal 2 4 2 3 3 6 2 3" xfId="12702" xr:uid="{6567FC5B-99D7-4DFE-8A12-34BEA28235E5}"/>
    <cellStyle name="Normal 2 4 2 3 3 6 2 4" xfId="21143" xr:uid="{94DB56EB-F276-454E-96E5-38CBE01AD09D}"/>
    <cellStyle name="Normal 2 4 2 3 3 6 3" xfId="6333" xr:uid="{00000000-0005-0000-0000-00000C0F0000}"/>
    <cellStyle name="Normal 2 4 2 3 3 6 3 2" xfId="14775" xr:uid="{7D3633CA-ECB2-44C1-8C2C-1055BB10DED4}"/>
    <cellStyle name="Normal 2 4 2 3 3 6 3 3" xfId="23215" xr:uid="{F56F8EAB-350B-49C8-9219-FDF2BEC7D04E}"/>
    <cellStyle name="Normal 2 4 2 3 3 6 4" xfId="10557" xr:uid="{CDC5FC1D-04B7-4F7B-8145-1C8188BA64EA}"/>
    <cellStyle name="Normal 2 4 2 3 3 6 5" xfId="18998" xr:uid="{CDDA5284-6B56-4E05-BAC1-8BCDE97D6EF4}"/>
    <cellStyle name="Normal 2 4 2 3 3 7" xfId="2462" xr:uid="{00000000-0005-0000-0000-00000D0F0000}"/>
    <cellStyle name="Normal 2 4 2 3 3 7 2" xfId="6746" xr:uid="{00000000-0005-0000-0000-00000E0F0000}"/>
    <cellStyle name="Normal 2 4 2 3 3 7 2 2" xfId="15188" xr:uid="{B4E0D7E7-0CDC-4807-8E3D-D70E17D2B81E}"/>
    <cellStyle name="Normal 2 4 2 3 3 7 2 3" xfId="23628" xr:uid="{4E0AEEAD-76F7-43F5-A34A-EFFFAAC8F05A}"/>
    <cellStyle name="Normal 2 4 2 3 3 7 3" xfId="10970" xr:uid="{8CB3BBCB-657C-414B-8FD3-F4B569BFBB20}"/>
    <cellStyle name="Normal 2 4 2 3 3 7 4" xfId="19411" xr:uid="{78DB1FF4-79E4-4063-8C0C-4012D7AEAD12}"/>
    <cellStyle name="Normal 2 4 2 3 3 8" xfId="4680" xr:uid="{00000000-0005-0000-0000-00000F0F0000}"/>
    <cellStyle name="Normal 2 4 2 3 3 8 2" xfId="13122" xr:uid="{A263DF0E-DF5D-4A53-A7C0-067A6A9A3684}"/>
    <cellStyle name="Normal 2 4 2 3 3 8 3" xfId="21562" xr:uid="{A8FE86DE-EC24-45BC-A427-ABFBB46C91FE}"/>
    <cellStyle name="Normal 2 4 2 3 3 9" xfId="8904" xr:uid="{04083644-C618-4DBD-8C66-480C7CB649E5}"/>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15683" xr:uid="{6AA7F01C-5A60-45A8-9E92-BAAA3D3468AC}"/>
    <cellStyle name="Normal 2 4 2 3 4 2 2 2 3" xfId="24123" xr:uid="{89355196-8329-43B6-83A3-8AB8473182E9}"/>
    <cellStyle name="Normal 2 4 2 3 4 2 2 3" xfId="11465" xr:uid="{656D3A53-B73D-4A8D-B224-5F467DC05756}"/>
    <cellStyle name="Normal 2 4 2 3 4 2 2 4" xfId="19906" xr:uid="{7500E27E-D69A-453F-9EE5-984F12BA56C6}"/>
    <cellStyle name="Normal 2 4 2 3 4 2 3" xfId="5096" xr:uid="{00000000-0005-0000-0000-0000140F0000}"/>
    <cellStyle name="Normal 2 4 2 3 4 2 3 2" xfId="13538" xr:uid="{36A416E9-D5BD-4908-A9F6-4F0D59CB0B8F}"/>
    <cellStyle name="Normal 2 4 2 3 4 2 3 3" xfId="21978" xr:uid="{F8659376-0D63-4DDD-A856-BA0FB5234711}"/>
    <cellStyle name="Normal 2 4 2 3 4 2 4" xfId="9320" xr:uid="{3147DA95-9C7C-48A0-AB77-2ABF4CDDEB06}"/>
    <cellStyle name="Normal 2 4 2 3 4 2 5" xfId="17761" xr:uid="{314BA8D7-2CDE-47D7-A4FD-6500AF3196BF}"/>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16096" xr:uid="{46EBF34A-B57E-41E9-ADED-C705993D5ADD}"/>
    <cellStyle name="Normal 2 4 2 3 4 3 2 2 3" xfId="24536" xr:uid="{3D696D7B-38D9-4F6B-9338-76921FE4CDA2}"/>
    <cellStyle name="Normal 2 4 2 3 4 3 2 3" xfId="11878" xr:uid="{6BCDA34F-A6C6-477D-BBC7-37C86A48AB57}"/>
    <cellStyle name="Normal 2 4 2 3 4 3 2 4" xfId="20319" xr:uid="{4B628A4E-2A4C-494A-A9B8-EB6D616B7FD4}"/>
    <cellStyle name="Normal 2 4 2 3 4 3 3" xfId="5509" xr:uid="{00000000-0005-0000-0000-0000180F0000}"/>
    <cellStyle name="Normal 2 4 2 3 4 3 3 2" xfId="13951" xr:uid="{89889125-135E-4EE0-8A3F-7D071F719DE2}"/>
    <cellStyle name="Normal 2 4 2 3 4 3 3 3" xfId="22391" xr:uid="{36B4223D-D115-4148-9B15-40B065C479BF}"/>
    <cellStyle name="Normal 2 4 2 3 4 3 4" xfId="9733" xr:uid="{86D1FC24-F90D-43EC-A26A-F66929CEB392}"/>
    <cellStyle name="Normal 2 4 2 3 4 3 5" xfId="18174" xr:uid="{F84B9261-C2C1-4900-BA16-0A86830CFC9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16509" xr:uid="{BBD74523-C748-4E32-BF71-DA93B474B9B3}"/>
    <cellStyle name="Normal 2 4 2 3 4 4 2 2 3" xfId="24949" xr:uid="{C6B26129-1FD4-4F95-8EC8-8067402E466E}"/>
    <cellStyle name="Normal 2 4 2 3 4 4 2 3" xfId="12291" xr:uid="{3A042ABD-604F-4955-8D33-2DDE00D00FCA}"/>
    <cellStyle name="Normal 2 4 2 3 4 4 2 4" xfId="20732" xr:uid="{3ABBE6AC-F433-4D5B-A928-7891F1220C36}"/>
    <cellStyle name="Normal 2 4 2 3 4 4 3" xfId="5922" xr:uid="{00000000-0005-0000-0000-00001C0F0000}"/>
    <cellStyle name="Normal 2 4 2 3 4 4 3 2" xfId="14364" xr:uid="{2BF79244-45B7-4614-97D3-AA375E5AF60C}"/>
    <cellStyle name="Normal 2 4 2 3 4 4 3 3" xfId="22804" xr:uid="{1DF054B2-FA61-4D92-8AAC-12FB525DA0F1}"/>
    <cellStyle name="Normal 2 4 2 3 4 4 4" xfId="10146" xr:uid="{4F95A0B7-5F6F-4457-B680-CD35F8519DF0}"/>
    <cellStyle name="Normal 2 4 2 3 4 4 5" xfId="18587" xr:uid="{DCFCC3A0-D451-4C93-A4C2-AB4A2CCE6137}"/>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16922" xr:uid="{42192D1E-CEBE-4375-B792-6495F0EA5CB1}"/>
    <cellStyle name="Normal 2 4 2 3 4 5 2 2 3" xfId="25362" xr:uid="{D6096903-118D-4DCA-B840-CD2D8D1B01A9}"/>
    <cellStyle name="Normal 2 4 2 3 4 5 2 3" xfId="12704" xr:uid="{504D2B4E-5B28-4983-8C70-0D60C1E3650F}"/>
    <cellStyle name="Normal 2 4 2 3 4 5 2 4" xfId="21145" xr:uid="{6F42CF1D-5AF1-4F6C-A398-D839B6E1FA66}"/>
    <cellStyle name="Normal 2 4 2 3 4 5 3" xfId="6335" xr:uid="{00000000-0005-0000-0000-0000200F0000}"/>
    <cellStyle name="Normal 2 4 2 3 4 5 3 2" xfId="14777" xr:uid="{C5AA5638-C5E4-463B-A100-3F7F5B05D039}"/>
    <cellStyle name="Normal 2 4 2 3 4 5 3 3" xfId="23217" xr:uid="{4B849754-2416-4638-9D99-A64FDB93FB40}"/>
    <cellStyle name="Normal 2 4 2 3 4 5 4" xfId="10559" xr:uid="{34E55761-380A-4852-AFE5-1E6D37AD4A09}"/>
    <cellStyle name="Normal 2 4 2 3 4 5 5" xfId="19000" xr:uid="{88F8F7C6-3171-44F2-B58A-CE1A27B5253B}"/>
    <cellStyle name="Normal 2 4 2 3 4 6" xfId="2464" xr:uid="{00000000-0005-0000-0000-0000210F0000}"/>
    <cellStyle name="Normal 2 4 2 3 4 6 2" xfId="6748" xr:uid="{00000000-0005-0000-0000-0000220F0000}"/>
    <cellStyle name="Normal 2 4 2 3 4 6 2 2" xfId="15190" xr:uid="{465A1077-F7F5-43CE-90E4-C93B976EC69E}"/>
    <cellStyle name="Normal 2 4 2 3 4 6 2 3" xfId="23630" xr:uid="{AD4D39C9-311C-44B5-BB59-D2AC73DFED59}"/>
    <cellStyle name="Normal 2 4 2 3 4 6 3" xfId="10972" xr:uid="{35D028DA-965C-4D7F-90B4-F5ABDDFE6CC0}"/>
    <cellStyle name="Normal 2 4 2 3 4 6 4" xfId="19413" xr:uid="{938DED03-0A0E-4DD8-8AE9-C53F28F3A5E0}"/>
    <cellStyle name="Normal 2 4 2 3 4 7" xfId="4682" xr:uid="{00000000-0005-0000-0000-0000230F0000}"/>
    <cellStyle name="Normal 2 4 2 3 4 7 2" xfId="13124" xr:uid="{E9614410-B6B4-421B-A432-FA4A70FA373F}"/>
    <cellStyle name="Normal 2 4 2 3 4 7 3" xfId="21564" xr:uid="{DA00DDEB-BB37-4C0D-8495-BE774E160BE6}"/>
    <cellStyle name="Normal 2 4 2 3 4 8" xfId="8906" xr:uid="{F20CC3A3-4F7F-4FC1-88BD-821B573BFD28}"/>
    <cellStyle name="Normal 2 4 2 3 4 9" xfId="17347" xr:uid="{C125ECBD-142F-45DC-B797-8914A336F5D6}"/>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15676" xr:uid="{ED3A675E-EFE4-47EC-B439-5961279521B6}"/>
    <cellStyle name="Normal 2 4 2 3 5 2 2 3" xfId="24116" xr:uid="{26BB5B0F-22B4-4B71-B72E-6FD60D2EA148}"/>
    <cellStyle name="Normal 2 4 2 3 5 2 3" xfId="11458" xr:uid="{1144B5AA-CD46-4BD4-A2EC-1980DBEE2020}"/>
    <cellStyle name="Normal 2 4 2 3 5 2 4" xfId="19899" xr:uid="{2076A553-435B-488E-9C69-637F62F1DEBD}"/>
    <cellStyle name="Normal 2 4 2 3 5 3" xfId="5089" xr:uid="{00000000-0005-0000-0000-0000270F0000}"/>
    <cellStyle name="Normal 2 4 2 3 5 3 2" xfId="13531" xr:uid="{F60CF5AD-D903-4CCD-A5A2-DDEC75841451}"/>
    <cellStyle name="Normal 2 4 2 3 5 3 3" xfId="21971" xr:uid="{D48D7257-5447-45D1-ADCB-629B55C7ED98}"/>
    <cellStyle name="Normal 2 4 2 3 5 4" xfId="9313" xr:uid="{CB8244E4-3DC3-4BD5-BF05-1E73DB1143E5}"/>
    <cellStyle name="Normal 2 4 2 3 5 5" xfId="17754" xr:uid="{A1D0CABA-4300-4777-89E1-566CAD8F2662}"/>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16089" xr:uid="{5D38CAFC-DAF6-4BFC-BD9F-CD78D7668738}"/>
    <cellStyle name="Normal 2 4 2 3 6 2 2 3" xfId="24529" xr:uid="{5EF1B992-F7A4-4CEF-8E2B-BFCC616A00FF}"/>
    <cellStyle name="Normal 2 4 2 3 6 2 3" xfId="11871" xr:uid="{FFCF9692-4A9B-4DFA-BD14-05445A796F4A}"/>
    <cellStyle name="Normal 2 4 2 3 6 2 4" xfId="20312" xr:uid="{A3ED7E10-C2C4-4FDE-9A8E-ED665CDFCD44}"/>
    <cellStyle name="Normal 2 4 2 3 6 3" xfId="5502" xr:uid="{00000000-0005-0000-0000-00002B0F0000}"/>
    <cellStyle name="Normal 2 4 2 3 6 3 2" xfId="13944" xr:uid="{3547809F-6F32-4452-81EC-4A905ABE84B5}"/>
    <cellStyle name="Normal 2 4 2 3 6 3 3" xfId="22384" xr:uid="{BFEC91DC-7892-4B43-983A-FD2CA851952D}"/>
    <cellStyle name="Normal 2 4 2 3 6 4" xfId="9726" xr:uid="{FC7ACF32-35D0-4320-A331-3B287F04B7A8}"/>
    <cellStyle name="Normal 2 4 2 3 6 5" xfId="18167" xr:uid="{7F5BFFE0-497A-4C78-AA0A-B3DC619A7399}"/>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16502" xr:uid="{B33E55E1-E1EC-47F0-A6F7-05165676E06F}"/>
    <cellStyle name="Normal 2 4 2 3 7 2 2 3" xfId="24942" xr:uid="{5BB958D7-6454-45CC-AF2E-A3FA9FFA26D4}"/>
    <cellStyle name="Normal 2 4 2 3 7 2 3" xfId="12284" xr:uid="{AC35F309-AA41-40A3-9B69-AAD2A30FDCE2}"/>
    <cellStyle name="Normal 2 4 2 3 7 2 4" xfId="20725" xr:uid="{088048EF-23CE-454C-8A6F-F467942920FD}"/>
    <cellStyle name="Normal 2 4 2 3 7 3" xfId="5915" xr:uid="{00000000-0005-0000-0000-00002F0F0000}"/>
    <cellStyle name="Normal 2 4 2 3 7 3 2" xfId="14357" xr:uid="{064B18A0-22C1-4230-A423-28E51917AF89}"/>
    <cellStyle name="Normal 2 4 2 3 7 3 3" xfId="22797" xr:uid="{E3C2F7A5-A434-4127-BCA9-12A7EA7CA6EE}"/>
    <cellStyle name="Normal 2 4 2 3 7 4" xfId="10139" xr:uid="{78FBFEE6-A724-4EDF-ADF4-271A7F9DBFE8}"/>
    <cellStyle name="Normal 2 4 2 3 7 5" xfId="18580" xr:uid="{AF175FD6-FF98-445F-B0EF-C8F560C201E7}"/>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16915" xr:uid="{A7EEFD0E-4216-4F7F-B465-6BFA4C4009DA}"/>
    <cellStyle name="Normal 2 4 2 3 8 2 2 3" xfId="25355" xr:uid="{53101C13-A50D-4EAF-9811-7506B168887B}"/>
    <cellStyle name="Normal 2 4 2 3 8 2 3" xfId="12697" xr:uid="{A74BC082-3691-425F-9E0F-5EB5A8A74615}"/>
    <cellStyle name="Normal 2 4 2 3 8 2 4" xfId="21138" xr:uid="{BC835380-8180-42A1-8D66-56B545FF8DFC}"/>
    <cellStyle name="Normal 2 4 2 3 8 3" xfId="6328" xr:uid="{00000000-0005-0000-0000-0000330F0000}"/>
    <cellStyle name="Normal 2 4 2 3 8 3 2" xfId="14770" xr:uid="{E0A59E22-389D-4646-B172-A9E0B622F55D}"/>
    <cellStyle name="Normal 2 4 2 3 8 3 3" xfId="23210" xr:uid="{FF475BA8-106C-43E6-B9FC-5368B0CE8372}"/>
    <cellStyle name="Normal 2 4 2 3 8 4" xfId="10552" xr:uid="{706D59B6-17CB-495E-A20B-1BB337B9ED14}"/>
    <cellStyle name="Normal 2 4 2 3 8 5" xfId="18993" xr:uid="{DD8E8BBD-FDFE-490F-8ABD-BC60D06014C3}"/>
    <cellStyle name="Normal 2 4 2 3 9" xfId="2457" xr:uid="{00000000-0005-0000-0000-0000340F0000}"/>
    <cellStyle name="Normal 2 4 2 3 9 2" xfId="6741" xr:uid="{00000000-0005-0000-0000-0000350F0000}"/>
    <cellStyle name="Normal 2 4 2 3 9 2 2" xfId="15183" xr:uid="{841A9112-55A9-40E2-BEEB-3FE41513596E}"/>
    <cellStyle name="Normal 2 4 2 3 9 2 3" xfId="23623" xr:uid="{B8B7ED97-3E57-4E68-968E-F6EAC2E4A23C}"/>
    <cellStyle name="Normal 2 4 2 3 9 3" xfId="10965" xr:uid="{A8D948D6-8B28-4222-817A-62350DE1FD8C}"/>
    <cellStyle name="Normal 2 4 2 3 9 4" xfId="19406" xr:uid="{253309A7-B247-4062-A806-9D949F83644A}"/>
    <cellStyle name="Normal 2 4 2 4" xfId="289" xr:uid="{00000000-0005-0000-0000-0000360F0000}"/>
    <cellStyle name="Normal 2 4 2 4 10" xfId="8907" xr:uid="{62E62C3B-AEF6-4211-A8D9-9C95EBF093E3}"/>
    <cellStyle name="Normal 2 4 2 4 11" xfId="17348" xr:uid="{A1B4AA9B-86B7-42B8-A098-C8EA5B5A6180}"/>
    <cellStyle name="Normal 2 4 2 4 2" xfId="290" xr:uid="{00000000-0005-0000-0000-0000370F0000}"/>
    <cellStyle name="Normal 2 4 2 4 2 10" xfId="17349" xr:uid="{A45DC48E-F544-4CC3-8853-E2495AB2202F}"/>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15686" xr:uid="{6FB25EBD-5044-4ABC-B319-AAFE73968092}"/>
    <cellStyle name="Normal 2 4 2 4 2 2 2 2 2 3" xfId="24126" xr:uid="{DAFEC052-5D02-4537-A16F-FD5DC80B44BF}"/>
    <cellStyle name="Normal 2 4 2 4 2 2 2 2 3" xfId="11468" xr:uid="{7EF60AF2-6A8D-4B4D-932C-58F358D02122}"/>
    <cellStyle name="Normal 2 4 2 4 2 2 2 2 4" xfId="19909" xr:uid="{8BC38E37-9DBA-476A-A0C2-C8739F31CE57}"/>
    <cellStyle name="Normal 2 4 2 4 2 2 2 3" xfId="5099" xr:uid="{00000000-0005-0000-0000-00003C0F0000}"/>
    <cellStyle name="Normal 2 4 2 4 2 2 2 3 2" xfId="13541" xr:uid="{79956F16-EAFD-4313-A474-7131C237999E}"/>
    <cellStyle name="Normal 2 4 2 4 2 2 2 3 3" xfId="21981" xr:uid="{1A3D5916-F280-40B6-A9A6-5F67100D02A9}"/>
    <cellStyle name="Normal 2 4 2 4 2 2 2 4" xfId="9323" xr:uid="{3B06D93D-595A-4DC2-A3DA-8B500D7D50D2}"/>
    <cellStyle name="Normal 2 4 2 4 2 2 2 5" xfId="17764" xr:uid="{D0A82959-7333-44DD-967C-9E17AF04987B}"/>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16099" xr:uid="{8BE1B35A-0465-46AC-83C8-C85528CB1126}"/>
    <cellStyle name="Normal 2 4 2 4 2 2 3 2 2 3" xfId="24539" xr:uid="{23A0038F-0824-40BC-B3A0-21B65AD1D102}"/>
    <cellStyle name="Normal 2 4 2 4 2 2 3 2 3" xfId="11881" xr:uid="{61930728-DBEB-46EC-A962-9F0EDEEF74E1}"/>
    <cellStyle name="Normal 2 4 2 4 2 2 3 2 4" xfId="20322" xr:uid="{5157669B-7AE4-4276-81D8-29D9C0DEC0B4}"/>
    <cellStyle name="Normal 2 4 2 4 2 2 3 3" xfId="5512" xr:uid="{00000000-0005-0000-0000-0000400F0000}"/>
    <cellStyle name="Normal 2 4 2 4 2 2 3 3 2" xfId="13954" xr:uid="{67D370F0-F750-474C-88F6-52E3C3B27225}"/>
    <cellStyle name="Normal 2 4 2 4 2 2 3 3 3" xfId="22394" xr:uid="{1109AD10-E1A3-4D5A-8126-0D13C2A1A1CD}"/>
    <cellStyle name="Normal 2 4 2 4 2 2 3 4" xfId="9736" xr:uid="{315912C4-FEF1-4AAC-AECC-55D433641183}"/>
    <cellStyle name="Normal 2 4 2 4 2 2 3 5" xfId="18177" xr:uid="{E3AFBEA7-F4A5-4A89-BB58-4079B6FA83BB}"/>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16512" xr:uid="{969EA7FC-3D77-4D05-9E95-72111F3B2EFA}"/>
    <cellStyle name="Normal 2 4 2 4 2 2 4 2 2 3" xfId="24952" xr:uid="{BB759F91-905E-46E1-B4EE-868DA57A5753}"/>
    <cellStyle name="Normal 2 4 2 4 2 2 4 2 3" xfId="12294" xr:uid="{EB493053-401E-4CA7-88CB-109F00082512}"/>
    <cellStyle name="Normal 2 4 2 4 2 2 4 2 4" xfId="20735" xr:uid="{F4588D56-85B4-478B-85BA-F97896C9BA0A}"/>
    <cellStyle name="Normal 2 4 2 4 2 2 4 3" xfId="5925" xr:uid="{00000000-0005-0000-0000-0000440F0000}"/>
    <cellStyle name="Normal 2 4 2 4 2 2 4 3 2" xfId="14367" xr:uid="{AED39CA4-4F35-4156-9DFB-9FD3DC8CF772}"/>
    <cellStyle name="Normal 2 4 2 4 2 2 4 3 3" xfId="22807" xr:uid="{3DE71893-CD9C-4D47-B296-BCDE8B5C3B23}"/>
    <cellStyle name="Normal 2 4 2 4 2 2 4 4" xfId="10149" xr:uid="{86679997-6F6A-4040-AD40-170A888ED851}"/>
    <cellStyle name="Normal 2 4 2 4 2 2 4 5" xfId="18590" xr:uid="{4FBC20BD-C17D-4391-9277-612CFEE1608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16925" xr:uid="{456D212C-54B2-4CBB-86D2-8E384942C501}"/>
    <cellStyle name="Normal 2 4 2 4 2 2 5 2 2 3" xfId="25365" xr:uid="{965341D2-5776-4B66-95B4-8606816B94C8}"/>
    <cellStyle name="Normal 2 4 2 4 2 2 5 2 3" xfId="12707" xr:uid="{7ED88993-F622-4C71-8301-94FBFB3A7EC2}"/>
    <cellStyle name="Normal 2 4 2 4 2 2 5 2 4" xfId="21148" xr:uid="{01B2D86F-0419-4793-9B17-00B6ECFF5F6A}"/>
    <cellStyle name="Normal 2 4 2 4 2 2 5 3" xfId="6338" xr:uid="{00000000-0005-0000-0000-0000480F0000}"/>
    <cellStyle name="Normal 2 4 2 4 2 2 5 3 2" xfId="14780" xr:uid="{83D8B551-E19F-42B9-BEA6-B330232D97FC}"/>
    <cellStyle name="Normal 2 4 2 4 2 2 5 3 3" xfId="23220" xr:uid="{86523D98-0869-4E1A-A090-327B3456FE05}"/>
    <cellStyle name="Normal 2 4 2 4 2 2 5 4" xfId="10562" xr:uid="{C720D8A6-0D3A-4FF0-9357-880E3BB63A5F}"/>
    <cellStyle name="Normal 2 4 2 4 2 2 5 5" xfId="19003" xr:uid="{1191E5A2-4833-4716-AD51-0D1780455AA3}"/>
    <cellStyle name="Normal 2 4 2 4 2 2 6" xfId="2467" xr:uid="{00000000-0005-0000-0000-0000490F0000}"/>
    <cellStyle name="Normal 2 4 2 4 2 2 6 2" xfId="6751" xr:uid="{00000000-0005-0000-0000-00004A0F0000}"/>
    <cellStyle name="Normal 2 4 2 4 2 2 6 2 2" xfId="15193" xr:uid="{3714AA81-34B9-49CA-ACB0-E015FFF5C975}"/>
    <cellStyle name="Normal 2 4 2 4 2 2 6 2 3" xfId="23633" xr:uid="{4AD7B769-950C-4F91-9369-8A3BD74B76B6}"/>
    <cellStyle name="Normal 2 4 2 4 2 2 6 3" xfId="10975" xr:uid="{3F571C94-E983-4737-B91F-98655DDA8C4F}"/>
    <cellStyle name="Normal 2 4 2 4 2 2 6 4" xfId="19416" xr:uid="{89B6405C-00EB-4F80-AC37-0B16C89FAB7C}"/>
    <cellStyle name="Normal 2 4 2 4 2 2 7" xfId="4685" xr:uid="{00000000-0005-0000-0000-00004B0F0000}"/>
    <cellStyle name="Normal 2 4 2 4 2 2 7 2" xfId="13127" xr:uid="{3F958D17-D44A-44C3-939C-75F2A096DE1A}"/>
    <cellStyle name="Normal 2 4 2 4 2 2 7 3" xfId="21567" xr:uid="{0D6F74B4-D5F1-4BA3-ACF1-273F4FCAC001}"/>
    <cellStyle name="Normal 2 4 2 4 2 2 8" xfId="8909" xr:uid="{5E7FAEBD-F034-4D9D-957C-49C9D2782686}"/>
    <cellStyle name="Normal 2 4 2 4 2 2 9" xfId="17350" xr:uid="{2BC209B8-DCFA-48EF-B477-48B90B0AECF3}"/>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15685" xr:uid="{4129879E-66FD-414A-AEC9-808DECB9F645}"/>
    <cellStyle name="Normal 2 4 2 4 2 3 2 2 3" xfId="24125" xr:uid="{2DDE2967-DBE1-46C3-8A54-2BD7A7AF8A46}"/>
    <cellStyle name="Normal 2 4 2 4 2 3 2 3" xfId="11467" xr:uid="{F28C9F87-EAE0-4B61-8941-0C32E76821CE}"/>
    <cellStyle name="Normal 2 4 2 4 2 3 2 4" xfId="19908" xr:uid="{36A21661-1782-4035-A7AB-2093E981A3A1}"/>
    <cellStyle name="Normal 2 4 2 4 2 3 3" xfId="5098" xr:uid="{00000000-0005-0000-0000-00004F0F0000}"/>
    <cellStyle name="Normal 2 4 2 4 2 3 3 2" xfId="13540" xr:uid="{0B80AD42-E8AE-459E-AAA7-010499069705}"/>
    <cellStyle name="Normal 2 4 2 4 2 3 3 3" xfId="21980" xr:uid="{508470CF-4AB2-4C10-91DF-44F557BFAC00}"/>
    <cellStyle name="Normal 2 4 2 4 2 3 4" xfId="9322" xr:uid="{8BA3BA6C-3EF7-4326-B1DD-6504C79BFDBC}"/>
    <cellStyle name="Normal 2 4 2 4 2 3 5" xfId="17763" xr:uid="{A9028C05-3FEB-4C38-9553-1DCA26CCBCE2}"/>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16098" xr:uid="{4C001C37-A401-41D8-8DAC-CF3FE34B03B4}"/>
    <cellStyle name="Normal 2 4 2 4 2 4 2 2 3" xfId="24538" xr:uid="{3AAF3E38-4464-41B7-89B5-78D29D3B9FDB}"/>
    <cellStyle name="Normal 2 4 2 4 2 4 2 3" xfId="11880" xr:uid="{419A4BD1-0E29-4786-97A0-5B8EBAC50BB6}"/>
    <cellStyle name="Normal 2 4 2 4 2 4 2 4" xfId="20321" xr:uid="{BD348590-AFEB-40E4-B154-C834FBD21487}"/>
    <cellStyle name="Normal 2 4 2 4 2 4 3" xfId="5511" xr:uid="{00000000-0005-0000-0000-0000530F0000}"/>
    <cellStyle name="Normal 2 4 2 4 2 4 3 2" xfId="13953" xr:uid="{3168558F-92E5-435C-9EEF-9C6A99CD8F57}"/>
    <cellStyle name="Normal 2 4 2 4 2 4 3 3" xfId="22393" xr:uid="{169C99BB-827C-433A-A691-71B9FAAF67CC}"/>
    <cellStyle name="Normal 2 4 2 4 2 4 4" xfId="9735" xr:uid="{26A9465E-A86E-47D0-A932-A28E1FE05358}"/>
    <cellStyle name="Normal 2 4 2 4 2 4 5" xfId="18176" xr:uid="{78B91E9D-35A6-411F-8946-E4299053ADC7}"/>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16511" xr:uid="{40939240-05F9-4E80-A222-53DA6B64449C}"/>
    <cellStyle name="Normal 2 4 2 4 2 5 2 2 3" xfId="24951" xr:uid="{919469C9-D088-4943-8835-36D20B40A9BA}"/>
    <cellStyle name="Normal 2 4 2 4 2 5 2 3" xfId="12293" xr:uid="{7FD8CCE4-DF9D-4592-9EAB-70569455BF17}"/>
    <cellStyle name="Normal 2 4 2 4 2 5 2 4" xfId="20734" xr:uid="{372E2DDF-5518-4F4D-A16D-E8DDAE13A661}"/>
    <cellStyle name="Normal 2 4 2 4 2 5 3" xfId="5924" xr:uid="{00000000-0005-0000-0000-0000570F0000}"/>
    <cellStyle name="Normal 2 4 2 4 2 5 3 2" xfId="14366" xr:uid="{94FD73CF-7E84-4683-99F2-DD9E77370C76}"/>
    <cellStyle name="Normal 2 4 2 4 2 5 3 3" xfId="22806" xr:uid="{7CB06842-59E2-435A-BB52-30D0AF891DAC}"/>
    <cellStyle name="Normal 2 4 2 4 2 5 4" xfId="10148" xr:uid="{F20EA4F4-67D2-4A31-B0A1-D764CD5ADDEE}"/>
    <cellStyle name="Normal 2 4 2 4 2 5 5" xfId="18589" xr:uid="{82BE1A1F-E893-426A-AC55-CB261CA9F623}"/>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16924" xr:uid="{DBFB59E1-57F1-4F0A-8E2E-8334D94A09D4}"/>
    <cellStyle name="Normal 2 4 2 4 2 6 2 2 3" xfId="25364" xr:uid="{E74977E1-9ED6-40D7-9F61-E9062F9364BA}"/>
    <cellStyle name="Normal 2 4 2 4 2 6 2 3" xfId="12706" xr:uid="{26A71127-7AE8-46DF-84F8-6A4A66975936}"/>
    <cellStyle name="Normal 2 4 2 4 2 6 2 4" xfId="21147" xr:uid="{C35279A5-B13B-410B-8486-A2B4C4429FE2}"/>
    <cellStyle name="Normal 2 4 2 4 2 6 3" xfId="6337" xr:uid="{00000000-0005-0000-0000-00005B0F0000}"/>
    <cellStyle name="Normal 2 4 2 4 2 6 3 2" xfId="14779" xr:uid="{D92E1AAD-800D-4C68-B40C-C8BFA8EC0FDD}"/>
    <cellStyle name="Normal 2 4 2 4 2 6 3 3" xfId="23219" xr:uid="{0639A413-2C20-4CC9-A9AC-C1BF6228D053}"/>
    <cellStyle name="Normal 2 4 2 4 2 6 4" xfId="10561" xr:uid="{AA1207CB-4D75-4838-8E4A-0370D21908B0}"/>
    <cellStyle name="Normal 2 4 2 4 2 6 5" xfId="19002" xr:uid="{E2DDC109-1B34-46FF-B070-4A3C963180CB}"/>
    <cellStyle name="Normal 2 4 2 4 2 7" xfId="2466" xr:uid="{00000000-0005-0000-0000-00005C0F0000}"/>
    <cellStyle name="Normal 2 4 2 4 2 7 2" xfId="6750" xr:uid="{00000000-0005-0000-0000-00005D0F0000}"/>
    <cellStyle name="Normal 2 4 2 4 2 7 2 2" xfId="15192" xr:uid="{B5376ED5-4419-44D9-993C-D273B443852F}"/>
    <cellStyle name="Normal 2 4 2 4 2 7 2 3" xfId="23632" xr:uid="{286BDFEE-07C5-4787-B11A-B95C0CDD75C6}"/>
    <cellStyle name="Normal 2 4 2 4 2 7 3" xfId="10974" xr:uid="{C5ADDCBF-3F4D-4389-8EFB-6D84578A1272}"/>
    <cellStyle name="Normal 2 4 2 4 2 7 4" xfId="19415" xr:uid="{180CD904-3333-4D3F-AD2D-405137AFCF88}"/>
    <cellStyle name="Normal 2 4 2 4 2 8" xfId="4684" xr:uid="{00000000-0005-0000-0000-00005E0F0000}"/>
    <cellStyle name="Normal 2 4 2 4 2 8 2" xfId="13126" xr:uid="{E4E84893-8810-4462-A71F-A375186B3BC2}"/>
    <cellStyle name="Normal 2 4 2 4 2 8 3" xfId="21566" xr:uid="{E9B0DBC7-51C0-4BB5-9D8E-2CB90699C2AC}"/>
    <cellStyle name="Normal 2 4 2 4 2 9" xfId="8908" xr:uid="{BE0198E1-E9FD-4E7A-AEAA-6227813AE3DD}"/>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15687" xr:uid="{B41CBBA3-E9DB-4095-B4D9-3C32F35CB862}"/>
    <cellStyle name="Normal 2 4 2 4 3 2 2 2 3" xfId="24127" xr:uid="{DB222323-29EE-483C-9DF2-D7B613287699}"/>
    <cellStyle name="Normal 2 4 2 4 3 2 2 3" xfId="11469" xr:uid="{64B7BBFD-6009-4CD3-8116-D0D0DD946568}"/>
    <cellStyle name="Normal 2 4 2 4 3 2 2 4" xfId="19910" xr:uid="{B1FDCD43-3023-44D6-86FD-67C7AF9E5A53}"/>
    <cellStyle name="Normal 2 4 2 4 3 2 3" xfId="5100" xr:uid="{00000000-0005-0000-0000-0000630F0000}"/>
    <cellStyle name="Normal 2 4 2 4 3 2 3 2" xfId="13542" xr:uid="{29D07D1E-8782-4F5D-B946-89EA13F39BBB}"/>
    <cellStyle name="Normal 2 4 2 4 3 2 3 3" xfId="21982" xr:uid="{21C2A7B9-E193-45D4-807F-44A04C7B553F}"/>
    <cellStyle name="Normal 2 4 2 4 3 2 4" xfId="9324" xr:uid="{3815F7A4-EE59-402C-B39F-B77480196CEC}"/>
    <cellStyle name="Normal 2 4 2 4 3 2 5" xfId="17765" xr:uid="{A8DD678C-E5D2-4167-8D20-3DBA90C5FB4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16100" xr:uid="{9CE02171-7EC2-4FFB-AE67-2D973690A69D}"/>
    <cellStyle name="Normal 2 4 2 4 3 3 2 2 3" xfId="24540" xr:uid="{F5758144-52EB-47FB-BEDD-0F5EC05AD5F0}"/>
    <cellStyle name="Normal 2 4 2 4 3 3 2 3" xfId="11882" xr:uid="{22C68BA0-ECD9-4A24-9626-066D567F28ED}"/>
    <cellStyle name="Normal 2 4 2 4 3 3 2 4" xfId="20323" xr:uid="{75A0CC74-A358-4156-8800-01774F66A322}"/>
    <cellStyle name="Normal 2 4 2 4 3 3 3" xfId="5513" xr:uid="{00000000-0005-0000-0000-0000670F0000}"/>
    <cellStyle name="Normal 2 4 2 4 3 3 3 2" xfId="13955" xr:uid="{C7223E7B-F98C-4688-93AD-8F638C152428}"/>
    <cellStyle name="Normal 2 4 2 4 3 3 3 3" xfId="22395" xr:uid="{0AA5F511-C0BB-4F4F-929F-8B62256E750A}"/>
    <cellStyle name="Normal 2 4 2 4 3 3 4" xfId="9737" xr:uid="{0F50FFD4-F148-4EDE-BF0D-31A59BF92CC8}"/>
    <cellStyle name="Normal 2 4 2 4 3 3 5" xfId="18178" xr:uid="{EA75DD56-C084-4815-9530-1883D422DB91}"/>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16513" xr:uid="{1B46621D-0F0C-4091-8D01-F58AE472FF09}"/>
    <cellStyle name="Normal 2 4 2 4 3 4 2 2 3" xfId="24953" xr:uid="{F6D671D9-D456-44BB-B0A3-5B0B57A2472F}"/>
    <cellStyle name="Normal 2 4 2 4 3 4 2 3" xfId="12295" xr:uid="{5ABFFF84-DD2E-46AB-B93E-041A3B78ABDC}"/>
    <cellStyle name="Normal 2 4 2 4 3 4 2 4" xfId="20736" xr:uid="{5299DC27-31B3-4E62-94FD-B366BFB0BB22}"/>
    <cellStyle name="Normal 2 4 2 4 3 4 3" xfId="5926" xr:uid="{00000000-0005-0000-0000-00006B0F0000}"/>
    <cellStyle name="Normal 2 4 2 4 3 4 3 2" xfId="14368" xr:uid="{DD670F01-40BB-40C2-B21B-71E5C878948B}"/>
    <cellStyle name="Normal 2 4 2 4 3 4 3 3" xfId="22808" xr:uid="{E8E35720-5587-45C1-A576-00CA497E26E4}"/>
    <cellStyle name="Normal 2 4 2 4 3 4 4" xfId="10150" xr:uid="{5D6B2F10-6A0C-46E1-ABB5-E2BF214484F4}"/>
    <cellStyle name="Normal 2 4 2 4 3 4 5" xfId="18591" xr:uid="{1F6181F8-94F9-410E-9CB8-3DDF50AEB681}"/>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16926" xr:uid="{F7579D17-9E0F-4B1C-A005-6293FDDDE154}"/>
    <cellStyle name="Normal 2 4 2 4 3 5 2 2 3" xfId="25366" xr:uid="{01B329B6-A3A5-4116-8DF0-A56E8982EF9E}"/>
    <cellStyle name="Normal 2 4 2 4 3 5 2 3" xfId="12708" xr:uid="{D174CBF6-F7A6-4000-8B85-529C00F70228}"/>
    <cellStyle name="Normal 2 4 2 4 3 5 2 4" xfId="21149" xr:uid="{95726218-0450-4AAB-AFEF-97F8F41F97BA}"/>
    <cellStyle name="Normal 2 4 2 4 3 5 3" xfId="6339" xr:uid="{00000000-0005-0000-0000-00006F0F0000}"/>
    <cellStyle name="Normal 2 4 2 4 3 5 3 2" xfId="14781" xr:uid="{801A1434-90CD-44E7-A848-0DA1D6E3623E}"/>
    <cellStyle name="Normal 2 4 2 4 3 5 3 3" xfId="23221" xr:uid="{127F2CE7-58BF-4E96-A30B-826FF110A5E2}"/>
    <cellStyle name="Normal 2 4 2 4 3 5 4" xfId="10563" xr:uid="{52E81583-E24B-4A96-A179-210A82D0F7AA}"/>
    <cellStyle name="Normal 2 4 2 4 3 5 5" xfId="19004" xr:uid="{03B52FBF-51FD-4846-A0EF-864C6424058A}"/>
    <cellStyle name="Normal 2 4 2 4 3 6" xfId="2468" xr:uid="{00000000-0005-0000-0000-0000700F0000}"/>
    <cellStyle name="Normal 2 4 2 4 3 6 2" xfId="6752" xr:uid="{00000000-0005-0000-0000-0000710F0000}"/>
    <cellStyle name="Normal 2 4 2 4 3 6 2 2" xfId="15194" xr:uid="{394342DE-31DF-46A4-A7EB-6156C674E9B2}"/>
    <cellStyle name="Normal 2 4 2 4 3 6 2 3" xfId="23634" xr:uid="{3FACD0A2-12ED-4B04-8EA3-F1366927F544}"/>
    <cellStyle name="Normal 2 4 2 4 3 6 3" xfId="10976" xr:uid="{BFCE2A7C-DA06-4638-9627-AD1E2A6133F9}"/>
    <cellStyle name="Normal 2 4 2 4 3 6 4" xfId="19417" xr:uid="{A6BBCCF8-DF03-4E9A-A58E-5750184A267B}"/>
    <cellStyle name="Normal 2 4 2 4 3 7" xfId="4686" xr:uid="{00000000-0005-0000-0000-0000720F0000}"/>
    <cellStyle name="Normal 2 4 2 4 3 7 2" xfId="13128" xr:uid="{3E2A4463-FFA3-42CD-84FC-A9688E3E0FE5}"/>
    <cellStyle name="Normal 2 4 2 4 3 7 3" xfId="21568" xr:uid="{7E71BA73-FB88-4D8C-83AF-6AC0BAB1D8C9}"/>
    <cellStyle name="Normal 2 4 2 4 3 8" xfId="8910" xr:uid="{4CD05BCF-629A-461B-9E45-8CD524E0A194}"/>
    <cellStyle name="Normal 2 4 2 4 3 9" xfId="17351" xr:uid="{AC6783E3-20E1-42FB-A889-9FD4BB6FE9B1}"/>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15684" xr:uid="{05BF6EB4-8E77-4FEE-860B-990C337ED1A7}"/>
    <cellStyle name="Normal 2 4 2 4 4 2 2 3" xfId="24124" xr:uid="{71853E43-4F2B-47EF-B928-53FB07620F91}"/>
    <cellStyle name="Normal 2 4 2 4 4 2 3" xfId="11466" xr:uid="{3682ACD8-60D4-41DA-AD3A-C42C9B29832B}"/>
    <cellStyle name="Normal 2 4 2 4 4 2 4" xfId="19907" xr:uid="{6007A6B2-28C5-40C9-A115-352132C7FD2C}"/>
    <cellStyle name="Normal 2 4 2 4 4 3" xfId="5097" xr:uid="{00000000-0005-0000-0000-0000760F0000}"/>
    <cellStyle name="Normal 2 4 2 4 4 3 2" xfId="13539" xr:uid="{89D0D803-69B9-4C8D-AD4A-FA3DDF557D88}"/>
    <cellStyle name="Normal 2 4 2 4 4 3 3" xfId="21979" xr:uid="{C4932089-5620-4E7D-A2F0-A5832B975296}"/>
    <cellStyle name="Normal 2 4 2 4 4 4" xfId="9321" xr:uid="{60C7FBE7-9364-4BCC-A3F0-8C334228BC33}"/>
    <cellStyle name="Normal 2 4 2 4 4 5" xfId="17762" xr:uid="{94B12D3C-4DF1-42A6-97D5-06F7CDB15DCC}"/>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16097" xr:uid="{FDA82ACA-07DD-4DDC-8E05-DCEBAB948E8C}"/>
    <cellStyle name="Normal 2 4 2 4 5 2 2 3" xfId="24537" xr:uid="{142D6223-C0A6-4226-A250-90C0C635939B}"/>
    <cellStyle name="Normal 2 4 2 4 5 2 3" xfId="11879" xr:uid="{42F0FE71-7F4A-40A5-86ED-0679AB149A3C}"/>
    <cellStyle name="Normal 2 4 2 4 5 2 4" xfId="20320" xr:uid="{C2F23878-FAAD-48D9-B2A0-11DECF59B907}"/>
    <cellStyle name="Normal 2 4 2 4 5 3" xfId="5510" xr:uid="{00000000-0005-0000-0000-00007A0F0000}"/>
    <cellStyle name="Normal 2 4 2 4 5 3 2" xfId="13952" xr:uid="{C415C19C-39E8-4A2E-828C-7960A064DA44}"/>
    <cellStyle name="Normal 2 4 2 4 5 3 3" xfId="22392" xr:uid="{D00AE89C-F48F-444E-8BB5-F98E3065B624}"/>
    <cellStyle name="Normal 2 4 2 4 5 4" xfId="9734" xr:uid="{84FBCA59-ACC6-4570-AF23-4BDC6292F3C9}"/>
    <cellStyle name="Normal 2 4 2 4 5 5" xfId="18175" xr:uid="{6C9D2BD9-73A0-469A-8AC5-59CD21FA1342}"/>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16510" xr:uid="{F5D0BA1C-C13D-4690-B90F-F242FE08BCB8}"/>
    <cellStyle name="Normal 2 4 2 4 6 2 2 3" xfId="24950" xr:uid="{94614C20-0793-4114-832E-0FF818A9ACB6}"/>
    <cellStyle name="Normal 2 4 2 4 6 2 3" xfId="12292" xr:uid="{370DDF96-A9C8-4DB8-B2B1-198093E5720B}"/>
    <cellStyle name="Normal 2 4 2 4 6 2 4" xfId="20733" xr:uid="{517C05A1-18AB-4D6A-92BD-D1BF0055564B}"/>
    <cellStyle name="Normal 2 4 2 4 6 3" xfId="5923" xr:uid="{00000000-0005-0000-0000-00007E0F0000}"/>
    <cellStyle name="Normal 2 4 2 4 6 3 2" xfId="14365" xr:uid="{2ABCCEC7-55E5-419A-801E-13E646FFB2DC}"/>
    <cellStyle name="Normal 2 4 2 4 6 3 3" xfId="22805" xr:uid="{93F35EFD-DAD0-429B-B847-38382B60A135}"/>
    <cellStyle name="Normal 2 4 2 4 6 4" xfId="10147" xr:uid="{60FA0923-2543-429E-BEE3-792CFD7F54A7}"/>
    <cellStyle name="Normal 2 4 2 4 6 5" xfId="18588" xr:uid="{69B479D8-B9D5-46BC-BFF4-16E835BAF242}"/>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16923" xr:uid="{C18656CC-1C82-4291-8E2C-E031AAE75D5C}"/>
    <cellStyle name="Normal 2 4 2 4 7 2 2 3" xfId="25363" xr:uid="{9CC7F053-B4FB-42A3-99A2-2CBB24CB3085}"/>
    <cellStyle name="Normal 2 4 2 4 7 2 3" xfId="12705" xr:uid="{8872BFF8-A3BA-4482-A86E-42786C2A625D}"/>
    <cellStyle name="Normal 2 4 2 4 7 2 4" xfId="21146" xr:uid="{023D381F-5A83-4AF6-8BA9-758D20F058AB}"/>
    <cellStyle name="Normal 2 4 2 4 7 3" xfId="6336" xr:uid="{00000000-0005-0000-0000-0000820F0000}"/>
    <cellStyle name="Normal 2 4 2 4 7 3 2" xfId="14778" xr:uid="{7B994C45-97E8-48CC-AE23-3A3B0569B1A3}"/>
    <cellStyle name="Normal 2 4 2 4 7 3 3" xfId="23218" xr:uid="{F2921E37-2487-432A-9608-C468EF0AF78D}"/>
    <cellStyle name="Normal 2 4 2 4 7 4" xfId="10560" xr:uid="{0DB57F14-A41B-4931-BFB1-CEA0A503E32B}"/>
    <cellStyle name="Normal 2 4 2 4 7 5" xfId="19001" xr:uid="{97711112-285A-4FA0-B92D-DCE02B50B284}"/>
    <cellStyle name="Normal 2 4 2 4 8" xfId="2465" xr:uid="{00000000-0005-0000-0000-0000830F0000}"/>
    <cellStyle name="Normal 2 4 2 4 8 2" xfId="6749" xr:uid="{00000000-0005-0000-0000-0000840F0000}"/>
    <cellStyle name="Normal 2 4 2 4 8 2 2" xfId="15191" xr:uid="{2D509C53-8FDC-4238-9DC6-E73A292B4D5E}"/>
    <cellStyle name="Normal 2 4 2 4 8 2 3" xfId="23631" xr:uid="{EDC315A6-5201-4114-AFD9-1E755799C7E9}"/>
    <cellStyle name="Normal 2 4 2 4 8 3" xfId="10973" xr:uid="{CBD8B3C7-CF4F-4EB2-AA17-C981E1715873}"/>
    <cellStyle name="Normal 2 4 2 4 8 4" xfId="19414" xr:uid="{6A83320A-024D-47C0-8368-C7097E45FEEA}"/>
    <cellStyle name="Normal 2 4 2 4 9" xfId="4683" xr:uid="{00000000-0005-0000-0000-0000850F0000}"/>
    <cellStyle name="Normal 2 4 2 4 9 2" xfId="13125" xr:uid="{2F258AED-E53C-4ABB-8046-3CED9201828D}"/>
    <cellStyle name="Normal 2 4 2 4 9 3" xfId="21565" xr:uid="{B026164E-F7F8-470A-9275-693E2F4C4F01}"/>
    <cellStyle name="Normal 2 4 2 5" xfId="293" xr:uid="{00000000-0005-0000-0000-0000860F0000}"/>
    <cellStyle name="Normal 2 4 2 5 10" xfId="17352" xr:uid="{15836125-9773-40E0-BC79-12348C98A7A5}"/>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15689" xr:uid="{5910B896-3031-44C0-A930-C221A45E9F2B}"/>
    <cellStyle name="Normal 2 4 2 5 2 2 2 2 3" xfId="24129" xr:uid="{960CE7D3-0B5E-4BB7-911E-4DA77BB9015D}"/>
    <cellStyle name="Normal 2 4 2 5 2 2 2 3" xfId="11471" xr:uid="{5A8AE898-8CA8-460F-BA25-CC4CEC7659B1}"/>
    <cellStyle name="Normal 2 4 2 5 2 2 2 4" xfId="19912" xr:uid="{C0A33C54-1E8E-4E53-9DD6-F7E6FF70DEFC}"/>
    <cellStyle name="Normal 2 4 2 5 2 2 3" xfId="5102" xr:uid="{00000000-0005-0000-0000-00008B0F0000}"/>
    <cellStyle name="Normal 2 4 2 5 2 2 3 2" xfId="13544" xr:uid="{0797ACAE-23E2-448E-8D17-A206366C8A7E}"/>
    <cellStyle name="Normal 2 4 2 5 2 2 3 3" xfId="21984" xr:uid="{C008354D-5618-4935-81ED-B822D7509E53}"/>
    <cellStyle name="Normal 2 4 2 5 2 2 4" xfId="9326" xr:uid="{6B993AA7-3094-4399-B7DE-58E508E12C78}"/>
    <cellStyle name="Normal 2 4 2 5 2 2 5" xfId="17767" xr:uid="{429203A8-2B18-426F-94E2-9102A16B26FF}"/>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16102" xr:uid="{4DFC9C74-B8D3-46CD-99D3-739054571AA8}"/>
    <cellStyle name="Normal 2 4 2 5 2 3 2 2 3" xfId="24542" xr:uid="{6B881652-CDB4-4AFF-8621-2A165EA39AE7}"/>
    <cellStyle name="Normal 2 4 2 5 2 3 2 3" xfId="11884" xr:uid="{A2118B9F-3C07-43E2-9875-E0D392B10486}"/>
    <cellStyle name="Normal 2 4 2 5 2 3 2 4" xfId="20325" xr:uid="{7220CC4A-27B4-4017-A328-09BE914555E7}"/>
    <cellStyle name="Normal 2 4 2 5 2 3 3" xfId="5515" xr:uid="{00000000-0005-0000-0000-00008F0F0000}"/>
    <cellStyle name="Normal 2 4 2 5 2 3 3 2" xfId="13957" xr:uid="{A15F7D6F-4A34-4398-9BDF-EB89D3CC4C9F}"/>
    <cellStyle name="Normal 2 4 2 5 2 3 3 3" xfId="22397" xr:uid="{E2C6074C-03F2-4138-8973-A853DE542BE2}"/>
    <cellStyle name="Normal 2 4 2 5 2 3 4" xfId="9739" xr:uid="{F57F4563-1BB3-457B-A34D-D64745782DC1}"/>
    <cellStyle name="Normal 2 4 2 5 2 3 5" xfId="18180" xr:uid="{B793B45C-2A66-40E2-B8FA-EBAD4836690F}"/>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16515" xr:uid="{7279C2F6-3367-4EDA-B68D-58C538E6BC59}"/>
    <cellStyle name="Normal 2 4 2 5 2 4 2 2 3" xfId="24955" xr:uid="{75257D4F-F3D1-4A3D-807A-D7B6F444D146}"/>
    <cellStyle name="Normal 2 4 2 5 2 4 2 3" xfId="12297" xr:uid="{D59408D9-34C3-4F7C-BA4B-98FF1D7CD7F7}"/>
    <cellStyle name="Normal 2 4 2 5 2 4 2 4" xfId="20738" xr:uid="{83B9A36C-9AA4-4680-96A6-108DE98C9CC3}"/>
    <cellStyle name="Normal 2 4 2 5 2 4 3" xfId="5928" xr:uid="{00000000-0005-0000-0000-0000930F0000}"/>
    <cellStyle name="Normal 2 4 2 5 2 4 3 2" xfId="14370" xr:uid="{C9B9C779-7C6E-4BD2-AAA9-0F3A3AE5F991}"/>
    <cellStyle name="Normal 2 4 2 5 2 4 3 3" xfId="22810" xr:uid="{BE2E553A-86D4-4BA9-BAD4-9AD28163AA18}"/>
    <cellStyle name="Normal 2 4 2 5 2 4 4" xfId="10152" xr:uid="{FB1FE715-04BE-431A-BF06-AFD0DCE0BF7C}"/>
    <cellStyle name="Normal 2 4 2 5 2 4 5" xfId="18593" xr:uid="{3116B91B-FA4D-4A4B-9076-52455090288B}"/>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16928" xr:uid="{25B1DD22-E491-4525-9A0F-62CA108BD879}"/>
    <cellStyle name="Normal 2 4 2 5 2 5 2 2 3" xfId="25368" xr:uid="{A9FD4A88-55D9-4E4D-B163-828ABDA2B808}"/>
    <cellStyle name="Normal 2 4 2 5 2 5 2 3" xfId="12710" xr:uid="{4BA92F34-EACA-4608-AA80-994CB0724FB2}"/>
    <cellStyle name="Normal 2 4 2 5 2 5 2 4" xfId="21151" xr:uid="{2EF9158A-5575-45D6-9F6A-73D034D28FE5}"/>
    <cellStyle name="Normal 2 4 2 5 2 5 3" xfId="6341" xr:uid="{00000000-0005-0000-0000-0000970F0000}"/>
    <cellStyle name="Normal 2 4 2 5 2 5 3 2" xfId="14783" xr:uid="{BDCA9B79-0D5C-4A23-912B-77E03582A265}"/>
    <cellStyle name="Normal 2 4 2 5 2 5 3 3" xfId="23223" xr:uid="{290A1269-0A4C-42A7-BA07-1163AB1469CE}"/>
    <cellStyle name="Normal 2 4 2 5 2 5 4" xfId="10565" xr:uid="{DB24E17C-1B17-4D17-AFF0-EDE26891C124}"/>
    <cellStyle name="Normal 2 4 2 5 2 5 5" xfId="19006" xr:uid="{1DAC8241-EB4E-4858-9B74-6FC9BD3FD833}"/>
    <cellStyle name="Normal 2 4 2 5 2 6" xfId="2470" xr:uid="{00000000-0005-0000-0000-0000980F0000}"/>
    <cellStyle name="Normal 2 4 2 5 2 6 2" xfId="6754" xr:uid="{00000000-0005-0000-0000-0000990F0000}"/>
    <cellStyle name="Normal 2 4 2 5 2 6 2 2" xfId="15196" xr:uid="{BA646FF5-1965-467A-8433-F6ACEFDD0884}"/>
    <cellStyle name="Normal 2 4 2 5 2 6 2 3" xfId="23636" xr:uid="{A33486BA-66EB-4FD6-A0C9-9801DE4FB94B}"/>
    <cellStyle name="Normal 2 4 2 5 2 6 3" xfId="10978" xr:uid="{EC8A8B90-DC11-429A-B953-8D2CDBF22994}"/>
    <cellStyle name="Normal 2 4 2 5 2 6 4" xfId="19419" xr:uid="{33608BE4-D43F-40FC-849C-F7B71BB5684E}"/>
    <cellStyle name="Normal 2 4 2 5 2 7" xfId="4688" xr:uid="{00000000-0005-0000-0000-00009A0F0000}"/>
    <cellStyle name="Normal 2 4 2 5 2 7 2" xfId="13130" xr:uid="{694F05F9-E0D0-4D4F-BD62-54E8A9A9137B}"/>
    <cellStyle name="Normal 2 4 2 5 2 7 3" xfId="21570" xr:uid="{6DBAE3E5-2FC1-48B0-952A-E3D0E31ABAB8}"/>
    <cellStyle name="Normal 2 4 2 5 2 8" xfId="8912" xr:uid="{EE2BE9A3-FE53-4F5B-9E12-83F84FFC0E4C}"/>
    <cellStyle name="Normal 2 4 2 5 2 9" xfId="17353" xr:uid="{9CEA1A3D-F38F-4009-8CBD-07087D96AC07}"/>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15688" xr:uid="{847B19E2-9258-43D2-9525-80BFB8AE3CF6}"/>
    <cellStyle name="Normal 2 4 2 5 3 2 2 3" xfId="24128" xr:uid="{870CC931-C3F4-4C38-893E-F0CC28018A3B}"/>
    <cellStyle name="Normal 2 4 2 5 3 2 3" xfId="11470" xr:uid="{817B41EE-E8FD-4A72-9A1C-F65CFA9FA959}"/>
    <cellStyle name="Normal 2 4 2 5 3 2 4" xfId="19911" xr:uid="{99844A44-B598-430E-9E83-BB6031440C20}"/>
    <cellStyle name="Normal 2 4 2 5 3 3" xfId="5101" xr:uid="{00000000-0005-0000-0000-00009E0F0000}"/>
    <cellStyle name="Normal 2 4 2 5 3 3 2" xfId="13543" xr:uid="{C35731AF-1D3D-48ED-A946-3556FD5662C1}"/>
    <cellStyle name="Normal 2 4 2 5 3 3 3" xfId="21983" xr:uid="{A8E0BD11-28FE-4226-9F8D-307895875F67}"/>
    <cellStyle name="Normal 2 4 2 5 3 4" xfId="9325" xr:uid="{0C7FD810-D48B-4A5B-B107-D2BD8E7E3B86}"/>
    <cellStyle name="Normal 2 4 2 5 3 5" xfId="17766" xr:uid="{85596A11-AAF7-490E-B1F0-3D6E3B5536CD}"/>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16101" xr:uid="{FC1EB995-E38E-4DD2-9C52-ACE16B4B8FA8}"/>
    <cellStyle name="Normal 2 4 2 5 4 2 2 3" xfId="24541" xr:uid="{615E6DEF-0293-4F03-90FB-4DF1E8EBCDCB}"/>
    <cellStyle name="Normal 2 4 2 5 4 2 3" xfId="11883" xr:uid="{F644504F-FB2F-42A3-9963-7E9FDEBAA977}"/>
    <cellStyle name="Normal 2 4 2 5 4 2 4" xfId="20324" xr:uid="{6D2BF901-40E6-4304-8B24-D4423F0A792D}"/>
    <cellStyle name="Normal 2 4 2 5 4 3" xfId="5514" xr:uid="{00000000-0005-0000-0000-0000A20F0000}"/>
    <cellStyle name="Normal 2 4 2 5 4 3 2" xfId="13956" xr:uid="{73C2D085-929C-41F1-86A6-211B08DCFF32}"/>
    <cellStyle name="Normal 2 4 2 5 4 3 3" xfId="22396" xr:uid="{E4C34778-CAC0-49A8-A9EA-6A3619C85DE5}"/>
    <cellStyle name="Normal 2 4 2 5 4 4" xfId="9738" xr:uid="{9117DFCA-617F-4BEC-A99C-55EBBC9759EC}"/>
    <cellStyle name="Normal 2 4 2 5 4 5" xfId="18179" xr:uid="{FC57FF1B-5C71-4A93-A87A-788F6C0BEA05}"/>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16514" xr:uid="{7960D2B9-C2A7-40F2-8B71-BD36D87BC126}"/>
    <cellStyle name="Normal 2 4 2 5 5 2 2 3" xfId="24954" xr:uid="{1583233D-007A-46F5-8A9A-02A8FE4AEB05}"/>
    <cellStyle name="Normal 2 4 2 5 5 2 3" xfId="12296" xr:uid="{48800199-CC25-4A8B-939C-798BE7235EBA}"/>
    <cellStyle name="Normal 2 4 2 5 5 2 4" xfId="20737" xr:uid="{0F033371-65D2-4045-9931-26DF8E3AFB11}"/>
    <cellStyle name="Normal 2 4 2 5 5 3" xfId="5927" xr:uid="{00000000-0005-0000-0000-0000A60F0000}"/>
    <cellStyle name="Normal 2 4 2 5 5 3 2" xfId="14369" xr:uid="{499DEFDA-56F0-49D8-9A53-D46B8F08CD3F}"/>
    <cellStyle name="Normal 2 4 2 5 5 3 3" xfId="22809" xr:uid="{E9371191-A6E8-4A0F-8C58-1C65DBFB8D14}"/>
    <cellStyle name="Normal 2 4 2 5 5 4" xfId="10151" xr:uid="{2B741B5C-0F5F-4D6C-8583-3E613D289A3C}"/>
    <cellStyle name="Normal 2 4 2 5 5 5" xfId="18592" xr:uid="{E1BC2F7A-DE4D-4A87-9BE1-D779D9B43CD9}"/>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16927" xr:uid="{42F6D7A6-3810-4A0F-9AE7-F6E78BA6048A}"/>
    <cellStyle name="Normal 2 4 2 5 6 2 2 3" xfId="25367" xr:uid="{948109C9-819F-4CD2-9130-DB5B23354871}"/>
    <cellStyle name="Normal 2 4 2 5 6 2 3" xfId="12709" xr:uid="{96D8C5C7-26B6-44B8-87A0-B4242E3E60B2}"/>
    <cellStyle name="Normal 2 4 2 5 6 2 4" xfId="21150" xr:uid="{23329224-1F02-4722-9F8B-7119473993AD}"/>
    <cellStyle name="Normal 2 4 2 5 6 3" xfId="6340" xr:uid="{00000000-0005-0000-0000-0000AA0F0000}"/>
    <cellStyle name="Normal 2 4 2 5 6 3 2" xfId="14782" xr:uid="{9EBEB758-597D-4E2D-B53A-EA0C574B0B6A}"/>
    <cellStyle name="Normal 2 4 2 5 6 3 3" xfId="23222" xr:uid="{4A991E36-2E20-4689-B919-733061656513}"/>
    <cellStyle name="Normal 2 4 2 5 6 4" xfId="10564" xr:uid="{7E9959BD-D3F5-48ED-853B-48D03A98B95A}"/>
    <cellStyle name="Normal 2 4 2 5 6 5" xfId="19005" xr:uid="{F17C65EA-2AB9-4914-A7F6-BE4A731BA2C6}"/>
    <cellStyle name="Normal 2 4 2 5 7" xfId="2469" xr:uid="{00000000-0005-0000-0000-0000AB0F0000}"/>
    <cellStyle name="Normal 2 4 2 5 7 2" xfId="6753" xr:uid="{00000000-0005-0000-0000-0000AC0F0000}"/>
    <cellStyle name="Normal 2 4 2 5 7 2 2" xfId="15195" xr:uid="{E469C79E-09DD-455C-B1ED-177B9ED3AEA9}"/>
    <cellStyle name="Normal 2 4 2 5 7 2 3" xfId="23635" xr:uid="{96ACE354-97DA-4E29-9631-1F8501CA92C2}"/>
    <cellStyle name="Normal 2 4 2 5 7 3" xfId="10977" xr:uid="{B2991F3F-BACC-4B84-A299-41FBCD3FBEC8}"/>
    <cellStyle name="Normal 2 4 2 5 7 4" xfId="19418" xr:uid="{D3BDC073-0B82-4C5D-90AE-23B7DD2B8C11}"/>
    <cellStyle name="Normal 2 4 2 5 8" xfId="4687" xr:uid="{00000000-0005-0000-0000-0000AD0F0000}"/>
    <cellStyle name="Normal 2 4 2 5 8 2" xfId="13129" xr:uid="{181B8A87-9719-4D19-BC2B-1154B210CE58}"/>
    <cellStyle name="Normal 2 4 2 5 8 3" xfId="21569" xr:uid="{92305658-656F-420B-A8AA-59A154CD0315}"/>
    <cellStyle name="Normal 2 4 2 5 9" xfId="8911" xr:uid="{29E72490-F045-48D8-87BB-858E79B326FB}"/>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15690" xr:uid="{31F2EADA-5170-4CDD-80F6-A4C52A0AE69D}"/>
    <cellStyle name="Normal 2 4 2 6 2 2 2 3" xfId="24130" xr:uid="{D008C65E-3D48-454F-A86B-D2DFEB047382}"/>
    <cellStyle name="Normal 2 4 2 6 2 2 3" xfId="11472" xr:uid="{35067414-4669-45BA-909D-D658B57E6B7D}"/>
    <cellStyle name="Normal 2 4 2 6 2 2 4" xfId="19913" xr:uid="{1B7097F6-5FD9-43D0-8E93-3011DA1FD1B6}"/>
    <cellStyle name="Normal 2 4 2 6 2 3" xfId="5103" xr:uid="{00000000-0005-0000-0000-0000B20F0000}"/>
    <cellStyle name="Normal 2 4 2 6 2 3 2" xfId="13545" xr:uid="{768F5029-FBEA-4565-9DF2-E33F28A36AAD}"/>
    <cellStyle name="Normal 2 4 2 6 2 3 3" xfId="21985" xr:uid="{E94BE7AC-3619-4BEA-9F36-CDCC36CE6ED4}"/>
    <cellStyle name="Normal 2 4 2 6 2 4" xfId="9327" xr:uid="{F3E5AD96-9882-4F2A-99CC-21A3C4EB49B1}"/>
    <cellStyle name="Normal 2 4 2 6 2 5" xfId="17768" xr:uid="{E8EDCAAC-0BE5-44F9-91B7-4B5CC63B101F}"/>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16103" xr:uid="{B7F215A9-76FB-4C80-BE6B-63DE569686E8}"/>
    <cellStyle name="Normal 2 4 2 6 3 2 2 3" xfId="24543" xr:uid="{FB6307F3-6257-4F09-B10C-B888F4B9F0DD}"/>
    <cellStyle name="Normal 2 4 2 6 3 2 3" xfId="11885" xr:uid="{3597B348-65D9-47CE-BD60-32E3A011F972}"/>
    <cellStyle name="Normal 2 4 2 6 3 2 4" xfId="20326" xr:uid="{D5F1EA6A-4BF5-4628-B1F6-408F51842E7F}"/>
    <cellStyle name="Normal 2 4 2 6 3 3" xfId="5516" xr:uid="{00000000-0005-0000-0000-0000B60F0000}"/>
    <cellStyle name="Normal 2 4 2 6 3 3 2" xfId="13958" xr:uid="{D68C5811-4121-4A2F-B146-321E6FE005E9}"/>
    <cellStyle name="Normal 2 4 2 6 3 3 3" xfId="22398" xr:uid="{52E2237C-997E-4B9C-B8A9-2C67EF743A98}"/>
    <cellStyle name="Normal 2 4 2 6 3 4" xfId="9740" xr:uid="{B20B9464-01FB-464F-B011-2AC59205D93A}"/>
    <cellStyle name="Normal 2 4 2 6 3 5" xfId="18181" xr:uid="{C3D74E01-5A0A-4810-AE6C-2CD01578D676}"/>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16516" xr:uid="{16121674-720E-49C6-8F23-5FBA5F6EBF5A}"/>
    <cellStyle name="Normal 2 4 2 6 4 2 2 3" xfId="24956" xr:uid="{EDB6F00B-9857-4A1E-BAAF-FCBCA27BA290}"/>
    <cellStyle name="Normal 2 4 2 6 4 2 3" xfId="12298" xr:uid="{CBE0716F-188E-4255-A361-96CACADB9AA4}"/>
    <cellStyle name="Normal 2 4 2 6 4 2 4" xfId="20739" xr:uid="{824AF2A3-CD21-42EF-870D-812066913787}"/>
    <cellStyle name="Normal 2 4 2 6 4 3" xfId="5929" xr:uid="{00000000-0005-0000-0000-0000BA0F0000}"/>
    <cellStyle name="Normal 2 4 2 6 4 3 2" xfId="14371" xr:uid="{E45B224B-3078-4398-80D8-2977F2E7CE4A}"/>
    <cellStyle name="Normal 2 4 2 6 4 3 3" xfId="22811" xr:uid="{BDF8C584-BF29-4156-9FBB-1ADA9CFD302A}"/>
    <cellStyle name="Normal 2 4 2 6 4 4" xfId="10153" xr:uid="{5FDDB4BF-872E-485A-A530-47648BB520C4}"/>
    <cellStyle name="Normal 2 4 2 6 4 5" xfId="18594" xr:uid="{14591C2F-6541-4B57-AC16-23F28EF83466}"/>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16929" xr:uid="{54EDB8D4-C3D8-42BE-8701-1F6DCB4286AE}"/>
    <cellStyle name="Normal 2 4 2 6 5 2 2 3" xfId="25369" xr:uid="{208DA587-E4E1-4DE0-B8F8-7038A07EF025}"/>
    <cellStyle name="Normal 2 4 2 6 5 2 3" xfId="12711" xr:uid="{04957A6E-7D8C-4A4D-8797-CEC507BEAE76}"/>
    <cellStyle name="Normal 2 4 2 6 5 2 4" xfId="21152" xr:uid="{EFBB6D27-FE47-4D96-B9C8-9FC34BEB2410}"/>
    <cellStyle name="Normal 2 4 2 6 5 3" xfId="6342" xr:uid="{00000000-0005-0000-0000-0000BE0F0000}"/>
    <cellStyle name="Normal 2 4 2 6 5 3 2" xfId="14784" xr:uid="{6D4F5591-84AF-44C1-9C26-1441899F2F5E}"/>
    <cellStyle name="Normal 2 4 2 6 5 3 3" xfId="23224" xr:uid="{E5720BE8-9479-4BE2-B786-F9556FFA31DD}"/>
    <cellStyle name="Normal 2 4 2 6 5 4" xfId="10566" xr:uid="{7464ABC9-CD85-4B41-9E14-3CA1B54947F5}"/>
    <cellStyle name="Normal 2 4 2 6 5 5" xfId="19007" xr:uid="{7A7D5A97-99D5-4C3C-B0BD-19D22BE02C98}"/>
    <cellStyle name="Normal 2 4 2 6 6" xfId="2471" xr:uid="{00000000-0005-0000-0000-0000BF0F0000}"/>
    <cellStyle name="Normal 2 4 2 6 6 2" xfId="6755" xr:uid="{00000000-0005-0000-0000-0000C00F0000}"/>
    <cellStyle name="Normal 2 4 2 6 6 2 2" xfId="15197" xr:uid="{88EBBCF0-C14E-4E31-83C2-2B9438DB787B}"/>
    <cellStyle name="Normal 2 4 2 6 6 2 3" xfId="23637" xr:uid="{357BC3D1-C9BB-4833-A057-62A4B160097B}"/>
    <cellStyle name="Normal 2 4 2 6 6 3" xfId="10979" xr:uid="{8D17A687-FE6C-49CE-BCD3-75C3EF6941D4}"/>
    <cellStyle name="Normal 2 4 2 6 6 4" xfId="19420" xr:uid="{36CDE5EE-7BEE-4C18-9B0A-867F91FDEF8C}"/>
    <cellStyle name="Normal 2 4 2 6 7" xfId="4689" xr:uid="{00000000-0005-0000-0000-0000C10F0000}"/>
    <cellStyle name="Normal 2 4 2 6 7 2" xfId="13131" xr:uid="{50D89DF0-FC54-4CBE-A439-6D56730DFF17}"/>
    <cellStyle name="Normal 2 4 2 6 7 3" xfId="21571" xr:uid="{52901499-2CA6-4D60-B234-FB6DB9190A73}"/>
    <cellStyle name="Normal 2 4 2 6 8" xfId="8913" xr:uid="{8BB737BB-3AD3-474A-A543-55C1864578FC}"/>
    <cellStyle name="Normal 2 4 2 6 9" xfId="17354" xr:uid="{365AA649-0D20-40C0-978A-A7844A4ACE49}"/>
    <cellStyle name="Normal 2 4 2 7" xfId="771" xr:uid="{00000000-0005-0000-0000-0000C20F0000}"/>
    <cellStyle name="Normal 2 4 2 7 2" xfId="3010" xr:uid="{00000000-0005-0000-0000-0000C30F0000}"/>
    <cellStyle name="Normal 2 4 2 7 2 2" xfId="7233" xr:uid="{00000000-0005-0000-0000-0000C40F0000}"/>
    <cellStyle name="Normal 2 4 2 7 2 2 2" xfId="15675" xr:uid="{7D656A68-CB24-4B0D-A9E8-10D93D80C4B7}"/>
    <cellStyle name="Normal 2 4 2 7 2 2 3" xfId="24115" xr:uid="{8ACB8080-189D-46A2-9835-88DE0FD02B7E}"/>
    <cellStyle name="Normal 2 4 2 7 2 3" xfId="11457" xr:uid="{7B6E56B5-DEF7-40F4-BCAF-DC59682C0E98}"/>
    <cellStyle name="Normal 2 4 2 7 2 4" xfId="19898" xr:uid="{3C5C8175-E808-40BE-BA50-FA0C78A8A9E1}"/>
    <cellStyle name="Normal 2 4 2 7 3" xfId="5088" xr:uid="{00000000-0005-0000-0000-0000C50F0000}"/>
    <cellStyle name="Normal 2 4 2 7 3 2" xfId="13530" xr:uid="{0D4D6BA8-9BA5-4AD9-8F24-1CA59E8EF125}"/>
    <cellStyle name="Normal 2 4 2 7 3 3" xfId="21970" xr:uid="{B22F5C21-D667-4ECB-9E00-8CDDC8776043}"/>
    <cellStyle name="Normal 2 4 2 7 4" xfId="9312" xr:uid="{553B0ADE-B89A-43CC-BE8F-71F6FEFF7FFD}"/>
    <cellStyle name="Normal 2 4 2 7 5" xfId="17753" xr:uid="{BBAA04A7-152D-4BB5-9C8B-10A31E9A7918}"/>
    <cellStyle name="Normal 2 4 2 8" xfId="1193" xr:uid="{00000000-0005-0000-0000-0000C60F0000}"/>
    <cellStyle name="Normal 2 4 2 8 2" xfId="3423" xr:uid="{00000000-0005-0000-0000-0000C70F0000}"/>
    <cellStyle name="Normal 2 4 2 8 2 2" xfId="7646" xr:uid="{00000000-0005-0000-0000-0000C80F0000}"/>
    <cellStyle name="Normal 2 4 2 8 2 2 2" xfId="16088" xr:uid="{50F10038-B162-446C-A7AB-33B0C30526FB}"/>
    <cellStyle name="Normal 2 4 2 8 2 2 3" xfId="24528" xr:uid="{509DA5E9-5C46-4A71-BCD6-BE2FF20B7F53}"/>
    <cellStyle name="Normal 2 4 2 8 2 3" xfId="11870" xr:uid="{05FE6293-5955-4A2F-9B45-4BEA5A624FB9}"/>
    <cellStyle name="Normal 2 4 2 8 2 4" xfId="20311" xr:uid="{AAA13D80-9F33-4F87-B228-D01F58853C4A}"/>
    <cellStyle name="Normal 2 4 2 8 3" xfId="5501" xr:uid="{00000000-0005-0000-0000-0000C90F0000}"/>
    <cellStyle name="Normal 2 4 2 8 3 2" xfId="13943" xr:uid="{E367E727-A53A-4278-9E20-CAAF032AABF8}"/>
    <cellStyle name="Normal 2 4 2 8 3 3" xfId="22383" xr:uid="{BB4B677B-7749-47FC-B027-2C818F25557A}"/>
    <cellStyle name="Normal 2 4 2 8 4" xfId="9725" xr:uid="{F080E5FB-1529-467A-8D5A-28543902D3B0}"/>
    <cellStyle name="Normal 2 4 2 8 5" xfId="18166" xr:uid="{8420755E-82AC-44AA-A298-7C29584A9E53}"/>
    <cellStyle name="Normal 2 4 2 9" xfId="1606" xr:uid="{00000000-0005-0000-0000-0000CA0F0000}"/>
    <cellStyle name="Normal 2 4 2 9 2" xfId="3836" xr:uid="{00000000-0005-0000-0000-0000CB0F0000}"/>
    <cellStyle name="Normal 2 4 2 9 2 2" xfId="8059" xr:uid="{00000000-0005-0000-0000-0000CC0F0000}"/>
    <cellStyle name="Normal 2 4 2 9 2 2 2" xfId="16501" xr:uid="{6826B040-46BF-4D6F-B192-6210AE2143A4}"/>
    <cellStyle name="Normal 2 4 2 9 2 2 3" xfId="24941" xr:uid="{0BC8D08F-DE58-42CD-B8C8-E52B43F05FA2}"/>
    <cellStyle name="Normal 2 4 2 9 2 3" xfId="12283" xr:uid="{5CD49DD7-7DE3-4C36-A46B-9AC6310DAC42}"/>
    <cellStyle name="Normal 2 4 2 9 2 4" xfId="20724" xr:uid="{DF724554-C60E-4982-AE6C-BCD7032DA305}"/>
    <cellStyle name="Normal 2 4 2 9 3" xfId="5914" xr:uid="{00000000-0005-0000-0000-0000CD0F0000}"/>
    <cellStyle name="Normal 2 4 2 9 3 2" xfId="14356" xr:uid="{C7A0E948-BA37-43C5-8758-4781BBD86509}"/>
    <cellStyle name="Normal 2 4 2 9 3 3" xfId="22796" xr:uid="{06F5A72A-0B0C-4545-A0E7-03AE036EFDDA}"/>
    <cellStyle name="Normal 2 4 2 9 4" xfId="10138" xr:uid="{62AFE588-6850-43C6-9518-76D8CBD894A1}"/>
    <cellStyle name="Normal 2 4 2 9 5" xfId="18579" xr:uid="{443B0DC2-33EC-4710-8610-2B404A9DD642}"/>
    <cellStyle name="Normal 2 4 3" xfId="296" xr:uid="{00000000-0005-0000-0000-0000CE0F0000}"/>
    <cellStyle name="Normal 2 4 3 10" xfId="8914" xr:uid="{F2F65DA1-3C7E-4DA9-A513-5CFA129878CB}"/>
    <cellStyle name="Normal 2 4 3 11" xfId="17355" xr:uid="{1E2B054C-D1E8-401C-BB6C-ADC4E7127595}"/>
    <cellStyle name="Normal 2 4 3 2" xfId="297" xr:uid="{00000000-0005-0000-0000-0000CF0F0000}"/>
    <cellStyle name="Normal 2 4 3 3" xfId="298" xr:uid="{00000000-0005-0000-0000-0000D00F0000}"/>
    <cellStyle name="Normal 2 4 3 3 10" xfId="8915" xr:uid="{C6EABD5B-C83A-4295-AE55-6129028CEC57}"/>
    <cellStyle name="Normal 2 4 3 3 11" xfId="17356" xr:uid="{E2A4CED9-59B0-4B8B-9D29-CD14113325AA}"/>
    <cellStyle name="Normal 2 4 3 3 2" xfId="299" xr:uid="{00000000-0005-0000-0000-0000D10F0000}"/>
    <cellStyle name="Normal 2 4 3 3 2 10" xfId="17357" xr:uid="{9C18B620-52BD-4E9E-A2E0-660B7E78FD12}"/>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15694" xr:uid="{9B662ECA-60E2-4D47-B926-FA687DDD8989}"/>
    <cellStyle name="Normal 2 4 3 3 2 2 2 2 2 3" xfId="24134" xr:uid="{E7A17C36-0D82-4784-90FB-8588421ADB53}"/>
    <cellStyle name="Normal 2 4 3 3 2 2 2 2 3" xfId="11476" xr:uid="{C8D8D235-31BC-4AAD-9325-7B875337E1CA}"/>
    <cellStyle name="Normal 2 4 3 3 2 2 2 2 4" xfId="19917" xr:uid="{ECB5A91E-6607-4FD2-A1E9-328D1FC45327}"/>
    <cellStyle name="Normal 2 4 3 3 2 2 2 3" xfId="5107" xr:uid="{00000000-0005-0000-0000-0000D60F0000}"/>
    <cellStyle name="Normal 2 4 3 3 2 2 2 3 2" xfId="13549" xr:uid="{18C2C602-1D4B-4F20-9D90-D7D49508A58B}"/>
    <cellStyle name="Normal 2 4 3 3 2 2 2 3 3" xfId="21989" xr:uid="{75EB6E00-ED0D-4888-879E-B3DB3D2209FD}"/>
    <cellStyle name="Normal 2 4 3 3 2 2 2 4" xfId="9331" xr:uid="{A6FC9A92-C888-465A-AC20-B48F3F262072}"/>
    <cellStyle name="Normal 2 4 3 3 2 2 2 5" xfId="17772" xr:uid="{A853A861-601B-4179-87F6-034953DDC884}"/>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16107" xr:uid="{29B3A880-9669-486C-AFB5-67692617B46A}"/>
    <cellStyle name="Normal 2 4 3 3 2 2 3 2 2 3" xfId="24547" xr:uid="{22B8C3FC-0928-479F-B95D-5B248D98696E}"/>
    <cellStyle name="Normal 2 4 3 3 2 2 3 2 3" xfId="11889" xr:uid="{A4710D02-0500-4FBD-A05B-2605F70F35A3}"/>
    <cellStyle name="Normal 2 4 3 3 2 2 3 2 4" xfId="20330" xr:uid="{6878DBC0-180D-4DDD-9B3B-15D998E1649E}"/>
    <cellStyle name="Normal 2 4 3 3 2 2 3 3" xfId="5520" xr:uid="{00000000-0005-0000-0000-0000DA0F0000}"/>
    <cellStyle name="Normal 2 4 3 3 2 2 3 3 2" xfId="13962" xr:uid="{585A2C6E-F9A4-44B3-819F-A3D68BA060C8}"/>
    <cellStyle name="Normal 2 4 3 3 2 2 3 3 3" xfId="22402" xr:uid="{3154A69C-4AE8-4EF7-9E5D-0169D902BD11}"/>
    <cellStyle name="Normal 2 4 3 3 2 2 3 4" xfId="9744" xr:uid="{CF21714A-B048-489E-8D94-E08201186D2A}"/>
    <cellStyle name="Normal 2 4 3 3 2 2 3 5" xfId="18185" xr:uid="{B4C5A764-267A-4DB0-93B5-A8E2490021B2}"/>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16520" xr:uid="{18A3C2C0-C9A5-4B2B-AC73-4CB809E6B446}"/>
    <cellStyle name="Normal 2 4 3 3 2 2 4 2 2 3" xfId="24960" xr:uid="{92797AE2-908C-4949-9012-F69CD4B19CF4}"/>
    <cellStyle name="Normal 2 4 3 3 2 2 4 2 3" xfId="12302" xr:uid="{1A95792C-9EB6-42FC-B128-C83DF0D7F466}"/>
    <cellStyle name="Normal 2 4 3 3 2 2 4 2 4" xfId="20743" xr:uid="{63A14ABD-8712-4496-AF89-41AEECAD3016}"/>
    <cellStyle name="Normal 2 4 3 3 2 2 4 3" xfId="5933" xr:uid="{00000000-0005-0000-0000-0000DE0F0000}"/>
    <cellStyle name="Normal 2 4 3 3 2 2 4 3 2" xfId="14375" xr:uid="{81C00D55-CC60-4310-BE6C-EB92687DB9A8}"/>
    <cellStyle name="Normal 2 4 3 3 2 2 4 3 3" xfId="22815" xr:uid="{EA04FE8C-C845-4F8D-8F9C-BEC58B2F6D11}"/>
    <cellStyle name="Normal 2 4 3 3 2 2 4 4" xfId="10157" xr:uid="{2305468B-3F39-467B-80D2-C160A47715CE}"/>
    <cellStyle name="Normal 2 4 3 3 2 2 4 5" xfId="18598" xr:uid="{707CF03D-D711-41FF-8961-40190C02004B}"/>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16933" xr:uid="{0F7F7487-54CE-46A8-9398-9AD881FACDF5}"/>
    <cellStyle name="Normal 2 4 3 3 2 2 5 2 2 3" xfId="25373" xr:uid="{DFFAA3E8-784D-4891-B639-43FB8F93E553}"/>
    <cellStyle name="Normal 2 4 3 3 2 2 5 2 3" xfId="12715" xr:uid="{1699F010-D9D1-4742-9276-789798F7FE38}"/>
    <cellStyle name="Normal 2 4 3 3 2 2 5 2 4" xfId="21156" xr:uid="{2F5707F2-9F0E-43CC-9870-F6E4B868B187}"/>
    <cellStyle name="Normal 2 4 3 3 2 2 5 3" xfId="6346" xr:uid="{00000000-0005-0000-0000-0000E20F0000}"/>
    <cellStyle name="Normal 2 4 3 3 2 2 5 3 2" xfId="14788" xr:uid="{F2B814F1-ADF6-4A5E-9D3F-BBF4696053FA}"/>
    <cellStyle name="Normal 2 4 3 3 2 2 5 3 3" xfId="23228" xr:uid="{1D829CEE-5B4C-40F2-8C04-D83DDD5CF324}"/>
    <cellStyle name="Normal 2 4 3 3 2 2 5 4" xfId="10570" xr:uid="{1123BA46-E150-4370-B586-9CDC1CE38725}"/>
    <cellStyle name="Normal 2 4 3 3 2 2 5 5" xfId="19011" xr:uid="{AE9D3636-A6AB-4D81-94EC-0DEB63C54E29}"/>
    <cellStyle name="Normal 2 4 3 3 2 2 6" xfId="2475" xr:uid="{00000000-0005-0000-0000-0000E30F0000}"/>
    <cellStyle name="Normal 2 4 3 3 2 2 6 2" xfId="6759" xr:uid="{00000000-0005-0000-0000-0000E40F0000}"/>
    <cellStyle name="Normal 2 4 3 3 2 2 6 2 2" xfId="15201" xr:uid="{DC33C048-411F-4870-B9AC-B4F640003DBB}"/>
    <cellStyle name="Normal 2 4 3 3 2 2 6 2 3" xfId="23641" xr:uid="{92E2C80A-7CF7-4CD5-BC13-1F368EA02F9D}"/>
    <cellStyle name="Normal 2 4 3 3 2 2 6 3" xfId="10983" xr:uid="{A841254A-182F-4E62-ACC3-6553198CFF3E}"/>
    <cellStyle name="Normal 2 4 3 3 2 2 6 4" xfId="19424" xr:uid="{8825821A-CEEC-43EB-BED2-D871FABED8C4}"/>
    <cellStyle name="Normal 2 4 3 3 2 2 7" xfId="4693" xr:uid="{00000000-0005-0000-0000-0000E50F0000}"/>
    <cellStyle name="Normal 2 4 3 3 2 2 7 2" xfId="13135" xr:uid="{A5ABF96A-9492-4674-B7A2-B372DEB36B3C}"/>
    <cellStyle name="Normal 2 4 3 3 2 2 7 3" xfId="21575" xr:uid="{1B69070C-DEF7-4F42-A29C-1D22BD5E8845}"/>
    <cellStyle name="Normal 2 4 3 3 2 2 8" xfId="8917" xr:uid="{9116036D-7960-43A9-B022-4E94BC09ABF7}"/>
    <cellStyle name="Normal 2 4 3 3 2 2 9" xfId="17358" xr:uid="{607556BF-E7B2-41D4-BFFA-41027CCA8D16}"/>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15693" xr:uid="{F845B28C-C952-43D6-9124-1EE0CEA10357}"/>
    <cellStyle name="Normal 2 4 3 3 2 3 2 2 3" xfId="24133" xr:uid="{03A7C79E-1475-4FE0-9D98-FA31061AD493}"/>
    <cellStyle name="Normal 2 4 3 3 2 3 2 3" xfId="11475" xr:uid="{C24DC15F-02DB-4D61-BB56-45C13E617EBA}"/>
    <cellStyle name="Normal 2 4 3 3 2 3 2 4" xfId="19916" xr:uid="{908EDE16-E1AD-4CEA-9EC6-DEB7905D45EF}"/>
    <cellStyle name="Normal 2 4 3 3 2 3 3" xfId="5106" xr:uid="{00000000-0005-0000-0000-0000E90F0000}"/>
    <cellStyle name="Normal 2 4 3 3 2 3 3 2" xfId="13548" xr:uid="{BFCBAF4F-D3A0-4346-AB13-F528BD1BA356}"/>
    <cellStyle name="Normal 2 4 3 3 2 3 3 3" xfId="21988" xr:uid="{585E39CE-5F10-4C5C-AC3D-C34C1A6FB6C5}"/>
    <cellStyle name="Normal 2 4 3 3 2 3 4" xfId="9330" xr:uid="{8D180CB2-E4F5-453E-82B1-FF916E92D121}"/>
    <cellStyle name="Normal 2 4 3 3 2 3 5" xfId="17771" xr:uid="{DC9E4D2F-5CE3-4937-B450-A5CF4211AB45}"/>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16106" xr:uid="{92768545-6FE5-4A75-85A5-7F3EE8BF358A}"/>
    <cellStyle name="Normal 2 4 3 3 2 4 2 2 3" xfId="24546" xr:uid="{2F6848AF-76BF-4C6D-ABD4-FC008F5C1C6A}"/>
    <cellStyle name="Normal 2 4 3 3 2 4 2 3" xfId="11888" xr:uid="{3527DFEE-569E-41A9-B417-96F9B5A64819}"/>
    <cellStyle name="Normal 2 4 3 3 2 4 2 4" xfId="20329" xr:uid="{EC7FE056-BCD6-4FA7-BE1F-395D5DCC3496}"/>
    <cellStyle name="Normal 2 4 3 3 2 4 3" xfId="5519" xr:uid="{00000000-0005-0000-0000-0000ED0F0000}"/>
    <cellStyle name="Normal 2 4 3 3 2 4 3 2" xfId="13961" xr:uid="{F3B201BC-B28E-4F55-80ED-FAD23D26C1D6}"/>
    <cellStyle name="Normal 2 4 3 3 2 4 3 3" xfId="22401" xr:uid="{F231177D-8ED9-46F6-A939-C5D3C056B15A}"/>
    <cellStyle name="Normal 2 4 3 3 2 4 4" xfId="9743" xr:uid="{13F96BE8-6AFB-46BD-B936-97BC4658D06F}"/>
    <cellStyle name="Normal 2 4 3 3 2 4 5" xfId="18184" xr:uid="{317A7A8A-034B-44FD-8707-E758278665CD}"/>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16519" xr:uid="{C36F19A7-C564-4844-B4B1-6631C5EA8847}"/>
    <cellStyle name="Normal 2 4 3 3 2 5 2 2 3" xfId="24959" xr:uid="{5D2AED14-4405-4106-A146-BF4F19F9C853}"/>
    <cellStyle name="Normal 2 4 3 3 2 5 2 3" xfId="12301" xr:uid="{6B13CC71-1797-4D5A-AD8D-A8C6473D439D}"/>
    <cellStyle name="Normal 2 4 3 3 2 5 2 4" xfId="20742" xr:uid="{0718D390-5355-48AD-A46D-33971FC0C6EE}"/>
    <cellStyle name="Normal 2 4 3 3 2 5 3" xfId="5932" xr:uid="{00000000-0005-0000-0000-0000F10F0000}"/>
    <cellStyle name="Normal 2 4 3 3 2 5 3 2" xfId="14374" xr:uid="{7E9687AE-37A1-4091-AB03-1D511D5D405E}"/>
    <cellStyle name="Normal 2 4 3 3 2 5 3 3" xfId="22814" xr:uid="{AD227E43-EEC8-4C70-AF98-52E6CB5F506A}"/>
    <cellStyle name="Normal 2 4 3 3 2 5 4" xfId="10156" xr:uid="{15DA8CB1-9F29-449C-8F28-1B98E608C09C}"/>
    <cellStyle name="Normal 2 4 3 3 2 5 5" xfId="18597" xr:uid="{B148B279-8AA0-4E75-B35C-59880778E10F}"/>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16932" xr:uid="{B8869367-8993-46EA-9A57-F7815761AB3F}"/>
    <cellStyle name="Normal 2 4 3 3 2 6 2 2 3" xfId="25372" xr:uid="{76CF6C56-6244-4180-BCF7-E684B9B9D8B2}"/>
    <cellStyle name="Normal 2 4 3 3 2 6 2 3" xfId="12714" xr:uid="{109014EA-03DE-4F58-9D7C-6FEDD3450D83}"/>
    <cellStyle name="Normal 2 4 3 3 2 6 2 4" xfId="21155" xr:uid="{D6846E27-F0C5-4B5F-AEC6-63433DAAA6D0}"/>
    <cellStyle name="Normal 2 4 3 3 2 6 3" xfId="6345" xr:uid="{00000000-0005-0000-0000-0000F50F0000}"/>
    <cellStyle name="Normal 2 4 3 3 2 6 3 2" xfId="14787" xr:uid="{30F0A2AE-B650-4EC5-B622-E39DD0C70963}"/>
    <cellStyle name="Normal 2 4 3 3 2 6 3 3" xfId="23227" xr:uid="{BD911BDF-71F5-4BA6-96FF-E0DF143ED9BF}"/>
    <cellStyle name="Normal 2 4 3 3 2 6 4" xfId="10569" xr:uid="{C2242106-C134-4EDD-BEA8-E56F11C3A01F}"/>
    <cellStyle name="Normal 2 4 3 3 2 6 5" xfId="19010" xr:uid="{99EF146A-8910-4D91-8810-E408801B6124}"/>
    <cellStyle name="Normal 2 4 3 3 2 7" xfId="2474" xr:uid="{00000000-0005-0000-0000-0000F60F0000}"/>
    <cellStyle name="Normal 2 4 3 3 2 7 2" xfId="6758" xr:uid="{00000000-0005-0000-0000-0000F70F0000}"/>
    <cellStyle name="Normal 2 4 3 3 2 7 2 2" xfId="15200" xr:uid="{C068CB08-20AE-4218-BF3C-0517FF99C067}"/>
    <cellStyle name="Normal 2 4 3 3 2 7 2 3" xfId="23640" xr:uid="{8DC5F6CD-7738-44A1-A84A-C75FDF1DA107}"/>
    <cellStyle name="Normal 2 4 3 3 2 7 3" xfId="10982" xr:uid="{D715C8DE-4564-4FAE-BDB3-A7236477FABA}"/>
    <cellStyle name="Normal 2 4 3 3 2 7 4" xfId="19423" xr:uid="{EFF5920A-FD99-4D4F-971C-07C34DB6EFA6}"/>
    <cellStyle name="Normal 2 4 3 3 2 8" xfId="4692" xr:uid="{00000000-0005-0000-0000-0000F80F0000}"/>
    <cellStyle name="Normal 2 4 3 3 2 8 2" xfId="13134" xr:uid="{D7F9F21C-F06C-4498-9CAD-442FFB13A19E}"/>
    <cellStyle name="Normal 2 4 3 3 2 8 3" xfId="21574" xr:uid="{4FD36A82-83A2-44F2-9474-8D214D6A2B83}"/>
    <cellStyle name="Normal 2 4 3 3 2 9" xfId="8916" xr:uid="{E6A23FBD-5674-40B4-87F6-90C1B50E78C5}"/>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15695" xr:uid="{48916C4F-9654-41C9-9A68-8AECBEF74FBB}"/>
    <cellStyle name="Normal 2 4 3 3 3 2 2 2 3" xfId="24135" xr:uid="{CBBC64B4-C984-4FF0-96E7-1A03F337DCB6}"/>
    <cellStyle name="Normal 2 4 3 3 3 2 2 3" xfId="11477" xr:uid="{312C1B6A-E0E1-4B7D-A07C-DF561A2CCAFA}"/>
    <cellStyle name="Normal 2 4 3 3 3 2 2 4" xfId="19918" xr:uid="{E9CB0A23-CF85-4DCF-8204-B17EB7B36B68}"/>
    <cellStyle name="Normal 2 4 3 3 3 2 3" xfId="5108" xr:uid="{00000000-0005-0000-0000-0000FD0F0000}"/>
    <cellStyle name="Normal 2 4 3 3 3 2 3 2" xfId="13550" xr:uid="{177BF09F-AB88-4218-B99C-0A697254B0EE}"/>
    <cellStyle name="Normal 2 4 3 3 3 2 3 3" xfId="21990" xr:uid="{68C6811E-E770-4881-83CD-23FD1CE6A003}"/>
    <cellStyle name="Normal 2 4 3 3 3 2 4" xfId="9332" xr:uid="{F40170E5-A54A-4319-9FF0-388DD6751DCB}"/>
    <cellStyle name="Normal 2 4 3 3 3 2 5" xfId="17773" xr:uid="{16F1D759-8B52-49AC-9A60-44243D1A8FEF}"/>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16108" xr:uid="{185F5295-603C-466D-ABB5-CA571ADF0DC7}"/>
    <cellStyle name="Normal 2 4 3 3 3 3 2 2 3" xfId="24548" xr:uid="{CD8A296F-78A8-4874-9591-DF7C3F9A704B}"/>
    <cellStyle name="Normal 2 4 3 3 3 3 2 3" xfId="11890" xr:uid="{2C616A0F-6732-41C3-A313-823D5E35B2CB}"/>
    <cellStyle name="Normal 2 4 3 3 3 3 2 4" xfId="20331" xr:uid="{D9EF4887-14E4-490D-AADC-5AEF08EC79F5}"/>
    <cellStyle name="Normal 2 4 3 3 3 3 3" xfId="5521" xr:uid="{00000000-0005-0000-0000-000001100000}"/>
    <cellStyle name="Normal 2 4 3 3 3 3 3 2" xfId="13963" xr:uid="{ACA836B8-B047-4F78-B71A-B6F432F007EE}"/>
    <cellStyle name="Normal 2 4 3 3 3 3 3 3" xfId="22403" xr:uid="{865D76AB-7563-40AA-9F7D-C12921A176A6}"/>
    <cellStyle name="Normal 2 4 3 3 3 3 4" xfId="9745" xr:uid="{74114382-35FC-42F0-BED7-B6D2F17E8289}"/>
    <cellStyle name="Normal 2 4 3 3 3 3 5" xfId="18186" xr:uid="{AC2211EF-1AA4-48F7-84B8-2769FA0C7E61}"/>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16521" xr:uid="{4992B863-389E-4A34-A2BC-5E4AF82F0A69}"/>
    <cellStyle name="Normal 2 4 3 3 3 4 2 2 3" xfId="24961" xr:uid="{97F84E01-756B-421A-902A-52D16C7CBB8A}"/>
    <cellStyle name="Normal 2 4 3 3 3 4 2 3" xfId="12303" xr:uid="{3C420DF3-5DF5-4107-82AC-4FFC2DD0B842}"/>
    <cellStyle name="Normal 2 4 3 3 3 4 2 4" xfId="20744" xr:uid="{6C914A18-F3B2-4E84-81EE-52EB40CF00B5}"/>
    <cellStyle name="Normal 2 4 3 3 3 4 3" xfId="5934" xr:uid="{00000000-0005-0000-0000-000005100000}"/>
    <cellStyle name="Normal 2 4 3 3 3 4 3 2" xfId="14376" xr:uid="{2CB8FBF9-0910-4578-9075-CED23B7460A5}"/>
    <cellStyle name="Normal 2 4 3 3 3 4 3 3" xfId="22816" xr:uid="{12D84FD0-EB35-4E77-81EB-D006A1187581}"/>
    <cellStyle name="Normal 2 4 3 3 3 4 4" xfId="10158" xr:uid="{87B7D84E-67EC-482D-8062-31F770E15DB5}"/>
    <cellStyle name="Normal 2 4 3 3 3 4 5" xfId="18599" xr:uid="{4DE18282-C95B-47A0-942E-6BC2E33949D7}"/>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16934" xr:uid="{2F994071-F907-4223-91EC-E7FCD6FAC376}"/>
    <cellStyle name="Normal 2 4 3 3 3 5 2 2 3" xfId="25374" xr:uid="{F5D4886D-9F48-4DF1-B81F-56B0487B5D59}"/>
    <cellStyle name="Normal 2 4 3 3 3 5 2 3" xfId="12716" xr:uid="{C7FE6ABE-8B41-4EC9-AA04-AEC9B87D9974}"/>
    <cellStyle name="Normal 2 4 3 3 3 5 2 4" xfId="21157" xr:uid="{83CD3528-EE2B-479A-B859-5D7716FACCC5}"/>
    <cellStyle name="Normal 2 4 3 3 3 5 3" xfId="6347" xr:uid="{00000000-0005-0000-0000-000009100000}"/>
    <cellStyle name="Normal 2 4 3 3 3 5 3 2" xfId="14789" xr:uid="{05139369-B267-45C3-9625-C74FFBE774F1}"/>
    <cellStyle name="Normal 2 4 3 3 3 5 3 3" xfId="23229" xr:uid="{05558FAF-C0CD-4B91-844A-2EBA975AEC37}"/>
    <cellStyle name="Normal 2 4 3 3 3 5 4" xfId="10571" xr:uid="{906E6030-2008-480C-B0C9-001BF980E6BB}"/>
    <cellStyle name="Normal 2 4 3 3 3 5 5" xfId="19012" xr:uid="{653DBA53-296B-4630-AF3C-4422C4480628}"/>
    <cellStyle name="Normal 2 4 3 3 3 6" xfId="2476" xr:uid="{00000000-0005-0000-0000-00000A100000}"/>
    <cellStyle name="Normal 2 4 3 3 3 6 2" xfId="6760" xr:uid="{00000000-0005-0000-0000-00000B100000}"/>
    <cellStyle name="Normal 2 4 3 3 3 6 2 2" xfId="15202" xr:uid="{CC054A22-81CE-4B2E-A5F8-1714CE576D6D}"/>
    <cellStyle name="Normal 2 4 3 3 3 6 2 3" xfId="23642" xr:uid="{308934A8-9474-4F02-A42A-FF8775547E7D}"/>
    <cellStyle name="Normal 2 4 3 3 3 6 3" xfId="10984" xr:uid="{4CE19A90-1A8F-4F0A-BC89-05CE9C32F3E1}"/>
    <cellStyle name="Normal 2 4 3 3 3 6 4" xfId="19425" xr:uid="{BFE8123F-A97F-4444-A8A5-35DAC32275E2}"/>
    <cellStyle name="Normal 2 4 3 3 3 7" xfId="4694" xr:uid="{00000000-0005-0000-0000-00000C100000}"/>
    <cellStyle name="Normal 2 4 3 3 3 7 2" xfId="13136" xr:uid="{51DC8EDF-55E8-4594-B2CB-AA9EBA3F4ACE}"/>
    <cellStyle name="Normal 2 4 3 3 3 7 3" xfId="21576" xr:uid="{1B0ABE3E-CE37-4F89-A3F6-4228C3E39A96}"/>
    <cellStyle name="Normal 2 4 3 3 3 8" xfId="8918" xr:uid="{6445AE08-D25B-4C76-9D05-5C14519B86C6}"/>
    <cellStyle name="Normal 2 4 3 3 3 9" xfId="17359" xr:uid="{F3E45FDF-6987-4ADB-AFAD-673E026F6567}"/>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15692" xr:uid="{A388351A-012E-4437-B1B9-B52A8DF615A3}"/>
    <cellStyle name="Normal 2 4 3 3 4 2 2 3" xfId="24132" xr:uid="{95BE0E39-3AC1-476E-AA17-AA9ECCFA20E1}"/>
    <cellStyle name="Normal 2 4 3 3 4 2 3" xfId="11474" xr:uid="{4609E018-1744-4A5A-9419-4D61BB0C02A9}"/>
    <cellStyle name="Normal 2 4 3 3 4 2 4" xfId="19915" xr:uid="{AD18981C-D71B-4D8B-BE2B-AA8145542AC5}"/>
    <cellStyle name="Normal 2 4 3 3 4 3" xfId="5105" xr:uid="{00000000-0005-0000-0000-000010100000}"/>
    <cellStyle name="Normal 2 4 3 3 4 3 2" xfId="13547" xr:uid="{431C9C1C-C62A-4F5E-AFEF-0C51D1CD9972}"/>
    <cellStyle name="Normal 2 4 3 3 4 3 3" xfId="21987" xr:uid="{898B5828-5FD3-43BB-8B2C-7CF888AF083D}"/>
    <cellStyle name="Normal 2 4 3 3 4 4" xfId="9329" xr:uid="{2EC3136F-EFC8-4A43-A0DF-ABB7B0FE7631}"/>
    <cellStyle name="Normal 2 4 3 3 4 5" xfId="17770" xr:uid="{7250C874-5680-4F3E-874E-3E3C0FB5228D}"/>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16105" xr:uid="{FE0B9802-9C0B-4C0A-BBCB-1E177A15C6D1}"/>
    <cellStyle name="Normal 2 4 3 3 5 2 2 3" xfId="24545" xr:uid="{B555AB84-CB8D-4768-866E-0B2D7EC6D651}"/>
    <cellStyle name="Normal 2 4 3 3 5 2 3" xfId="11887" xr:uid="{2E406DC5-634F-402F-B2D2-2FD7FD4BEDD2}"/>
    <cellStyle name="Normal 2 4 3 3 5 2 4" xfId="20328" xr:uid="{9F71CF2E-401B-4B25-8FF0-EAADC9A24F1F}"/>
    <cellStyle name="Normal 2 4 3 3 5 3" xfId="5518" xr:uid="{00000000-0005-0000-0000-000014100000}"/>
    <cellStyle name="Normal 2 4 3 3 5 3 2" xfId="13960" xr:uid="{DDD383D6-6700-4CF3-AD91-3E1253DEA685}"/>
    <cellStyle name="Normal 2 4 3 3 5 3 3" xfId="22400" xr:uid="{9485370B-FA29-4AAC-A8FB-5188F42F0C70}"/>
    <cellStyle name="Normal 2 4 3 3 5 4" xfId="9742" xr:uid="{48D2BE01-342A-4137-BAAE-9060174D8681}"/>
    <cellStyle name="Normal 2 4 3 3 5 5" xfId="18183" xr:uid="{DA81B605-4FD8-48B7-AA85-2A289C2E9782}"/>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16518" xr:uid="{4607686A-6139-420A-9018-A9F3F64CE9E0}"/>
    <cellStyle name="Normal 2 4 3 3 6 2 2 3" xfId="24958" xr:uid="{6015FE0D-BE71-4ECD-AD0D-023CA4B1513E}"/>
    <cellStyle name="Normal 2 4 3 3 6 2 3" xfId="12300" xr:uid="{13DD2E69-639F-4643-91E4-3953914A8DE5}"/>
    <cellStyle name="Normal 2 4 3 3 6 2 4" xfId="20741" xr:uid="{1AA91C59-11CF-407E-B107-D075392F3656}"/>
    <cellStyle name="Normal 2 4 3 3 6 3" xfId="5931" xr:uid="{00000000-0005-0000-0000-000018100000}"/>
    <cellStyle name="Normal 2 4 3 3 6 3 2" xfId="14373" xr:uid="{512563FA-6C01-4DF0-AE0C-EF5D509D2992}"/>
    <cellStyle name="Normal 2 4 3 3 6 3 3" xfId="22813" xr:uid="{C53F77C4-8376-4526-91F7-35407C6A9A5B}"/>
    <cellStyle name="Normal 2 4 3 3 6 4" xfId="10155" xr:uid="{6CF75F37-C923-4868-976B-EE7C74726A95}"/>
    <cellStyle name="Normal 2 4 3 3 6 5" xfId="18596" xr:uid="{B8A76229-A7AA-4E20-9366-9E47F0F8C08C}"/>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16931" xr:uid="{AD42232E-C20C-4189-98B5-41DF425F45E9}"/>
    <cellStyle name="Normal 2 4 3 3 7 2 2 3" xfId="25371" xr:uid="{60771065-91C4-4FAF-8BE5-8D25F07718E9}"/>
    <cellStyle name="Normal 2 4 3 3 7 2 3" xfId="12713" xr:uid="{0C5F999F-C402-4552-9A59-49A7D1DD6A61}"/>
    <cellStyle name="Normal 2 4 3 3 7 2 4" xfId="21154" xr:uid="{4F532783-381E-49B4-9D02-9F1750A598AF}"/>
    <cellStyle name="Normal 2 4 3 3 7 3" xfId="6344" xr:uid="{00000000-0005-0000-0000-00001C100000}"/>
    <cellStyle name="Normal 2 4 3 3 7 3 2" xfId="14786" xr:uid="{212C30E3-936D-4898-83A6-A1DA03B20799}"/>
    <cellStyle name="Normal 2 4 3 3 7 3 3" xfId="23226" xr:uid="{02D3B25E-1F48-4CAC-899F-1ACF2FC4F953}"/>
    <cellStyle name="Normal 2 4 3 3 7 4" xfId="10568" xr:uid="{75792AD0-E035-4D46-A723-79068DB61004}"/>
    <cellStyle name="Normal 2 4 3 3 7 5" xfId="19009" xr:uid="{E2C43A19-3563-4433-A5D4-5CCA5DA78854}"/>
    <cellStyle name="Normal 2 4 3 3 8" xfId="2473" xr:uid="{00000000-0005-0000-0000-00001D100000}"/>
    <cellStyle name="Normal 2 4 3 3 8 2" xfId="6757" xr:uid="{00000000-0005-0000-0000-00001E100000}"/>
    <cellStyle name="Normal 2 4 3 3 8 2 2" xfId="15199" xr:uid="{8673528D-1CE2-48FB-9C79-28430C63F6C3}"/>
    <cellStyle name="Normal 2 4 3 3 8 2 3" xfId="23639" xr:uid="{D4317847-3F92-4EDF-9B29-FC8F2C3BA005}"/>
    <cellStyle name="Normal 2 4 3 3 8 3" xfId="10981" xr:uid="{ECEA956A-ADDB-4E1E-98FC-873AB4866D41}"/>
    <cellStyle name="Normal 2 4 3 3 8 4" xfId="19422" xr:uid="{3C28433D-D38A-40AA-BC85-D295643EB3D8}"/>
    <cellStyle name="Normal 2 4 3 3 9" xfId="4691" xr:uid="{00000000-0005-0000-0000-00001F100000}"/>
    <cellStyle name="Normal 2 4 3 3 9 2" xfId="13133" xr:uid="{55203C25-1B9F-4FDB-8778-A9E834665F79}"/>
    <cellStyle name="Normal 2 4 3 3 9 3" xfId="21573" xr:uid="{6CAD4682-B423-46C7-96F4-69826F5E5AF1}"/>
    <cellStyle name="Normal 2 4 3 4" xfId="787" xr:uid="{00000000-0005-0000-0000-000020100000}"/>
    <cellStyle name="Normal 2 4 3 4 2" xfId="3026" xr:uid="{00000000-0005-0000-0000-000021100000}"/>
    <cellStyle name="Normal 2 4 3 4 2 2" xfId="7249" xr:uid="{00000000-0005-0000-0000-000022100000}"/>
    <cellStyle name="Normal 2 4 3 4 2 2 2" xfId="15691" xr:uid="{52E0BD93-7292-4441-9DFB-EB026AD5C662}"/>
    <cellStyle name="Normal 2 4 3 4 2 2 3" xfId="24131" xr:uid="{F7E0EDF4-46B8-4F25-87FC-1249D6C75C42}"/>
    <cellStyle name="Normal 2 4 3 4 2 3" xfId="11473" xr:uid="{A5142562-4515-43C7-B4CA-2BE0C984B003}"/>
    <cellStyle name="Normal 2 4 3 4 2 4" xfId="19914" xr:uid="{67821CE7-20BD-4C87-B030-9077722152B7}"/>
    <cellStyle name="Normal 2 4 3 4 3" xfId="5104" xr:uid="{00000000-0005-0000-0000-000023100000}"/>
    <cellStyle name="Normal 2 4 3 4 3 2" xfId="13546" xr:uid="{563E5B0E-32C4-4FF2-8F07-A15B76B6AF5C}"/>
    <cellStyle name="Normal 2 4 3 4 3 3" xfId="21986" xr:uid="{BDD5A67A-496B-4B01-9F06-F6002E56C1EF}"/>
    <cellStyle name="Normal 2 4 3 4 4" xfId="9328" xr:uid="{C90F66AD-0003-40F3-99B9-C855F65525E4}"/>
    <cellStyle name="Normal 2 4 3 4 5" xfId="17769" xr:uid="{417626A6-0D59-4372-A7DC-4F82E1258ADF}"/>
    <cellStyle name="Normal 2 4 3 5" xfId="1209" xr:uid="{00000000-0005-0000-0000-000024100000}"/>
    <cellStyle name="Normal 2 4 3 5 2" xfId="3439" xr:uid="{00000000-0005-0000-0000-000025100000}"/>
    <cellStyle name="Normal 2 4 3 5 2 2" xfId="7662" xr:uid="{00000000-0005-0000-0000-000026100000}"/>
    <cellStyle name="Normal 2 4 3 5 2 2 2" xfId="16104" xr:uid="{09F47D95-E1DE-4CAF-9A43-6120EDBB1146}"/>
    <cellStyle name="Normal 2 4 3 5 2 2 3" xfId="24544" xr:uid="{C0401E0F-FCA9-49F0-9E77-9C37CF3D631D}"/>
    <cellStyle name="Normal 2 4 3 5 2 3" xfId="11886" xr:uid="{EB0069DC-E698-4D6C-9211-7369A7477370}"/>
    <cellStyle name="Normal 2 4 3 5 2 4" xfId="20327" xr:uid="{EC3535A7-25AA-4DDA-84EF-674A265A237E}"/>
    <cellStyle name="Normal 2 4 3 5 3" xfId="5517" xr:uid="{00000000-0005-0000-0000-000027100000}"/>
    <cellStyle name="Normal 2 4 3 5 3 2" xfId="13959" xr:uid="{2A6AA0E7-CB27-4B3B-B19E-0ED6138CE721}"/>
    <cellStyle name="Normal 2 4 3 5 3 3" xfId="22399" xr:uid="{BF822303-DA25-4982-B19F-5681DA81DC4C}"/>
    <cellStyle name="Normal 2 4 3 5 4" xfId="9741" xr:uid="{06EEA32F-B6FD-49DB-9C78-48C0B2C23EF4}"/>
    <cellStyle name="Normal 2 4 3 5 5" xfId="18182" xr:uid="{C573964C-427D-4D01-89EB-50702794EAC8}"/>
    <cellStyle name="Normal 2 4 3 6" xfId="1622" xr:uid="{00000000-0005-0000-0000-000028100000}"/>
    <cellStyle name="Normal 2 4 3 6 2" xfId="3852" xr:uid="{00000000-0005-0000-0000-000029100000}"/>
    <cellStyle name="Normal 2 4 3 6 2 2" xfId="8075" xr:uid="{00000000-0005-0000-0000-00002A100000}"/>
    <cellStyle name="Normal 2 4 3 6 2 2 2" xfId="16517" xr:uid="{1EC06AE7-0AAC-425D-BA50-58F16EAE1B21}"/>
    <cellStyle name="Normal 2 4 3 6 2 2 3" xfId="24957" xr:uid="{D795EC34-03A6-4B96-86D3-224D17148001}"/>
    <cellStyle name="Normal 2 4 3 6 2 3" xfId="12299" xr:uid="{756EF5BE-3CDC-4733-AD8E-F555F4042A75}"/>
    <cellStyle name="Normal 2 4 3 6 2 4" xfId="20740" xr:uid="{95D6757F-0F5C-4490-AF7D-0D086BB21CBE}"/>
    <cellStyle name="Normal 2 4 3 6 3" xfId="5930" xr:uid="{00000000-0005-0000-0000-00002B100000}"/>
    <cellStyle name="Normal 2 4 3 6 3 2" xfId="14372" xr:uid="{8A8AD215-FFAB-4439-A4F8-6853B8D5E4E8}"/>
    <cellStyle name="Normal 2 4 3 6 3 3" xfId="22812" xr:uid="{5BAFED46-2DA6-4817-AFE0-2E341E77AD3B}"/>
    <cellStyle name="Normal 2 4 3 6 4" xfId="10154" xr:uid="{B57768FA-5608-4E6C-B8B4-D0E631B379D8}"/>
    <cellStyle name="Normal 2 4 3 6 5" xfId="18595" xr:uid="{987D5260-6322-4886-A4D5-F77C16289DCF}"/>
    <cellStyle name="Normal 2 4 3 7" xfId="2036" xr:uid="{00000000-0005-0000-0000-00002C100000}"/>
    <cellStyle name="Normal 2 4 3 7 2" xfId="4265" xr:uid="{00000000-0005-0000-0000-00002D100000}"/>
    <cellStyle name="Normal 2 4 3 7 2 2" xfId="8488" xr:uid="{00000000-0005-0000-0000-00002E100000}"/>
    <cellStyle name="Normal 2 4 3 7 2 2 2" xfId="16930" xr:uid="{9C2A626E-F529-4504-B26C-8D603F7D862E}"/>
    <cellStyle name="Normal 2 4 3 7 2 2 3" xfId="25370" xr:uid="{810C308D-9BB6-45F7-9DF7-5A4DA34FEAA2}"/>
    <cellStyle name="Normal 2 4 3 7 2 3" xfId="12712" xr:uid="{472E04BA-82DC-40D0-A31B-D76D5723498A}"/>
    <cellStyle name="Normal 2 4 3 7 2 4" xfId="21153" xr:uid="{1B61490A-3076-4E8F-B9A5-C30C887D88E1}"/>
    <cellStyle name="Normal 2 4 3 7 3" xfId="6343" xr:uid="{00000000-0005-0000-0000-00002F100000}"/>
    <cellStyle name="Normal 2 4 3 7 3 2" xfId="14785" xr:uid="{14FC1071-CB79-45A3-8890-322E6D9045CB}"/>
    <cellStyle name="Normal 2 4 3 7 3 3" xfId="23225" xr:uid="{D50438C4-9B76-4064-BBB6-4DFBFA41A953}"/>
    <cellStyle name="Normal 2 4 3 7 4" xfId="10567" xr:uid="{B9477D02-8731-4149-9573-1044CE4A15B7}"/>
    <cellStyle name="Normal 2 4 3 7 5" xfId="19008" xr:uid="{A83CAA9E-B96D-400C-A872-44606FFB687D}"/>
    <cellStyle name="Normal 2 4 3 8" xfId="2472" xr:uid="{00000000-0005-0000-0000-000030100000}"/>
    <cellStyle name="Normal 2 4 3 8 2" xfId="6756" xr:uid="{00000000-0005-0000-0000-000031100000}"/>
    <cellStyle name="Normal 2 4 3 8 2 2" xfId="15198" xr:uid="{8D82D875-4787-4D05-AC71-8A7261F6017B}"/>
    <cellStyle name="Normal 2 4 3 8 2 3" xfId="23638" xr:uid="{D500AB73-0B5B-449F-929B-202169A2671C}"/>
    <cellStyle name="Normal 2 4 3 8 3" xfId="10980" xr:uid="{A4A81FB5-A8B8-45F6-80D5-EEC3EB378837}"/>
    <cellStyle name="Normal 2 4 3 8 4" xfId="19421" xr:uid="{7D630FB4-C98B-4FCB-827D-B0C0578C6C5A}"/>
    <cellStyle name="Normal 2 4 3 9" xfId="4690" xr:uid="{00000000-0005-0000-0000-000032100000}"/>
    <cellStyle name="Normal 2 4 3 9 2" xfId="13132" xr:uid="{89F4BAFF-B08F-420A-9F81-003F3E8398AD}"/>
    <cellStyle name="Normal 2 4 3 9 3" xfId="21572" xr:uid="{87F1DCA6-B1EF-4CED-BAD7-EA80586E6C56}"/>
    <cellStyle name="Normal 2 4 4" xfId="302" xr:uid="{00000000-0005-0000-0000-000033100000}"/>
    <cellStyle name="Normal 2 4 5" xfId="303" xr:uid="{00000000-0005-0000-0000-000034100000}"/>
    <cellStyle name="Normal 2 4 5 10" xfId="4695" xr:uid="{00000000-0005-0000-0000-000035100000}"/>
    <cellStyle name="Normal 2 4 5 10 2" xfId="13137" xr:uid="{93612BB7-C165-4C56-8B74-BD4A20B24A0E}"/>
    <cellStyle name="Normal 2 4 5 10 3" xfId="21577" xr:uid="{4576C416-0BFD-4B60-868E-3A2B11965D30}"/>
    <cellStyle name="Normal 2 4 5 11" xfId="8919" xr:uid="{23FF5C6D-0E06-4203-8345-C125365F59DF}"/>
    <cellStyle name="Normal 2 4 5 12" xfId="17360" xr:uid="{B3861782-8281-4A4D-8BC3-28FBE0EBAEBC}"/>
    <cellStyle name="Normal 2 4 5 2" xfId="304" xr:uid="{00000000-0005-0000-0000-000036100000}"/>
    <cellStyle name="Normal 2 4 5 2 10" xfId="8920" xr:uid="{1EEAB739-B797-4C31-92F7-C03D6D2BD537}"/>
    <cellStyle name="Normal 2 4 5 2 11" xfId="17361" xr:uid="{FD1618F2-3389-4811-B55A-622B4F8AF741}"/>
    <cellStyle name="Normal 2 4 5 2 2" xfId="305" xr:uid="{00000000-0005-0000-0000-000037100000}"/>
    <cellStyle name="Normal 2 4 5 2 2 10" xfId="17362" xr:uid="{DF7B1F23-CDF2-4249-A742-009EFAE4C99E}"/>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15699" xr:uid="{C20C143B-D09F-47ED-B3FE-B1925C4E4C50}"/>
    <cellStyle name="Normal 2 4 5 2 2 2 2 2 2 3" xfId="24139" xr:uid="{F9274107-A71F-4A9C-B9BF-38C6E5323FE4}"/>
    <cellStyle name="Normal 2 4 5 2 2 2 2 2 3" xfId="11481" xr:uid="{DF4B4226-F025-4C70-BC43-8D977240562D}"/>
    <cellStyle name="Normal 2 4 5 2 2 2 2 2 4" xfId="19922" xr:uid="{BCE3A9BE-0D20-4D35-957E-4034B9E7A9C1}"/>
    <cellStyle name="Normal 2 4 5 2 2 2 2 3" xfId="5112" xr:uid="{00000000-0005-0000-0000-00003C100000}"/>
    <cellStyle name="Normal 2 4 5 2 2 2 2 3 2" xfId="13554" xr:uid="{924763E1-1340-4A6A-918A-A3DA7A007D39}"/>
    <cellStyle name="Normal 2 4 5 2 2 2 2 3 3" xfId="21994" xr:uid="{6C4BCC02-9DA9-42CA-BC6E-591CE576D42E}"/>
    <cellStyle name="Normal 2 4 5 2 2 2 2 4" xfId="9336" xr:uid="{E90B4E72-2269-40B9-89F4-1ED1375C512F}"/>
    <cellStyle name="Normal 2 4 5 2 2 2 2 5" xfId="17777" xr:uid="{A5489862-E66F-4E1D-AFDE-EA0BD90CE33C}"/>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16112" xr:uid="{F3BC5353-4277-41FE-AB10-820560A7A7AB}"/>
    <cellStyle name="Normal 2 4 5 2 2 2 3 2 2 3" xfId="24552" xr:uid="{8FDFC489-A193-4CDE-BF31-FA4B8ADE2D3D}"/>
    <cellStyle name="Normal 2 4 5 2 2 2 3 2 3" xfId="11894" xr:uid="{79A259A5-6110-411E-870F-D7FA6987218A}"/>
    <cellStyle name="Normal 2 4 5 2 2 2 3 2 4" xfId="20335" xr:uid="{F975CF5C-FA53-4FB2-86CD-B49FC090A3E8}"/>
    <cellStyle name="Normal 2 4 5 2 2 2 3 3" xfId="5525" xr:uid="{00000000-0005-0000-0000-000040100000}"/>
    <cellStyle name="Normal 2 4 5 2 2 2 3 3 2" xfId="13967" xr:uid="{0F74542E-8B42-40E4-BC46-DE5CA3D1AA18}"/>
    <cellStyle name="Normal 2 4 5 2 2 2 3 3 3" xfId="22407" xr:uid="{7ED0E15C-FC04-4619-9AFB-7747B05F5E0A}"/>
    <cellStyle name="Normal 2 4 5 2 2 2 3 4" xfId="9749" xr:uid="{A5D75870-866E-4A7B-B88A-E3C44E372242}"/>
    <cellStyle name="Normal 2 4 5 2 2 2 3 5" xfId="18190" xr:uid="{1C183D4A-AFEB-4162-8161-3DCE5B4C3FFD}"/>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16525" xr:uid="{CAF42BCA-F373-4449-B694-8CCE6C38E3B0}"/>
    <cellStyle name="Normal 2 4 5 2 2 2 4 2 2 3" xfId="24965" xr:uid="{B93E74F8-7C77-4F88-8D63-E5BD32070DDA}"/>
    <cellStyle name="Normal 2 4 5 2 2 2 4 2 3" xfId="12307" xr:uid="{E2366372-3D98-4B4C-8EAC-171323952815}"/>
    <cellStyle name="Normal 2 4 5 2 2 2 4 2 4" xfId="20748" xr:uid="{BC60FAE9-0DE4-4828-B453-52785DC049DC}"/>
    <cellStyle name="Normal 2 4 5 2 2 2 4 3" xfId="5938" xr:uid="{00000000-0005-0000-0000-000044100000}"/>
    <cellStyle name="Normal 2 4 5 2 2 2 4 3 2" xfId="14380" xr:uid="{7EAF79ED-C01A-40B6-91CB-02301C6D5587}"/>
    <cellStyle name="Normal 2 4 5 2 2 2 4 3 3" xfId="22820" xr:uid="{C1B54339-4089-47D0-A5E2-3C5A60BD3B4F}"/>
    <cellStyle name="Normal 2 4 5 2 2 2 4 4" xfId="10162" xr:uid="{8E28E937-A550-4B71-B7F3-7EEC20CE28C3}"/>
    <cellStyle name="Normal 2 4 5 2 2 2 4 5" xfId="18603" xr:uid="{CFB8B58F-A3E6-42ED-BE22-616361981845}"/>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16938" xr:uid="{DE8A22CE-B5E6-4E1C-904F-F518C095D7F3}"/>
    <cellStyle name="Normal 2 4 5 2 2 2 5 2 2 3" xfId="25378" xr:uid="{D435E0E2-AE8E-4164-B23F-B7BC8E62D79E}"/>
    <cellStyle name="Normal 2 4 5 2 2 2 5 2 3" xfId="12720" xr:uid="{19EE57E9-3A1A-43F9-88A9-08C28FCAEF8A}"/>
    <cellStyle name="Normal 2 4 5 2 2 2 5 2 4" xfId="21161" xr:uid="{5A87C6F0-9C4C-4D60-810E-86EFB45AF502}"/>
    <cellStyle name="Normal 2 4 5 2 2 2 5 3" xfId="6351" xr:uid="{00000000-0005-0000-0000-000048100000}"/>
    <cellStyle name="Normal 2 4 5 2 2 2 5 3 2" xfId="14793" xr:uid="{41B77D7C-6AA3-45D6-A1A2-B47ED1A4E3A2}"/>
    <cellStyle name="Normal 2 4 5 2 2 2 5 3 3" xfId="23233" xr:uid="{9E6A9E7F-8BFC-4429-AB6F-E80C75F0A2A8}"/>
    <cellStyle name="Normal 2 4 5 2 2 2 5 4" xfId="10575" xr:uid="{D4F45535-B765-4355-A05B-D407811D529B}"/>
    <cellStyle name="Normal 2 4 5 2 2 2 5 5" xfId="19016" xr:uid="{6D943666-E16D-435B-9D4F-3AD94D5432B9}"/>
    <cellStyle name="Normal 2 4 5 2 2 2 6" xfId="2480" xr:uid="{00000000-0005-0000-0000-000049100000}"/>
    <cellStyle name="Normal 2 4 5 2 2 2 6 2" xfId="6764" xr:uid="{00000000-0005-0000-0000-00004A100000}"/>
    <cellStyle name="Normal 2 4 5 2 2 2 6 2 2" xfId="15206" xr:uid="{FA61C6CE-8D91-422F-8D4D-88B828328CE7}"/>
    <cellStyle name="Normal 2 4 5 2 2 2 6 2 3" xfId="23646" xr:uid="{A504401F-215E-4041-9FF8-B43302D64142}"/>
    <cellStyle name="Normal 2 4 5 2 2 2 6 3" xfId="10988" xr:uid="{7487D9E1-3753-4417-A5B8-5EE5FDA388E3}"/>
    <cellStyle name="Normal 2 4 5 2 2 2 6 4" xfId="19429" xr:uid="{E068D616-A38E-461A-B819-510E907E1685}"/>
    <cellStyle name="Normal 2 4 5 2 2 2 7" xfId="4698" xr:uid="{00000000-0005-0000-0000-00004B100000}"/>
    <cellStyle name="Normal 2 4 5 2 2 2 7 2" xfId="13140" xr:uid="{9B22BD3C-D73B-4A32-B0DB-624AC0F02679}"/>
    <cellStyle name="Normal 2 4 5 2 2 2 7 3" xfId="21580" xr:uid="{9C05062B-A401-4A15-838C-279F1B965FD7}"/>
    <cellStyle name="Normal 2 4 5 2 2 2 8" xfId="8922" xr:uid="{F434F7CB-0B13-4D41-A29D-DA98264368D9}"/>
    <cellStyle name="Normal 2 4 5 2 2 2 9" xfId="17363" xr:uid="{A308EFC4-E4BC-48CE-A83D-EAA8B5719DC5}"/>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15698" xr:uid="{F4764129-2859-4F9E-B081-96E34BEDD480}"/>
    <cellStyle name="Normal 2 4 5 2 2 3 2 2 3" xfId="24138" xr:uid="{2A02C272-C46F-4220-81B3-D02B36DE2459}"/>
    <cellStyle name="Normal 2 4 5 2 2 3 2 3" xfId="11480" xr:uid="{63395EE8-BD42-415B-9082-7CB71377C5CC}"/>
    <cellStyle name="Normal 2 4 5 2 2 3 2 4" xfId="19921" xr:uid="{6B66D371-FCE6-4B22-AC9C-3F0A87A4FFBC}"/>
    <cellStyle name="Normal 2 4 5 2 2 3 3" xfId="5111" xr:uid="{00000000-0005-0000-0000-00004F100000}"/>
    <cellStyle name="Normal 2 4 5 2 2 3 3 2" xfId="13553" xr:uid="{57BB03DF-D34D-45EB-9FB3-A948F32C70CC}"/>
    <cellStyle name="Normal 2 4 5 2 2 3 3 3" xfId="21993" xr:uid="{71966310-0D2C-4839-941A-CBD4F49D8CDF}"/>
    <cellStyle name="Normal 2 4 5 2 2 3 4" xfId="9335" xr:uid="{B6B6A149-FE17-4D04-8201-CE9493F07D75}"/>
    <cellStyle name="Normal 2 4 5 2 2 3 5" xfId="17776" xr:uid="{FEBD518D-0920-46D7-9C40-C3DBABA6EBA3}"/>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16111" xr:uid="{C3A1B000-7299-4803-9252-9249B63E66E0}"/>
    <cellStyle name="Normal 2 4 5 2 2 4 2 2 3" xfId="24551" xr:uid="{605A19DA-65C5-4041-8155-8A5FEE1CF1A1}"/>
    <cellStyle name="Normal 2 4 5 2 2 4 2 3" xfId="11893" xr:uid="{E2D8CFB8-56C4-4A38-8B39-BDABF3F17B3A}"/>
    <cellStyle name="Normal 2 4 5 2 2 4 2 4" xfId="20334" xr:uid="{35092EE1-F2CC-44C0-9172-DCAEC55C6958}"/>
    <cellStyle name="Normal 2 4 5 2 2 4 3" xfId="5524" xr:uid="{00000000-0005-0000-0000-000053100000}"/>
    <cellStyle name="Normal 2 4 5 2 2 4 3 2" xfId="13966" xr:uid="{DA48D4F2-633E-487E-97F2-E4D27C472A37}"/>
    <cellStyle name="Normal 2 4 5 2 2 4 3 3" xfId="22406" xr:uid="{4DC70742-3D37-43E9-A7A6-7C7F33F5D6A7}"/>
    <cellStyle name="Normal 2 4 5 2 2 4 4" xfId="9748" xr:uid="{595BAEC9-AC66-477C-A550-D1DA5DECC7C9}"/>
    <cellStyle name="Normal 2 4 5 2 2 4 5" xfId="18189" xr:uid="{4C59DCD2-A197-457E-A3F8-9CFF6B7449A9}"/>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16524" xr:uid="{A9E214E7-1796-42A1-8C6B-91A2CE876B70}"/>
    <cellStyle name="Normal 2 4 5 2 2 5 2 2 3" xfId="24964" xr:uid="{F5E73166-8C37-4975-9C63-89C61A175848}"/>
    <cellStyle name="Normal 2 4 5 2 2 5 2 3" xfId="12306" xr:uid="{6954DDD9-B8F0-47B6-ADD3-171CF7F5FA6A}"/>
    <cellStyle name="Normal 2 4 5 2 2 5 2 4" xfId="20747" xr:uid="{CF318EFC-AAB7-4C25-BAFA-65DE4BFF0B82}"/>
    <cellStyle name="Normal 2 4 5 2 2 5 3" xfId="5937" xr:uid="{00000000-0005-0000-0000-000057100000}"/>
    <cellStyle name="Normal 2 4 5 2 2 5 3 2" xfId="14379" xr:uid="{D5C40C63-6AD5-46A2-A452-6511779D8B1C}"/>
    <cellStyle name="Normal 2 4 5 2 2 5 3 3" xfId="22819" xr:uid="{5BD769A1-6CDD-41C1-8F46-99792C70FE4D}"/>
    <cellStyle name="Normal 2 4 5 2 2 5 4" xfId="10161" xr:uid="{A7AF9F45-1E59-4601-B5A7-4C26591F04C9}"/>
    <cellStyle name="Normal 2 4 5 2 2 5 5" xfId="18602" xr:uid="{5E5441FB-28EB-4B7A-9D99-1DDF2A8711D8}"/>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16937" xr:uid="{7E457ABD-5337-4CBC-9AC0-28450A82972A}"/>
    <cellStyle name="Normal 2 4 5 2 2 6 2 2 3" xfId="25377" xr:uid="{E4ED061F-66F9-4EDA-B7DA-CB83959DD880}"/>
    <cellStyle name="Normal 2 4 5 2 2 6 2 3" xfId="12719" xr:uid="{B53301DB-AE83-48C3-A014-8F46C352C9B2}"/>
    <cellStyle name="Normal 2 4 5 2 2 6 2 4" xfId="21160" xr:uid="{1DCDEA1D-C79D-4398-97CB-4A9F61679551}"/>
    <cellStyle name="Normal 2 4 5 2 2 6 3" xfId="6350" xr:uid="{00000000-0005-0000-0000-00005B100000}"/>
    <cellStyle name="Normal 2 4 5 2 2 6 3 2" xfId="14792" xr:uid="{0958D7F6-1909-4BAF-8F4A-352567EE305A}"/>
    <cellStyle name="Normal 2 4 5 2 2 6 3 3" xfId="23232" xr:uid="{5E0670C6-D795-4DDF-B95E-30AA0B7EAD1C}"/>
    <cellStyle name="Normal 2 4 5 2 2 6 4" xfId="10574" xr:uid="{A004B28E-A070-4558-A6B0-BE1F4EFAD4F2}"/>
    <cellStyle name="Normal 2 4 5 2 2 6 5" xfId="19015" xr:uid="{C411FB3A-4DD6-4A35-BEA9-1D2ACCDA97A6}"/>
    <cellStyle name="Normal 2 4 5 2 2 7" xfId="2479" xr:uid="{00000000-0005-0000-0000-00005C100000}"/>
    <cellStyle name="Normal 2 4 5 2 2 7 2" xfId="6763" xr:uid="{00000000-0005-0000-0000-00005D100000}"/>
    <cellStyle name="Normal 2 4 5 2 2 7 2 2" xfId="15205" xr:uid="{FE7F92ED-4D34-4ABA-98B3-579D1F87612E}"/>
    <cellStyle name="Normal 2 4 5 2 2 7 2 3" xfId="23645" xr:uid="{A5580D84-01A4-47C8-8E14-ED870548F472}"/>
    <cellStyle name="Normal 2 4 5 2 2 7 3" xfId="10987" xr:uid="{DBA3BB28-98D2-4D7A-BC59-C436FE8135D4}"/>
    <cellStyle name="Normal 2 4 5 2 2 7 4" xfId="19428" xr:uid="{D5E3B3A9-CFB5-4042-AA8B-C17A4796F88A}"/>
    <cellStyle name="Normal 2 4 5 2 2 8" xfId="4697" xr:uid="{00000000-0005-0000-0000-00005E100000}"/>
    <cellStyle name="Normal 2 4 5 2 2 8 2" xfId="13139" xr:uid="{032682C5-1E41-4CCA-9ABC-A9C8F04B14E5}"/>
    <cellStyle name="Normal 2 4 5 2 2 8 3" xfId="21579" xr:uid="{92A833F2-8B3F-4399-84D6-6FA0998AC8E8}"/>
    <cellStyle name="Normal 2 4 5 2 2 9" xfId="8921" xr:uid="{81573C7D-696E-4352-BD5C-19AE250A4C82}"/>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15700" xr:uid="{D0A4F7AB-2F1D-4234-A721-49B75B62102B}"/>
    <cellStyle name="Normal 2 4 5 2 3 2 2 2 3" xfId="24140" xr:uid="{0E29BA41-8AA6-4B8A-9A14-98064BF11374}"/>
    <cellStyle name="Normal 2 4 5 2 3 2 2 3" xfId="11482" xr:uid="{5246E60F-DB91-4293-95FA-270888ABF221}"/>
    <cellStyle name="Normal 2 4 5 2 3 2 2 4" xfId="19923" xr:uid="{6F7287D7-E2CD-4374-B97D-3C6EAFED3B08}"/>
    <cellStyle name="Normal 2 4 5 2 3 2 3" xfId="5113" xr:uid="{00000000-0005-0000-0000-000063100000}"/>
    <cellStyle name="Normal 2 4 5 2 3 2 3 2" xfId="13555" xr:uid="{51D75FD0-62A3-4AB3-98C7-5319F73FF5AD}"/>
    <cellStyle name="Normal 2 4 5 2 3 2 3 3" xfId="21995" xr:uid="{4A0F47D7-B070-42DD-B8B2-C0C93BB74C64}"/>
    <cellStyle name="Normal 2 4 5 2 3 2 4" xfId="9337" xr:uid="{9081DCC4-5FB4-43C1-9342-C0205A9E80E0}"/>
    <cellStyle name="Normal 2 4 5 2 3 2 5" xfId="17778" xr:uid="{600E685D-7A79-4699-91A0-C9E2F5FCBA12}"/>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16113" xr:uid="{368229C6-2FF9-4360-B63D-B99A3FD73634}"/>
    <cellStyle name="Normal 2 4 5 2 3 3 2 2 3" xfId="24553" xr:uid="{8C5D4468-8349-4EC7-9DAB-4338777212C5}"/>
    <cellStyle name="Normal 2 4 5 2 3 3 2 3" xfId="11895" xr:uid="{03E27ED3-8EA7-4E54-B0DB-63A1B0F3CBCF}"/>
    <cellStyle name="Normal 2 4 5 2 3 3 2 4" xfId="20336" xr:uid="{D82997C4-77E6-4C08-84C0-4FDBB4815C77}"/>
    <cellStyle name="Normal 2 4 5 2 3 3 3" xfId="5526" xr:uid="{00000000-0005-0000-0000-000067100000}"/>
    <cellStyle name="Normal 2 4 5 2 3 3 3 2" xfId="13968" xr:uid="{8E099B81-20FA-4E6C-9638-FE1AEDFE4422}"/>
    <cellStyle name="Normal 2 4 5 2 3 3 3 3" xfId="22408" xr:uid="{8FDBD22B-2897-43D0-919F-8105D1633073}"/>
    <cellStyle name="Normal 2 4 5 2 3 3 4" xfId="9750" xr:uid="{9794C348-652C-4C12-BCF1-2BE554C82583}"/>
    <cellStyle name="Normal 2 4 5 2 3 3 5" xfId="18191" xr:uid="{AA0BE665-6100-40B7-8886-0429B86A9322}"/>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16526" xr:uid="{675A2949-B9F8-4A5B-9095-8273637A6695}"/>
    <cellStyle name="Normal 2 4 5 2 3 4 2 2 3" xfId="24966" xr:uid="{A50FF9AA-1495-41B4-BB6F-E90A2B40AFBF}"/>
    <cellStyle name="Normal 2 4 5 2 3 4 2 3" xfId="12308" xr:uid="{B569DF31-B04D-428E-8FAC-4306F91DD635}"/>
    <cellStyle name="Normal 2 4 5 2 3 4 2 4" xfId="20749" xr:uid="{5369C5DC-0492-439B-B9E1-F89F52C93FD0}"/>
    <cellStyle name="Normal 2 4 5 2 3 4 3" xfId="5939" xr:uid="{00000000-0005-0000-0000-00006B100000}"/>
    <cellStyle name="Normal 2 4 5 2 3 4 3 2" xfId="14381" xr:uid="{DFAF9182-6530-4EDF-8763-7366ABA78688}"/>
    <cellStyle name="Normal 2 4 5 2 3 4 3 3" xfId="22821" xr:uid="{32A0C7F8-1323-4E47-A3E0-EAA904C74A0A}"/>
    <cellStyle name="Normal 2 4 5 2 3 4 4" xfId="10163" xr:uid="{481CE38B-1C51-4601-AB87-E4C44EF94EA7}"/>
    <cellStyle name="Normal 2 4 5 2 3 4 5" xfId="18604" xr:uid="{518A6AE6-2F82-4C71-8954-CF356A9E3535}"/>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16939" xr:uid="{40277BE3-0AE3-4240-BDE3-65FC74C4CAD8}"/>
    <cellStyle name="Normal 2 4 5 2 3 5 2 2 3" xfId="25379" xr:uid="{07845101-B99F-4070-832F-AA3C7CB2CBEE}"/>
    <cellStyle name="Normal 2 4 5 2 3 5 2 3" xfId="12721" xr:uid="{45FAEBF4-22A9-42A3-B35F-91EF03B3C154}"/>
    <cellStyle name="Normal 2 4 5 2 3 5 2 4" xfId="21162" xr:uid="{4472C6D2-1BC2-4FAE-860C-F03FD289EFAF}"/>
    <cellStyle name="Normal 2 4 5 2 3 5 3" xfId="6352" xr:uid="{00000000-0005-0000-0000-00006F100000}"/>
    <cellStyle name="Normal 2 4 5 2 3 5 3 2" xfId="14794" xr:uid="{6A7D08F3-C9CA-493F-9957-C816A993FD24}"/>
    <cellStyle name="Normal 2 4 5 2 3 5 3 3" xfId="23234" xr:uid="{378CDED3-6019-44A0-B68D-A315667AB930}"/>
    <cellStyle name="Normal 2 4 5 2 3 5 4" xfId="10576" xr:uid="{84B38A7F-C661-4A57-824A-DE8919B071EF}"/>
    <cellStyle name="Normal 2 4 5 2 3 5 5" xfId="19017" xr:uid="{2982D0A0-FF29-4A6D-87DD-347A29300637}"/>
    <cellStyle name="Normal 2 4 5 2 3 6" xfId="2481" xr:uid="{00000000-0005-0000-0000-000070100000}"/>
    <cellStyle name="Normal 2 4 5 2 3 6 2" xfId="6765" xr:uid="{00000000-0005-0000-0000-000071100000}"/>
    <cellStyle name="Normal 2 4 5 2 3 6 2 2" xfId="15207" xr:uid="{A128506A-6C88-4114-92FD-FC795249BDCC}"/>
    <cellStyle name="Normal 2 4 5 2 3 6 2 3" xfId="23647" xr:uid="{BBD34B7D-417D-4B41-A5CB-046CEA76D690}"/>
    <cellStyle name="Normal 2 4 5 2 3 6 3" xfId="10989" xr:uid="{0C212473-C80B-4ED2-A3EE-D06014657803}"/>
    <cellStyle name="Normal 2 4 5 2 3 6 4" xfId="19430" xr:uid="{D750D836-45F3-465D-B469-A17B83BA5468}"/>
    <cellStyle name="Normal 2 4 5 2 3 7" xfId="4699" xr:uid="{00000000-0005-0000-0000-000072100000}"/>
    <cellStyle name="Normal 2 4 5 2 3 7 2" xfId="13141" xr:uid="{99EEA259-A11C-4144-8ADA-90F1A7BFE5EB}"/>
    <cellStyle name="Normal 2 4 5 2 3 7 3" xfId="21581" xr:uid="{31CB5B48-E447-478B-8CC8-60FE0ECD395F}"/>
    <cellStyle name="Normal 2 4 5 2 3 8" xfId="8923" xr:uid="{5EEF5F47-3716-4023-AB7C-5C9B25644291}"/>
    <cellStyle name="Normal 2 4 5 2 3 9" xfId="17364" xr:uid="{851969D3-5A66-42BF-BE10-82E8DBA4FA07}"/>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15697" xr:uid="{7487C128-5925-48CD-AD5F-A5B91A2A2649}"/>
    <cellStyle name="Normal 2 4 5 2 4 2 2 3" xfId="24137" xr:uid="{95574685-92D2-4899-811D-985FE256F780}"/>
    <cellStyle name="Normal 2 4 5 2 4 2 3" xfId="11479" xr:uid="{9833A299-F6D9-46FE-885B-574006631DE2}"/>
    <cellStyle name="Normal 2 4 5 2 4 2 4" xfId="19920" xr:uid="{A62DE2AF-C25E-4AE2-B1A3-C1978171753D}"/>
    <cellStyle name="Normal 2 4 5 2 4 3" xfId="5110" xr:uid="{00000000-0005-0000-0000-000076100000}"/>
    <cellStyle name="Normal 2 4 5 2 4 3 2" xfId="13552" xr:uid="{845E5792-38E3-47AE-8F72-2261EE3691C1}"/>
    <cellStyle name="Normal 2 4 5 2 4 3 3" xfId="21992" xr:uid="{08C70F19-D34E-4EF7-A626-34C826977FBD}"/>
    <cellStyle name="Normal 2 4 5 2 4 4" xfId="9334" xr:uid="{C4A87F48-F652-4FFE-BADE-D08736447478}"/>
    <cellStyle name="Normal 2 4 5 2 4 5" xfId="17775" xr:uid="{25C06A64-88BA-40E3-9428-7DA4E92F611B}"/>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16110" xr:uid="{FD6CC4D4-CBF6-4B20-8DF2-6961907B87F6}"/>
    <cellStyle name="Normal 2 4 5 2 5 2 2 3" xfId="24550" xr:uid="{F0AA44C8-3316-4218-974B-0D7DF470382C}"/>
    <cellStyle name="Normal 2 4 5 2 5 2 3" xfId="11892" xr:uid="{C211E547-2967-4873-BE41-17F8BDE2035A}"/>
    <cellStyle name="Normal 2 4 5 2 5 2 4" xfId="20333" xr:uid="{9040B6EB-911D-4770-A426-467EC5840477}"/>
    <cellStyle name="Normal 2 4 5 2 5 3" xfId="5523" xr:uid="{00000000-0005-0000-0000-00007A100000}"/>
    <cellStyle name="Normal 2 4 5 2 5 3 2" xfId="13965" xr:uid="{FB72E5EE-E4A0-4688-86D7-13FE7B630B61}"/>
    <cellStyle name="Normal 2 4 5 2 5 3 3" xfId="22405" xr:uid="{43320291-1695-4DE4-9A68-F377C23D5955}"/>
    <cellStyle name="Normal 2 4 5 2 5 4" xfId="9747" xr:uid="{84A3B954-3389-4E57-804C-B3ADC13E20D5}"/>
    <cellStyle name="Normal 2 4 5 2 5 5" xfId="18188" xr:uid="{C770882E-60CF-41A9-B415-B30626E8BBC9}"/>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16523" xr:uid="{DCEF65BF-56F7-44A0-A1B2-F51AD3CFF2F8}"/>
    <cellStyle name="Normal 2 4 5 2 6 2 2 3" xfId="24963" xr:uid="{9B8CD712-2DCE-43E4-ACE2-3F24B459326D}"/>
    <cellStyle name="Normal 2 4 5 2 6 2 3" xfId="12305" xr:uid="{BBDF5E76-9B80-4141-804E-2E43E06CDFEF}"/>
    <cellStyle name="Normal 2 4 5 2 6 2 4" xfId="20746" xr:uid="{4BC44CE5-E198-41DA-9AE1-A4E9CBC858EC}"/>
    <cellStyle name="Normal 2 4 5 2 6 3" xfId="5936" xr:uid="{00000000-0005-0000-0000-00007E100000}"/>
    <cellStyle name="Normal 2 4 5 2 6 3 2" xfId="14378" xr:uid="{6CE1A0F2-36B3-4267-A368-CB381E21CCA0}"/>
    <cellStyle name="Normal 2 4 5 2 6 3 3" xfId="22818" xr:uid="{DBAFAB23-511F-4B33-9B41-6BEF01B7F259}"/>
    <cellStyle name="Normal 2 4 5 2 6 4" xfId="10160" xr:uid="{C70328A0-6C87-4C5B-97DB-A82BBB16F935}"/>
    <cellStyle name="Normal 2 4 5 2 6 5" xfId="18601" xr:uid="{FABCDD40-CC0B-4185-915A-E34F21205942}"/>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16936" xr:uid="{CE72F594-B62C-41E4-9563-076A2CA85C27}"/>
    <cellStyle name="Normal 2 4 5 2 7 2 2 3" xfId="25376" xr:uid="{17037F9F-8E5A-44D8-B801-5F2D3C825CDB}"/>
    <cellStyle name="Normal 2 4 5 2 7 2 3" xfId="12718" xr:uid="{F360B32B-B9F5-48D7-A5CF-83F5CDD5EDDA}"/>
    <cellStyle name="Normal 2 4 5 2 7 2 4" xfId="21159" xr:uid="{1E1376BF-5E78-44EA-9F46-24F6703CABE9}"/>
    <cellStyle name="Normal 2 4 5 2 7 3" xfId="6349" xr:uid="{00000000-0005-0000-0000-000082100000}"/>
    <cellStyle name="Normal 2 4 5 2 7 3 2" xfId="14791" xr:uid="{70C8FAFB-1E3F-4EA1-8450-9A8C53FB001F}"/>
    <cellStyle name="Normal 2 4 5 2 7 3 3" xfId="23231" xr:uid="{ACAA9E1F-CA58-4CF6-837C-E4A71C130D65}"/>
    <cellStyle name="Normal 2 4 5 2 7 4" xfId="10573" xr:uid="{7C825C1E-042F-4368-91F2-6F90B7179EF7}"/>
    <cellStyle name="Normal 2 4 5 2 7 5" xfId="19014" xr:uid="{1731D9AA-E87C-4F19-9335-1CC4DDEEE14D}"/>
    <cellStyle name="Normal 2 4 5 2 8" xfId="2478" xr:uid="{00000000-0005-0000-0000-000083100000}"/>
    <cellStyle name="Normal 2 4 5 2 8 2" xfId="6762" xr:uid="{00000000-0005-0000-0000-000084100000}"/>
    <cellStyle name="Normal 2 4 5 2 8 2 2" xfId="15204" xr:uid="{BBFB18EC-DCAB-433F-8DB1-D7541BDC2CC3}"/>
    <cellStyle name="Normal 2 4 5 2 8 2 3" xfId="23644" xr:uid="{12CBB8A3-D7CC-4FF0-9FB3-A528A33DFC53}"/>
    <cellStyle name="Normal 2 4 5 2 8 3" xfId="10986" xr:uid="{7D26DA94-AC90-44ED-8346-D7D48329CF77}"/>
    <cellStyle name="Normal 2 4 5 2 8 4" xfId="19427" xr:uid="{DF3858F0-38C9-4EA5-94DF-42B0121BA150}"/>
    <cellStyle name="Normal 2 4 5 2 9" xfId="4696" xr:uid="{00000000-0005-0000-0000-000085100000}"/>
    <cellStyle name="Normal 2 4 5 2 9 2" xfId="13138" xr:uid="{B060231D-0CD8-404B-AA58-B69DBA5CA1B9}"/>
    <cellStyle name="Normal 2 4 5 2 9 3" xfId="21578" xr:uid="{FFD59848-E343-48A5-8341-B950EEC617BC}"/>
    <cellStyle name="Normal 2 4 5 3" xfId="308" xr:uid="{00000000-0005-0000-0000-000086100000}"/>
    <cellStyle name="Normal 2 4 5 3 10" xfId="17365" xr:uid="{237838F8-EF40-4336-91FD-C627C3AE291F}"/>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15702" xr:uid="{1C4FEBA0-5B38-4DD4-BB77-88A17B421525}"/>
    <cellStyle name="Normal 2 4 5 3 2 2 2 2 3" xfId="24142" xr:uid="{08BDB983-E1F1-4B3B-A1BB-432D38152EAF}"/>
    <cellStyle name="Normal 2 4 5 3 2 2 2 3" xfId="11484" xr:uid="{5A387A34-ADA5-4512-8389-6D79104735D1}"/>
    <cellStyle name="Normal 2 4 5 3 2 2 2 4" xfId="19925" xr:uid="{E78404E7-35DD-44CB-A4B3-29AF17884705}"/>
    <cellStyle name="Normal 2 4 5 3 2 2 3" xfId="5115" xr:uid="{00000000-0005-0000-0000-00008B100000}"/>
    <cellStyle name="Normal 2 4 5 3 2 2 3 2" xfId="13557" xr:uid="{98C297A4-C7A3-4AA9-B46C-832EB7238161}"/>
    <cellStyle name="Normal 2 4 5 3 2 2 3 3" xfId="21997" xr:uid="{2F1B978A-CF7C-4CAD-A08F-8E9E7D047C68}"/>
    <cellStyle name="Normal 2 4 5 3 2 2 4" xfId="9339" xr:uid="{376D7A87-4475-4599-8139-69B69D332817}"/>
    <cellStyle name="Normal 2 4 5 3 2 2 5" xfId="17780" xr:uid="{3E2E27B5-957D-4050-B149-4C80D6C43B71}"/>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16115" xr:uid="{73BE1B88-B572-4548-BC3F-7E8A6EB788FE}"/>
    <cellStyle name="Normal 2 4 5 3 2 3 2 2 3" xfId="24555" xr:uid="{9BA8B4AC-F8DA-4F7D-A8FD-E95D0ED7F812}"/>
    <cellStyle name="Normal 2 4 5 3 2 3 2 3" xfId="11897" xr:uid="{04D3B895-0F92-414F-823F-60E18CB68C03}"/>
    <cellStyle name="Normal 2 4 5 3 2 3 2 4" xfId="20338" xr:uid="{C9D72D51-99AE-442C-B419-F7241544FBD4}"/>
    <cellStyle name="Normal 2 4 5 3 2 3 3" xfId="5528" xr:uid="{00000000-0005-0000-0000-00008F100000}"/>
    <cellStyle name="Normal 2 4 5 3 2 3 3 2" xfId="13970" xr:uid="{D88AC3E4-B926-458F-8174-3B866AF97EE3}"/>
    <cellStyle name="Normal 2 4 5 3 2 3 3 3" xfId="22410" xr:uid="{6B12233E-2C6C-4AE6-AB15-F03E00208509}"/>
    <cellStyle name="Normal 2 4 5 3 2 3 4" xfId="9752" xr:uid="{05685E38-D64C-46D6-AC1F-B09E843EA1B5}"/>
    <cellStyle name="Normal 2 4 5 3 2 3 5" xfId="18193" xr:uid="{C1B37693-54E0-45F4-85B0-977410DAD6A7}"/>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16528" xr:uid="{A58F9731-6E8E-453A-8988-6EF07FBFBF71}"/>
    <cellStyle name="Normal 2 4 5 3 2 4 2 2 3" xfId="24968" xr:uid="{CB2807F6-7F1E-4ED5-A1DD-78044ACDFCEE}"/>
    <cellStyle name="Normal 2 4 5 3 2 4 2 3" xfId="12310" xr:uid="{CC00DC6B-48C7-4FED-AEAC-1131CB76735C}"/>
    <cellStyle name="Normal 2 4 5 3 2 4 2 4" xfId="20751" xr:uid="{02E7CAD3-7ABE-4028-9DE9-096A197E1989}"/>
    <cellStyle name="Normal 2 4 5 3 2 4 3" xfId="5941" xr:uid="{00000000-0005-0000-0000-000093100000}"/>
    <cellStyle name="Normal 2 4 5 3 2 4 3 2" xfId="14383" xr:uid="{9FBBAC6B-9EE4-4B66-98C1-27E090707F62}"/>
    <cellStyle name="Normal 2 4 5 3 2 4 3 3" xfId="22823" xr:uid="{156E51C5-8A18-4840-AF41-3C00B46E484C}"/>
    <cellStyle name="Normal 2 4 5 3 2 4 4" xfId="10165" xr:uid="{F76B70B5-63D6-447E-9EE8-23E7DE191DFD}"/>
    <cellStyle name="Normal 2 4 5 3 2 4 5" xfId="18606" xr:uid="{2C72B61D-7CD1-427F-928E-1FA72FA68224}"/>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16941" xr:uid="{34569972-635D-4556-89C1-358B63BA4851}"/>
    <cellStyle name="Normal 2 4 5 3 2 5 2 2 3" xfId="25381" xr:uid="{0402A16E-7A94-4588-A3C6-972D7D9E4155}"/>
    <cellStyle name="Normal 2 4 5 3 2 5 2 3" xfId="12723" xr:uid="{751D445A-AFE9-4E01-B6A8-EB1D2F0E5106}"/>
    <cellStyle name="Normal 2 4 5 3 2 5 2 4" xfId="21164" xr:uid="{589B9DA9-B351-4265-8724-56299CE011E4}"/>
    <cellStyle name="Normal 2 4 5 3 2 5 3" xfId="6354" xr:uid="{00000000-0005-0000-0000-000097100000}"/>
    <cellStyle name="Normal 2 4 5 3 2 5 3 2" xfId="14796" xr:uid="{94EF4B33-5111-4D9E-A1D3-31AB21EBD1BE}"/>
    <cellStyle name="Normal 2 4 5 3 2 5 3 3" xfId="23236" xr:uid="{95C1DA69-78AB-49E7-A558-CE3E2FCC3E2D}"/>
    <cellStyle name="Normal 2 4 5 3 2 5 4" xfId="10578" xr:uid="{76A1D3A3-ACFC-4794-BF29-3CEF8BC7E50F}"/>
    <cellStyle name="Normal 2 4 5 3 2 5 5" xfId="19019" xr:uid="{762280F4-2236-44BB-AD9D-1CFAED1AA8DD}"/>
    <cellStyle name="Normal 2 4 5 3 2 6" xfId="2483" xr:uid="{00000000-0005-0000-0000-000098100000}"/>
    <cellStyle name="Normal 2 4 5 3 2 6 2" xfId="6767" xr:uid="{00000000-0005-0000-0000-000099100000}"/>
    <cellStyle name="Normal 2 4 5 3 2 6 2 2" xfId="15209" xr:uid="{60FE93B4-D0C8-4E8B-B46B-8F5315511B56}"/>
    <cellStyle name="Normal 2 4 5 3 2 6 2 3" xfId="23649" xr:uid="{375D521E-2D91-490D-8482-F1260EA4C341}"/>
    <cellStyle name="Normal 2 4 5 3 2 6 3" xfId="10991" xr:uid="{E4E06606-B5CA-42BC-ABDC-CAFC3EC4B112}"/>
    <cellStyle name="Normal 2 4 5 3 2 6 4" xfId="19432" xr:uid="{91D2C5D4-857B-4623-B70E-177E9DD32216}"/>
    <cellStyle name="Normal 2 4 5 3 2 7" xfId="4701" xr:uid="{00000000-0005-0000-0000-00009A100000}"/>
    <cellStyle name="Normal 2 4 5 3 2 7 2" xfId="13143" xr:uid="{4164EADA-5136-4883-95DE-7D6B87D08FC5}"/>
    <cellStyle name="Normal 2 4 5 3 2 7 3" xfId="21583" xr:uid="{64DAA0E7-EF6D-45C3-848A-144D78DEDCBA}"/>
    <cellStyle name="Normal 2 4 5 3 2 8" xfId="8925" xr:uid="{AD9F9AD0-C790-4A9B-8FD5-5E4D9C46D682}"/>
    <cellStyle name="Normal 2 4 5 3 2 9" xfId="17366" xr:uid="{C8C593E6-F51F-44B1-87C3-70B29A2F8DB9}"/>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15701" xr:uid="{105BF65C-1224-4BA3-8DFC-6F3B76B6DA19}"/>
    <cellStyle name="Normal 2 4 5 3 3 2 2 3" xfId="24141" xr:uid="{A474DFB7-F5CA-4B85-896F-F4435D00360F}"/>
    <cellStyle name="Normal 2 4 5 3 3 2 3" xfId="11483" xr:uid="{7071CB73-001E-4F69-A5F7-97C42416E412}"/>
    <cellStyle name="Normal 2 4 5 3 3 2 4" xfId="19924" xr:uid="{093FD4AC-AED8-4CA3-87F0-F20BD6A2B71B}"/>
    <cellStyle name="Normal 2 4 5 3 3 3" xfId="5114" xr:uid="{00000000-0005-0000-0000-00009E100000}"/>
    <cellStyle name="Normal 2 4 5 3 3 3 2" xfId="13556" xr:uid="{CB1F7293-8385-4B24-A084-E6163915A63F}"/>
    <cellStyle name="Normal 2 4 5 3 3 3 3" xfId="21996" xr:uid="{A36C4C41-52C6-4639-BB6A-E1B71CB001A3}"/>
    <cellStyle name="Normal 2 4 5 3 3 4" xfId="9338" xr:uid="{CF6B714F-A68E-43EC-BACE-DA5D066D3627}"/>
    <cellStyle name="Normal 2 4 5 3 3 5" xfId="17779" xr:uid="{049F3E08-D46C-4BD5-9319-7955DAE53D49}"/>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16114" xr:uid="{3DE9A92F-BF4E-42B8-B57A-9112D3D8C9B2}"/>
    <cellStyle name="Normal 2 4 5 3 4 2 2 3" xfId="24554" xr:uid="{F8481F11-745D-4488-A0A0-21661A69E5A9}"/>
    <cellStyle name="Normal 2 4 5 3 4 2 3" xfId="11896" xr:uid="{197048C7-4399-4182-83D5-85862C762E38}"/>
    <cellStyle name="Normal 2 4 5 3 4 2 4" xfId="20337" xr:uid="{1EF9373E-CD6F-4447-A6B7-090867B7A4FF}"/>
    <cellStyle name="Normal 2 4 5 3 4 3" xfId="5527" xr:uid="{00000000-0005-0000-0000-0000A2100000}"/>
    <cellStyle name="Normal 2 4 5 3 4 3 2" xfId="13969" xr:uid="{A6C8F41A-BA74-4A97-9265-CCA6DF9CE885}"/>
    <cellStyle name="Normal 2 4 5 3 4 3 3" xfId="22409" xr:uid="{2814B32E-697E-49B7-A258-5FF2D3617A5C}"/>
    <cellStyle name="Normal 2 4 5 3 4 4" xfId="9751" xr:uid="{AE2FEBDE-ED74-46AE-8664-066A11EA6D75}"/>
    <cellStyle name="Normal 2 4 5 3 4 5" xfId="18192" xr:uid="{66AA9864-D8C7-49E0-8A3C-26CE1DFEEB73}"/>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16527" xr:uid="{0C0B78DF-72AE-4CD8-AEE9-A10D135B7BCD}"/>
    <cellStyle name="Normal 2 4 5 3 5 2 2 3" xfId="24967" xr:uid="{AFFDA43A-139D-467E-A554-D250C48AA7FA}"/>
    <cellStyle name="Normal 2 4 5 3 5 2 3" xfId="12309" xr:uid="{13833D7F-1DBE-430E-A2CB-3D5B998B4B2C}"/>
    <cellStyle name="Normal 2 4 5 3 5 2 4" xfId="20750" xr:uid="{FCD425C1-AE96-4463-811C-DDDE7E57B0C4}"/>
    <cellStyle name="Normal 2 4 5 3 5 3" xfId="5940" xr:uid="{00000000-0005-0000-0000-0000A6100000}"/>
    <cellStyle name="Normal 2 4 5 3 5 3 2" xfId="14382" xr:uid="{E45AF54A-6AB2-4F26-9020-D7214462BBF6}"/>
    <cellStyle name="Normal 2 4 5 3 5 3 3" xfId="22822" xr:uid="{D7B6460F-318F-4411-9633-4F0FC6C8BE0E}"/>
    <cellStyle name="Normal 2 4 5 3 5 4" xfId="10164" xr:uid="{FE9AF536-D91F-4084-B6F0-86802041EAFC}"/>
    <cellStyle name="Normal 2 4 5 3 5 5" xfId="18605" xr:uid="{40B5C02D-6489-4F37-B13A-52E9B952541C}"/>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16940" xr:uid="{E895B209-EA95-412F-9428-EAA6F6825443}"/>
    <cellStyle name="Normal 2 4 5 3 6 2 2 3" xfId="25380" xr:uid="{DB40C803-A5E0-492C-92FF-23E7BDE932DD}"/>
    <cellStyle name="Normal 2 4 5 3 6 2 3" xfId="12722" xr:uid="{E60E6832-FCB9-4415-A5A2-019B39E63C77}"/>
    <cellStyle name="Normal 2 4 5 3 6 2 4" xfId="21163" xr:uid="{F26E7284-119B-419A-AD33-1448645176BE}"/>
    <cellStyle name="Normal 2 4 5 3 6 3" xfId="6353" xr:uid="{00000000-0005-0000-0000-0000AA100000}"/>
    <cellStyle name="Normal 2 4 5 3 6 3 2" xfId="14795" xr:uid="{DF18E3FA-38A9-4A0A-9F65-8768608B6AC9}"/>
    <cellStyle name="Normal 2 4 5 3 6 3 3" xfId="23235" xr:uid="{0C4CEFBD-FA49-4730-A702-3C7EBD99A03E}"/>
    <cellStyle name="Normal 2 4 5 3 6 4" xfId="10577" xr:uid="{AAA0B037-2925-407F-BF05-E53603C43157}"/>
    <cellStyle name="Normal 2 4 5 3 6 5" xfId="19018" xr:uid="{176F80F8-1563-434E-80D4-58E82DE07EFC}"/>
    <cellStyle name="Normal 2 4 5 3 7" xfId="2482" xr:uid="{00000000-0005-0000-0000-0000AB100000}"/>
    <cellStyle name="Normal 2 4 5 3 7 2" xfId="6766" xr:uid="{00000000-0005-0000-0000-0000AC100000}"/>
    <cellStyle name="Normal 2 4 5 3 7 2 2" xfId="15208" xr:uid="{06D9A158-1715-411B-97EE-1A0F741A0E63}"/>
    <cellStyle name="Normal 2 4 5 3 7 2 3" xfId="23648" xr:uid="{333B6A1A-2AAB-4FD9-BF4F-DC8CF792CA90}"/>
    <cellStyle name="Normal 2 4 5 3 7 3" xfId="10990" xr:uid="{5B3B9BFD-F9AE-46E0-AE85-06EBA55A14C7}"/>
    <cellStyle name="Normal 2 4 5 3 7 4" xfId="19431" xr:uid="{47E85B17-3A72-4806-90D3-53DC31508BA7}"/>
    <cellStyle name="Normal 2 4 5 3 8" xfId="4700" xr:uid="{00000000-0005-0000-0000-0000AD100000}"/>
    <cellStyle name="Normal 2 4 5 3 8 2" xfId="13142" xr:uid="{C146450D-0D30-4DC2-BA05-2D4F08E59BA3}"/>
    <cellStyle name="Normal 2 4 5 3 8 3" xfId="21582" xr:uid="{AACAA510-7288-4B78-9B52-740C3ECADD81}"/>
    <cellStyle name="Normal 2 4 5 3 9" xfId="8924" xr:uid="{698B54D3-0D62-4D5A-9CDE-38166FD1438D}"/>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15703" xr:uid="{C45297A8-ABB7-4066-80B4-BE5E0E01E441}"/>
    <cellStyle name="Normal 2 4 5 4 2 2 2 3" xfId="24143" xr:uid="{75BCF7A5-4439-4E03-9C48-17E643EEE4C4}"/>
    <cellStyle name="Normal 2 4 5 4 2 2 3" xfId="11485" xr:uid="{EAFC11B7-80B7-42DF-8992-3191CE5AFC8C}"/>
    <cellStyle name="Normal 2 4 5 4 2 2 4" xfId="19926" xr:uid="{B1C74E0E-A51C-411A-A98A-AC4523B52FB9}"/>
    <cellStyle name="Normal 2 4 5 4 2 3" xfId="5116" xr:uid="{00000000-0005-0000-0000-0000B2100000}"/>
    <cellStyle name="Normal 2 4 5 4 2 3 2" xfId="13558" xr:uid="{67A0A5F5-517B-4589-AFB2-87A9D44AA498}"/>
    <cellStyle name="Normal 2 4 5 4 2 3 3" xfId="21998" xr:uid="{60A98F5D-47D7-4DDB-A2B7-0784BEFCD066}"/>
    <cellStyle name="Normal 2 4 5 4 2 4" xfId="9340" xr:uid="{AEFE1612-FA2B-4282-B118-3F7F1D2CB500}"/>
    <cellStyle name="Normal 2 4 5 4 2 5" xfId="17781" xr:uid="{8AC378EB-04E2-467E-AB86-49622568F7A2}"/>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16116" xr:uid="{5B4DC692-523C-4EC2-B111-B0ACD17F4EF5}"/>
    <cellStyle name="Normal 2 4 5 4 3 2 2 3" xfId="24556" xr:uid="{E2929A90-E49B-42F0-9F5F-679DBC355065}"/>
    <cellStyle name="Normal 2 4 5 4 3 2 3" xfId="11898" xr:uid="{05A53F38-784F-446C-B11E-712FAD7960B4}"/>
    <cellStyle name="Normal 2 4 5 4 3 2 4" xfId="20339" xr:uid="{7287D440-7ED3-42E8-BE6D-EFA1C077DAFE}"/>
    <cellStyle name="Normal 2 4 5 4 3 3" xfId="5529" xr:uid="{00000000-0005-0000-0000-0000B6100000}"/>
    <cellStyle name="Normal 2 4 5 4 3 3 2" xfId="13971" xr:uid="{31806D04-8B04-4351-8C52-99895E38D5BF}"/>
    <cellStyle name="Normal 2 4 5 4 3 3 3" xfId="22411" xr:uid="{13B00976-94B2-4F97-8007-23A3B9B293F0}"/>
    <cellStyle name="Normal 2 4 5 4 3 4" xfId="9753" xr:uid="{F5E5FBC1-9765-46F2-8D95-68324130C6D5}"/>
    <cellStyle name="Normal 2 4 5 4 3 5" xfId="18194" xr:uid="{B3C05D3E-7F55-49F3-9D03-87384D8FFD6A}"/>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16529" xr:uid="{F7F31208-5F4B-422A-AE37-C9E1698681F2}"/>
    <cellStyle name="Normal 2 4 5 4 4 2 2 3" xfId="24969" xr:uid="{0210DCD5-6D6C-459D-9CC7-548F8B289FB8}"/>
    <cellStyle name="Normal 2 4 5 4 4 2 3" xfId="12311" xr:uid="{948D62DD-5CAF-4D98-AC09-7FF7023F2E1B}"/>
    <cellStyle name="Normal 2 4 5 4 4 2 4" xfId="20752" xr:uid="{9A5E28A4-EA40-4327-9AB6-2B96487137AA}"/>
    <cellStyle name="Normal 2 4 5 4 4 3" xfId="5942" xr:uid="{00000000-0005-0000-0000-0000BA100000}"/>
    <cellStyle name="Normal 2 4 5 4 4 3 2" xfId="14384" xr:uid="{3B568931-B3EB-44EB-943B-DE765FBFE3B3}"/>
    <cellStyle name="Normal 2 4 5 4 4 3 3" xfId="22824" xr:uid="{138482D2-D023-4ED5-ABC0-BE195CFC8018}"/>
    <cellStyle name="Normal 2 4 5 4 4 4" xfId="10166" xr:uid="{5F12395A-4B55-4D1E-80CB-25521A36DC69}"/>
    <cellStyle name="Normal 2 4 5 4 4 5" xfId="18607" xr:uid="{52A05B55-DBCE-496A-AE1D-089E40222699}"/>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16942" xr:uid="{1E0297EC-B435-4A2D-BAB7-1836022BF2F4}"/>
    <cellStyle name="Normal 2 4 5 4 5 2 2 3" xfId="25382" xr:uid="{EAA8A37E-1578-451B-9B4F-FD0A7717DAAF}"/>
    <cellStyle name="Normal 2 4 5 4 5 2 3" xfId="12724" xr:uid="{CEBDDA4D-5B93-44AB-9DFD-2470EE4D4811}"/>
    <cellStyle name="Normal 2 4 5 4 5 2 4" xfId="21165" xr:uid="{2AD49BC1-4F8D-4D8E-854F-FAAB24EC9B00}"/>
    <cellStyle name="Normal 2 4 5 4 5 3" xfId="6355" xr:uid="{00000000-0005-0000-0000-0000BE100000}"/>
    <cellStyle name="Normal 2 4 5 4 5 3 2" xfId="14797" xr:uid="{D0A8C0C1-4331-4E77-A69B-60DBBEB3C0E2}"/>
    <cellStyle name="Normal 2 4 5 4 5 3 3" xfId="23237" xr:uid="{451082D3-0DD8-4CDB-A065-0489362DB553}"/>
    <cellStyle name="Normal 2 4 5 4 5 4" xfId="10579" xr:uid="{5A798309-412C-400E-99A1-5A791533243F}"/>
    <cellStyle name="Normal 2 4 5 4 5 5" xfId="19020" xr:uid="{BF575AD0-F48A-4CAA-9C02-A7A2F5F89DAF}"/>
    <cellStyle name="Normal 2 4 5 4 6" xfId="2484" xr:uid="{00000000-0005-0000-0000-0000BF100000}"/>
    <cellStyle name="Normal 2 4 5 4 6 2" xfId="6768" xr:uid="{00000000-0005-0000-0000-0000C0100000}"/>
    <cellStyle name="Normal 2 4 5 4 6 2 2" xfId="15210" xr:uid="{0D851BBC-4ED2-46A6-82AC-C4081EB27E3E}"/>
    <cellStyle name="Normal 2 4 5 4 6 2 3" xfId="23650" xr:uid="{6634B9D5-A621-48D2-8DF6-D171E77D2850}"/>
    <cellStyle name="Normal 2 4 5 4 6 3" xfId="10992" xr:uid="{0757A023-CEC3-4302-B650-34D13C51F661}"/>
    <cellStyle name="Normal 2 4 5 4 6 4" xfId="19433" xr:uid="{A43DC5E1-85EA-4190-81E5-B4E3A6CC9C1C}"/>
    <cellStyle name="Normal 2 4 5 4 7" xfId="4702" xr:uid="{00000000-0005-0000-0000-0000C1100000}"/>
    <cellStyle name="Normal 2 4 5 4 7 2" xfId="13144" xr:uid="{7070249A-02CB-4FD8-9028-70E90B0A9548}"/>
    <cellStyle name="Normal 2 4 5 4 7 3" xfId="21584" xr:uid="{F0A4284E-4CD3-4F4E-B088-2C1F54A12AFA}"/>
    <cellStyle name="Normal 2 4 5 4 8" xfId="8926" xr:uid="{741CD915-6F82-4EEF-8A40-6E29C9478AC1}"/>
    <cellStyle name="Normal 2 4 5 4 9" xfId="17367" xr:uid="{4CAD15C8-821F-49DA-AE9F-F6C2F8823AD3}"/>
    <cellStyle name="Normal 2 4 5 5" xfId="792" xr:uid="{00000000-0005-0000-0000-0000C2100000}"/>
    <cellStyle name="Normal 2 4 5 5 2" xfId="3031" xr:uid="{00000000-0005-0000-0000-0000C3100000}"/>
    <cellStyle name="Normal 2 4 5 5 2 2" xfId="7254" xr:uid="{00000000-0005-0000-0000-0000C4100000}"/>
    <cellStyle name="Normal 2 4 5 5 2 2 2" xfId="15696" xr:uid="{03CC40DE-A99B-4BC5-AA44-C6117EB6551F}"/>
    <cellStyle name="Normal 2 4 5 5 2 2 3" xfId="24136" xr:uid="{DA324A74-9C82-41F0-A765-688FE6AD8642}"/>
    <cellStyle name="Normal 2 4 5 5 2 3" xfId="11478" xr:uid="{65ADC4A6-4A30-40D7-B895-DAB5C9B6DCBF}"/>
    <cellStyle name="Normal 2 4 5 5 2 4" xfId="19919" xr:uid="{0AE475EF-B6C6-489F-BD39-CCA81843FFAF}"/>
    <cellStyle name="Normal 2 4 5 5 3" xfId="5109" xr:uid="{00000000-0005-0000-0000-0000C5100000}"/>
    <cellStyle name="Normal 2 4 5 5 3 2" xfId="13551" xr:uid="{27ED53FC-42AC-484E-BCA4-59F4B9ED6F25}"/>
    <cellStyle name="Normal 2 4 5 5 3 3" xfId="21991" xr:uid="{2A750409-E9E3-4FE8-9675-9EEA3108E157}"/>
    <cellStyle name="Normal 2 4 5 5 4" xfId="9333" xr:uid="{C9A621A2-3CEA-4F29-9DEC-9F9D77104349}"/>
    <cellStyle name="Normal 2 4 5 5 5" xfId="17774" xr:uid="{49EDBA4E-CA97-46C9-A894-5C725D8D8BD9}"/>
    <cellStyle name="Normal 2 4 5 6" xfId="1214" xr:uid="{00000000-0005-0000-0000-0000C6100000}"/>
    <cellStyle name="Normal 2 4 5 6 2" xfId="3444" xr:uid="{00000000-0005-0000-0000-0000C7100000}"/>
    <cellStyle name="Normal 2 4 5 6 2 2" xfId="7667" xr:uid="{00000000-0005-0000-0000-0000C8100000}"/>
    <cellStyle name="Normal 2 4 5 6 2 2 2" xfId="16109" xr:uid="{670B38DE-606E-44A9-9D7B-5E08091A3CBF}"/>
    <cellStyle name="Normal 2 4 5 6 2 2 3" xfId="24549" xr:uid="{CAD1EC6C-60C7-4AE6-AB36-D36031FDD50E}"/>
    <cellStyle name="Normal 2 4 5 6 2 3" xfId="11891" xr:uid="{2C766F36-7CAB-4ABA-A118-6263AD56F454}"/>
    <cellStyle name="Normal 2 4 5 6 2 4" xfId="20332" xr:uid="{CB7D3EA7-6A3A-42B3-A6A2-35DAFB1FBD7E}"/>
    <cellStyle name="Normal 2 4 5 6 3" xfId="5522" xr:uid="{00000000-0005-0000-0000-0000C9100000}"/>
    <cellStyle name="Normal 2 4 5 6 3 2" xfId="13964" xr:uid="{5C7D36BD-14CB-483D-8EA5-3BA59D36CC64}"/>
    <cellStyle name="Normal 2 4 5 6 3 3" xfId="22404" xr:uid="{FF43699E-2444-4F49-8016-4A1D288537E5}"/>
    <cellStyle name="Normal 2 4 5 6 4" xfId="9746" xr:uid="{72C111B2-7209-4B22-AF4C-9AF5A5A6BBD6}"/>
    <cellStyle name="Normal 2 4 5 6 5" xfId="18187" xr:uid="{77A6EB5A-078A-4598-AB49-DCE154D043A2}"/>
    <cellStyle name="Normal 2 4 5 7" xfId="1627" xr:uid="{00000000-0005-0000-0000-0000CA100000}"/>
    <cellStyle name="Normal 2 4 5 7 2" xfId="3857" xr:uid="{00000000-0005-0000-0000-0000CB100000}"/>
    <cellStyle name="Normal 2 4 5 7 2 2" xfId="8080" xr:uid="{00000000-0005-0000-0000-0000CC100000}"/>
    <cellStyle name="Normal 2 4 5 7 2 2 2" xfId="16522" xr:uid="{AC1DBF1A-A766-4029-A80D-8EEAD12FEACC}"/>
    <cellStyle name="Normal 2 4 5 7 2 2 3" xfId="24962" xr:uid="{A9DD739C-2500-4538-8CD6-942035292807}"/>
    <cellStyle name="Normal 2 4 5 7 2 3" xfId="12304" xr:uid="{29B00972-8FEA-46E5-8EF4-C9B97E0499D3}"/>
    <cellStyle name="Normal 2 4 5 7 2 4" xfId="20745" xr:uid="{684545BD-49DF-42FD-8B30-FA62A380011F}"/>
    <cellStyle name="Normal 2 4 5 7 3" xfId="5935" xr:uid="{00000000-0005-0000-0000-0000CD100000}"/>
    <cellStyle name="Normal 2 4 5 7 3 2" xfId="14377" xr:uid="{2861A83A-EC4A-4665-80BC-14989C0865F6}"/>
    <cellStyle name="Normal 2 4 5 7 3 3" xfId="22817" xr:uid="{7E56A069-E9B8-431E-B681-5D13022A956B}"/>
    <cellStyle name="Normal 2 4 5 7 4" xfId="10159" xr:uid="{EB88C10C-8F9F-44A0-8F88-2B7C29D2B12A}"/>
    <cellStyle name="Normal 2 4 5 7 5" xfId="18600" xr:uid="{2A042C67-CE47-467F-9C84-95F80635E8B5}"/>
    <cellStyle name="Normal 2 4 5 8" xfId="2041" xr:uid="{00000000-0005-0000-0000-0000CE100000}"/>
    <cellStyle name="Normal 2 4 5 8 2" xfId="4270" xr:uid="{00000000-0005-0000-0000-0000CF100000}"/>
    <cellStyle name="Normal 2 4 5 8 2 2" xfId="8493" xr:uid="{00000000-0005-0000-0000-0000D0100000}"/>
    <cellStyle name="Normal 2 4 5 8 2 2 2" xfId="16935" xr:uid="{74881CB6-BEAD-4EE7-AC14-33AE9B4AF2F0}"/>
    <cellStyle name="Normal 2 4 5 8 2 2 3" xfId="25375" xr:uid="{3EDEF534-7ADF-45C0-ADA2-7358780A1F14}"/>
    <cellStyle name="Normal 2 4 5 8 2 3" xfId="12717" xr:uid="{2838B6CB-A24D-453E-B5D2-74B1867E769A}"/>
    <cellStyle name="Normal 2 4 5 8 2 4" xfId="21158" xr:uid="{F158E893-D91C-4352-87E8-9E8D6C27CFFC}"/>
    <cellStyle name="Normal 2 4 5 8 3" xfId="6348" xr:uid="{00000000-0005-0000-0000-0000D1100000}"/>
    <cellStyle name="Normal 2 4 5 8 3 2" xfId="14790" xr:uid="{05566E21-3C89-4162-A4ED-4429E462FDD0}"/>
    <cellStyle name="Normal 2 4 5 8 3 3" xfId="23230" xr:uid="{F2B10BFC-23D7-4B7F-A415-BDE485F665EA}"/>
    <cellStyle name="Normal 2 4 5 8 4" xfId="10572" xr:uid="{AFBE4880-C5B5-42ED-9D73-FAE1EF0A501D}"/>
    <cellStyle name="Normal 2 4 5 8 5" xfId="19013" xr:uid="{4973F2D5-58BD-44C9-A5CB-92E2B97082B8}"/>
    <cellStyle name="Normal 2 4 5 9" xfId="2477" xr:uid="{00000000-0005-0000-0000-0000D2100000}"/>
    <cellStyle name="Normal 2 4 5 9 2" xfId="6761" xr:uid="{00000000-0005-0000-0000-0000D3100000}"/>
    <cellStyle name="Normal 2 4 5 9 2 2" xfId="15203" xr:uid="{F4931977-31B8-4FD5-8994-CE61E39002E2}"/>
    <cellStyle name="Normal 2 4 5 9 2 3" xfId="23643" xr:uid="{45E6540A-D579-4699-8047-61E814827559}"/>
    <cellStyle name="Normal 2 4 5 9 3" xfId="10985" xr:uid="{B10B2927-A9C9-42D1-AA4D-9513B31E8003}"/>
    <cellStyle name="Normal 2 4 5 9 4" xfId="19426" xr:uid="{085A4103-A5AA-4FF7-92A6-CE88D125BCBF}"/>
    <cellStyle name="Normal 2 4 6" xfId="311" xr:uid="{00000000-0005-0000-0000-0000D4100000}"/>
    <cellStyle name="Normal 2 4 7" xfId="312" xr:uid="{00000000-0005-0000-0000-0000D5100000}"/>
    <cellStyle name="Normal 2 4 7 10" xfId="17368" xr:uid="{851D3C68-FE99-402F-BA53-4C9DE394F315}"/>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15705" xr:uid="{9AB95722-2743-40FE-A53F-E4A8962BB1B9}"/>
    <cellStyle name="Normal 2 4 7 2 2 2 2 3" xfId="24145" xr:uid="{CD9F2210-3653-4778-9D87-33AD725DA5A7}"/>
    <cellStyle name="Normal 2 4 7 2 2 2 3" xfId="11487" xr:uid="{0484F63C-681A-4CB3-8191-0CD562C0B9A3}"/>
    <cellStyle name="Normal 2 4 7 2 2 2 4" xfId="19928" xr:uid="{E8312A2C-35F5-4EA7-88FE-AA9CF4A05ABC}"/>
    <cellStyle name="Normal 2 4 7 2 2 3" xfId="5118" xr:uid="{00000000-0005-0000-0000-0000DA100000}"/>
    <cellStyle name="Normal 2 4 7 2 2 3 2" xfId="13560" xr:uid="{5B9338EE-6649-45D7-A70A-CE273033B8CA}"/>
    <cellStyle name="Normal 2 4 7 2 2 3 3" xfId="22000" xr:uid="{59631756-421B-49F9-ACAF-7BA67C9E4254}"/>
    <cellStyle name="Normal 2 4 7 2 2 4" xfId="9342" xr:uid="{ADD0B129-7681-4700-BE94-790E69B3539A}"/>
    <cellStyle name="Normal 2 4 7 2 2 5" xfId="17783" xr:uid="{1E20A356-0225-4162-A704-5F0D84847BFE}"/>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16118" xr:uid="{90AD7F7D-2339-4D09-AACF-AD3CACF4B6F8}"/>
    <cellStyle name="Normal 2 4 7 2 3 2 2 3" xfId="24558" xr:uid="{2A683AC3-9957-4CAD-ACED-277161B6A7A7}"/>
    <cellStyle name="Normal 2 4 7 2 3 2 3" xfId="11900" xr:uid="{8733C14A-9BC0-47A5-BBE2-1E2765DEBCD3}"/>
    <cellStyle name="Normal 2 4 7 2 3 2 4" xfId="20341" xr:uid="{E09FED20-E0C5-4579-9C1D-AFCCA0A3DECC}"/>
    <cellStyle name="Normal 2 4 7 2 3 3" xfId="5531" xr:uid="{00000000-0005-0000-0000-0000DE100000}"/>
    <cellStyle name="Normal 2 4 7 2 3 3 2" xfId="13973" xr:uid="{9085DCEC-4972-4807-925E-D0C658618C6F}"/>
    <cellStyle name="Normal 2 4 7 2 3 3 3" xfId="22413" xr:uid="{5DA46427-20BC-4F7E-AAF3-BDCF38907772}"/>
    <cellStyle name="Normal 2 4 7 2 3 4" xfId="9755" xr:uid="{E8FF411A-1042-432C-8677-701A7A437E42}"/>
    <cellStyle name="Normal 2 4 7 2 3 5" xfId="18196" xr:uid="{17797884-331D-4F98-A4FA-E1C176A5B9CD}"/>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16531" xr:uid="{B75F2563-0647-4A3E-B634-2C78A6938B7A}"/>
    <cellStyle name="Normal 2 4 7 2 4 2 2 3" xfId="24971" xr:uid="{B22EDB95-B4F8-47E4-B422-AFFF6ED83324}"/>
    <cellStyle name="Normal 2 4 7 2 4 2 3" xfId="12313" xr:uid="{C4D9D087-0E02-4307-B714-80B1D33181A4}"/>
    <cellStyle name="Normal 2 4 7 2 4 2 4" xfId="20754" xr:uid="{BB08DF15-506B-41B2-8970-EA5A23144B57}"/>
    <cellStyle name="Normal 2 4 7 2 4 3" xfId="5944" xr:uid="{00000000-0005-0000-0000-0000E2100000}"/>
    <cellStyle name="Normal 2 4 7 2 4 3 2" xfId="14386" xr:uid="{A78C4036-8746-4010-9FF2-E251F5421086}"/>
    <cellStyle name="Normal 2 4 7 2 4 3 3" xfId="22826" xr:uid="{373E7F16-1535-474D-AC84-027048491DBD}"/>
    <cellStyle name="Normal 2 4 7 2 4 4" xfId="10168" xr:uid="{0F0D106E-BEBF-4C47-91E6-CC126DBE80C5}"/>
    <cellStyle name="Normal 2 4 7 2 4 5" xfId="18609" xr:uid="{CD293EA2-15F1-420D-BE2A-E3337CC85758}"/>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16944" xr:uid="{EEC2A401-55FC-4874-A58F-06D933D80B23}"/>
    <cellStyle name="Normal 2 4 7 2 5 2 2 3" xfId="25384" xr:uid="{9247F9E4-E29D-4639-90A5-1B26CAFFA582}"/>
    <cellStyle name="Normal 2 4 7 2 5 2 3" xfId="12726" xr:uid="{C0C890A9-23B0-4719-9B79-CC6728EB0527}"/>
    <cellStyle name="Normal 2 4 7 2 5 2 4" xfId="21167" xr:uid="{009C7AB6-DF81-4EF8-ACDD-7462BB9DB51A}"/>
    <cellStyle name="Normal 2 4 7 2 5 3" xfId="6357" xr:uid="{00000000-0005-0000-0000-0000E6100000}"/>
    <cellStyle name="Normal 2 4 7 2 5 3 2" xfId="14799" xr:uid="{16C3C441-5289-43D1-887D-C861932A767E}"/>
    <cellStyle name="Normal 2 4 7 2 5 3 3" xfId="23239" xr:uid="{925033DC-ABB2-4754-867B-02BC215C1F1F}"/>
    <cellStyle name="Normal 2 4 7 2 5 4" xfId="10581" xr:uid="{561CEB26-6BD4-4E65-A951-DEB49D694A51}"/>
    <cellStyle name="Normal 2 4 7 2 5 5" xfId="19022" xr:uid="{43017797-F287-41D9-A7EA-A4A2ACCBF3E4}"/>
    <cellStyle name="Normal 2 4 7 2 6" xfId="2486" xr:uid="{00000000-0005-0000-0000-0000E7100000}"/>
    <cellStyle name="Normal 2 4 7 2 6 2" xfId="6770" xr:uid="{00000000-0005-0000-0000-0000E8100000}"/>
    <cellStyle name="Normal 2 4 7 2 6 2 2" xfId="15212" xr:uid="{BCC4E492-24A9-460D-ACF1-C633127E8DF4}"/>
    <cellStyle name="Normal 2 4 7 2 6 2 3" xfId="23652" xr:uid="{01810C17-4B31-4E65-B212-81614C3E87DC}"/>
    <cellStyle name="Normal 2 4 7 2 6 3" xfId="10994" xr:uid="{6BC2324B-9604-4E5A-AE5E-2FA4D39F525F}"/>
    <cellStyle name="Normal 2 4 7 2 6 4" xfId="19435" xr:uid="{38937299-EC30-4F1D-9F43-3ECC9DF74F6F}"/>
    <cellStyle name="Normal 2 4 7 2 7" xfId="4704" xr:uid="{00000000-0005-0000-0000-0000E9100000}"/>
    <cellStyle name="Normal 2 4 7 2 7 2" xfId="13146" xr:uid="{71405895-60A5-44BC-A450-C79BF718E425}"/>
    <cellStyle name="Normal 2 4 7 2 7 3" xfId="21586" xr:uid="{39CB9F14-FE38-4158-9DA2-8318C2EB183F}"/>
    <cellStyle name="Normal 2 4 7 2 8" xfId="8928" xr:uid="{D8A2C360-75DD-4E31-BF98-C65E764188EA}"/>
    <cellStyle name="Normal 2 4 7 2 9" xfId="17369" xr:uid="{B84590DF-1641-4F23-A5F0-ADF2AD536692}"/>
    <cellStyle name="Normal 2 4 7 3" xfId="800" xr:uid="{00000000-0005-0000-0000-0000EA100000}"/>
    <cellStyle name="Normal 2 4 7 3 2" xfId="3039" xr:uid="{00000000-0005-0000-0000-0000EB100000}"/>
    <cellStyle name="Normal 2 4 7 3 2 2" xfId="7262" xr:uid="{00000000-0005-0000-0000-0000EC100000}"/>
    <cellStyle name="Normal 2 4 7 3 2 2 2" xfId="15704" xr:uid="{5842FFF8-BA59-48E1-B058-421A3090630C}"/>
    <cellStyle name="Normal 2 4 7 3 2 2 3" xfId="24144" xr:uid="{D37A39DF-E024-4F47-BF88-36B480FC08D4}"/>
    <cellStyle name="Normal 2 4 7 3 2 3" xfId="11486" xr:uid="{3A5987A9-8591-44C9-8932-D7F66C6E787B}"/>
    <cellStyle name="Normal 2 4 7 3 2 4" xfId="19927" xr:uid="{31D071C9-A767-431A-8509-BB098FFEEE1E}"/>
    <cellStyle name="Normal 2 4 7 3 3" xfId="5117" xr:uid="{00000000-0005-0000-0000-0000ED100000}"/>
    <cellStyle name="Normal 2 4 7 3 3 2" xfId="13559" xr:uid="{27E9228D-C0B8-40F9-9357-243A196C2D9B}"/>
    <cellStyle name="Normal 2 4 7 3 3 3" xfId="21999" xr:uid="{6CAAD680-EFC3-4766-8AFD-B964E4FF3BA6}"/>
    <cellStyle name="Normal 2 4 7 3 4" xfId="9341" xr:uid="{0D364E14-881C-40B8-90CA-C1C191A91044}"/>
    <cellStyle name="Normal 2 4 7 3 5" xfId="17782" xr:uid="{787A0936-52FF-4E9F-BA16-6E87DE49AAE0}"/>
    <cellStyle name="Normal 2 4 7 4" xfId="1222" xr:uid="{00000000-0005-0000-0000-0000EE100000}"/>
    <cellStyle name="Normal 2 4 7 4 2" xfId="3452" xr:uid="{00000000-0005-0000-0000-0000EF100000}"/>
    <cellStyle name="Normal 2 4 7 4 2 2" xfId="7675" xr:uid="{00000000-0005-0000-0000-0000F0100000}"/>
    <cellStyle name="Normal 2 4 7 4 2 2 2" xfId="16117" xr:uid="{9D43452F-F7DB-4040-BBE7-AE7C8078E2E6}"/>
    <cellStyle name="Normal 2 4 7 4 2 2 3" xfId="24557" xr:uid="{E32C54EB-C6F9-43F4-A3E5-A2F7FA8CFCD2}"/>
    <cellStyle name="Normal 2 4 7 4 2 3" xfId="11899" xr:uid="{07FE515D-C709-468C-8CC9-616C5C820D5D}"/>
    <cellStyle name="Normal 2 4 7 4 2 4" xfId="20340" xr:uid="{2025DEA2-DBBD-4D2A-BFC1-BD61731A0FCF}"/>
    <cellStyle name="Normal 2 4 7 4 3" xfId="5530" xr:uid="{00000000-0005-0000-0000-0000F1100000}"/>
    <cellStyle name="Normal 2 4 7 4 3 2" xfId="13972" xr:uid="{A0CA6290-C45C-4E17-8B00-628BCE1A2875}"/>
    <cellStyle name="Normal 2 4 7 4 3 3" xfId="22412" xr:uid="{FD849233-3CA4-4391-9C17-9EB99D442FC1}"/>
    <cellStyle name="Normal 2 4 7 4 4" xfId="9754" xr:uid="{50DFE83F-7F28-42D1-AA3C-AE24E9E8922A}"/>
    <cellStyle name="Normal 2 4 7 4 5" xfId="18195" xr:uid="{4192175F-F9E8-4428-A5D6-CE7DD66DB217}"/>
    <cellStyle name="Normal 2 4 7 5" xfId="1635" xr:uid="{00000000-0005-0000-0000-0000F2100000}"/>
    <cellStyle name="Normal 2 4 7 5 2" xfId="3865" xr:uid="{00000000-0005-0000-0000-0000F3100000}"/>
    <cellStyle name="Normal 2 4 7 5 2 2" xfId="8088" xr:uid="{00000000-0005-0000-0000-0000F4100000}"/>
    <cellStyle name="Normal 2 4 7 5 2 2 2" xfId="16530" xr:uid="{56219E89-31B9-47AC-A43C-078E506B5F6A}"/>
    <cellStyle name="Normal 2 4 7 5 2 2 3" xfId="24970" xr:uid="{FB7F4BB9-E40D-49F0-8F44-2B1126B1545F}"/>
    <cellStyle name="Normal 2 4 7 5 2 3" xfId="12312" xr:uid="{CC44ACBB-2ED3-4873-BAC6-A46AECA528DB}"/>
    <cellStyle name="Normal 2 4 7 5 2 4" xfId="20753" xr:uid="{115A534A-119D-4B7F-8973-522A784B2FEB}"/>
    <cellStyle name="Normal 2 4 7 5 3" xfId="5943" xr:uid="{00000000-0005-0000-0000-0000F5100000}"/>
    <cellStyle name="Normal 2 4 7 5 3 2" xfId="14385" xr:uid="{D08E3D83-F973-45C7-8A91-0FE618F92FEA}"/>
    <cellStyle name="Normal 2 4 7 5 3 3" xfId="22825" xr:uid="{379D23A9-E0C0-4AA0-A51A-3C56F17C85B6}"/>
    <cellStyle name="Normal 2 4 7 5 4" xfId="10167" xr:uid="{A1E7A5DD-8ECC-4A65-BC98-5C69E3216D58}"/>
    <cellStyle name="Normal 2 4 7 5 5" xfId="18608" xr:uid="{99FB5C40-C915-473A-AA8A-38868A827B5C}"/>
    <cellStyle name="Normal 2 4 7 6" xfId="2049" xr:uid="{00000000-0005-0000-0000-0000F6100000}"/>
    <cellStyle name="Normal 2 4 7 6 2" xfId="4278" xr:uid="{00000000-0005-0000-0000-0000F7100000}"/>
    <cellStyle name="Normal 2 4 7 6 2 2" xfId="8501" xr:uid="{00000000-0005-0000-0000-0000F8100000}"/>
    <cellStyle name="Normal 2 4 7 6 2 2 2" xfId="16943" xr:uid="{A1E94F30-28DB-4A38-B1F3-E8F90744D2C0}"/>
    <cellStyle name="Normal 2 4 7 6 2 2 3" xfId="25383" xr:uid="{25897794-C6DB-4FF4-988A-60C926F5D993}"/>
    <cellStyle name="Normal 2 4 7 6 2 3" xfId="12725" xr:uid="{8A21D745-EDA2-4B3B-B88A-968DBCB11F04}"/>
    <cellStyle name="Normal 2 4 7 6 2 4" xfId="21166" xr:uid="{A86376BB-4C68-4045-B5CF-712E4659FF26}"/>
    <cellStyle name="Normal 2 4 7 6 3" xfId="6356" xr:uid="{00000000-0005-0000-0000-0000F9100000}"/>
    <cellStyle name="Normal 2 4 7 6 3 2" xfId="14798" xr:uid="{429D7207-8B22-423E-88C8-BC948BFF3BC0}"/>
    <cellStyle name="Normal 2 4 7 6 3 3" xfId="23238" xr:uid="{55455CF6-F7D1-403B-96BC-142CB3CC0BCF}"/>
    <cellStyle name="Normal 2 4 7 6 4" xfId="10580" xr:uid="{C4D56896-B653-4058-8FF8-5811DDEC4B23}"/>
    <cellStyle name="Normal 2 4 7 6 5" xfId="19021" xr:uid="{3313BECE-72B2-404D-8097-F0EDD286E836}"/>
    <cellStyle name="Normal 2 4 7 7" xfId="2485" xr:uid="{00000000-0005-0000-0000-0000FA100000}"/>
    <cellStyle name="Normal 2 4 7 7 2" xfId="6769" xr:uid="{00000000-0005-0000-0000-0000FB100000}"/>
    <cellStyle name="Normal 2 4 7 7 2 2" xfId="15211" xr:uid="{73DAB1F8-23E8-46C0-88DD-8B65CE09D0EE}"/>
    <cellStyle name="Normal 2 4 7 7 2 3" xfId="23651" xr:uid="{90F33C82-150D-40FA-B8CB-D30DC09988AD}"/>
    <cellStyle name="Normal 2 4 7 7 3" xfId="10993" xr:uid="{AC655026-4038-4CD0-BCEB-A9BD32B7BA12}"/>
    <cellStyle name="Normal 2 4 7 7 4" xfId="19434" xr:uid="{F2FA70D3-D849-4B3D-9F59-555155438CCD}"/>
    <cellStyle name="Normal 2 4 7 8" xfId="4703" xr:uid="{00000000-0005-0000-0000-0000FC100000}"/>
    <cellStyle name="Normal 2 4 7 8 2" xfId="13145" xr:uid="{24287D66-F4A2-472A-9A75-8800E2E53CBC}"/>
    <cellStyle name="Normal 2 4 7 8 3" xfId="21585" xr:uid="{23A16BC7-73DD-42A2-A8CB-34DE379F8D8F}"/>
    <cellStyle name="Normal 2 4 7 9" xfId="8927" xr:uid="{8AD9EE94-C954-4C8E-B38C-BA97B4DF1835}"/>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2 2 2" xfId="15706" xr:uid="{8C25718D-C962-43E2-A70C-71C449004E14}"/>
    <cellStyle name="Normal 2 4 8 2 2 2 3" xfId="24146" xr:uid="{49F5019F-9074-4882-B8D5-504B11BA234C}"/>
    <cellStyle name="Normal 2 4 8 2 2 3" xfId="11488" xr:uid="{F6C8D65E-C9D0-46AE-8E06-6869C5904B74}"/>
    <cellStyle name="Normal 2 4 8 2 2 4" xfId="19929" xr:uid="{7F857C79-B278-4B29-AA3E-74CE36BA5F79}"/>
    <cellStyle name="Normal 2 4 8 2 3" xfId="5119" xr:uid="{00000000-0005-0000-0000-000001110000}"/>
    <cellStyle name="Normal 2 4 8 2 3 2" xfId="13561" xr:uid="{EC75603F-DA53-4CFA-B839-D0723F8179E0}"/>
    <cellStyle name="Normal 2 4 8 2 3 3" xfId="22001" xr:uid="{2A81BF18-B3FA-4E18-8297-87AC3674365A}"/>
    <cellStyle name="Normal 2 4 8 2 4" xfId="9343" xr:uid="{EEC451F6-C037-4B2B-8A30-0B02BBB3BBA2}"/>
    <cellStyle name="Normal 2 4 8 2 5" xfId="17784" xr:uid="{7856672C-F7D3-45BF-92B2-39EFF0F2922B}"/>
    <cellStyle name="Normal 2 4 8 3" xfId="1224" xr:uid="{00000000-0005-0000-0000-000002110000}"/>
    <cellStyle name="Normal 2 4 8 3 2" xfId="3454" xr:uid="{00000000-0005-0000-0000-000003110000}"/>
    <cellStyle name="Normal 2 4 8 3 2 2" xfId="7677" xr:uid="{00000000-0005-0000-0000-000004110000}"/>
    <cellStyle name="Normal 2 4 8 3 2 2 2" xfId="16119" xr:uid="{F7B76852-E00A-48DE-9206-A391928DE5D2}"/>
    <cellStyle name="Normal 2 4 8 3 2 2 3" xfId="24559" xr:uid="{D265B44B-AFF8-4A22-BBBD-A81AAC6AC500}"/>
    <cellStyle name="Normal 2 4 8 3 2 3" xfId="11901" xr:uid="{85A6B9E8-0368-4548-8335-023A92301F6F}"/>
    <cellStyle name="Normal 2 4 8 3 2 4" xfId="20342" xr:uid="{CF5C150E-F9F6-48BE-BDD4-C3CC0FE3E1D4}"/>
    <cellStyle name="Normal 2 4 8 3 3" xfId="5532" xr:uid="{00000000-0005-0000-0000-000005110000}"/>
    <cellStyle name="Normal 2 4 8 3 3 2" xfId="13974" xr:uid="{85169D65-242D-4992-9784-7831C768AF0B}"/>
    <cellStyle name="Normal 2 4 8 3 3 3" xfId="22414" xr:uid="{080F3E4B-8A58-4546-8049-DF00216E4C0E}"/>
    <cellStyle name="Normal 2 4 8 3 4" xfId="9756" xr:uid="{B6413004-107C-441E-96D2-004732C1BF5F}"/>
    <cellStyle name="Normal 2 4 8 3 5" xfId="18197" xr:uid="{CC772502-345C-42C3-A842-5B3E9C67739E}"/>
    <cellStyle name="Normal 2 4 8 4" xfId="1637" xr:uid="{00000000-0005-0000-0000-000006110000}"/>
    <cellStyle name="Normal 2 4 8 4 2" xfId="3867" xr:uid="{00000000-0005-0000-0000-000007110000}"/>
    <cellStyle name="Normal 2 4 8 4 2 2" xfId="8090" xr:uid="{00000000-0005-0000-0000-000008110000}"/>
    <cellStyle name="Normal 2 4 8 4 2 2 2" xfId="16532" xr:uid="{4CFE2A3E-8CB7-4795-88FA-969B72DD4CE9}"/>
    <cellStyle name="Normal 2 4 8 4 2 2 3" xfId="24972" xr:uid="{B9ABEAC8-7E3B-41C1-833E-7B9814CA809D}"/>
    <cellStyle name="Normal 2 4 8 4 2 3" xfId="12314" xr:uid="{699B72C1-4804-47A8-AB21-6D5BF9D86BF2}"/>
    <cellStyle name="Normal 2 4 8 4 2 4" xfId="20755" xr:uid="{AFB7C708-73CE-4EB4-8E92-9DA48631A4DC}"/>
    <cellStyle name="Normal 2 4 8 4 3" xfId="5945" xr:uid="{00000000-0005-0000-0000-000009110000}"/>
    <cellStyle name="Normal 2 4 8 4 3 2" xfId="14387" xr:uid="{35A75857-000E-433C-AD61-939D173AC871}"/>
    <cellStyle name="Normal 2 4 8 4 3 3" xfId="22827" xr:uid="{1A547CBF-9AE8-4E67-BBC9-2CC58480B9F5}"/>
    <cellStyle name="Normal 2 4 8 4 4" xfId="10169" xr:uid="{8E541BD6-6AA2-41DF-AF9F-B8BBC5B3B86D}"/>
    <cellStyle name="Normal 2 4 8 4 5" xfId="18610" xr:uid="{7642A041-5448-4C9C-8B5C-ED614C2A850E}"/>
    <cellStyle name="Normal 2 4 8 5" xfId="2051" xr:uid="{00000000-0005-0000-0000-00000A110000}"/>
    <cellStyle name="Normal 2 4 8 5 2" xfId="4280" xr:uid="{00000000-0005-0000-0000-00000B110000}"/>
    <cellStyle name="Normal 2 4 8 5 2 2" xfId="8503" xr:uid="{00000000-0005-0000-0000-00000C110000}"/>
    <cellStyle name="Normal 2 4 8 5 2 2 2" xfId="16945" xr:uid="{961F398A-B43D-46B3-B84B-144ADA57D240}"/>
    <cellStyle name="Normal 2 4 8 5 2 2 3" xfId="25385" xr:uid="{B8EA35F0-A866-4BDF-A320-734A3E4F3135}"/>
    <cellStyle name="Normal 2 4 8 5 2 3" xfId="12727" xr:uid="{3C07B089-E51B-42FA-8FC3-30EC31017F9B}"/>
    <cellStyle name="Normal 2 4 8 5 2 4" xfId="21168" xr:uid="{304D1DF5-7782-4759-ABE1-6E2CF0B06FAD}"/>
    <cellStyle name="Normal 2 4 8 5 3" xfId="6358" xr:uid="{00000000-0005-0000-0000-00000D110000}"/>
    <cellStyle name="Normal 2 4 8 5 3 2" xfId="14800" xr:uid="{32DD20E4-0855-40CC-A302-3FBA023FE23E}"/>
    <cellStyle name="Normal 2 4 8 5 3 3" xfId="23240" xr:uid="{2A630544-2161-4464-AF9A-73A84F7F1AF5}"/>
    <cellStyle name="Normal 2 4 8 5 4" xfId="10582" xr:uid="{9BBB3636-1216-46F3-B6EF-B6CFB9056DD1}"/>
    <cellStyle name="Normal 2 4 8 5 5" xfId="19023" xr:uid="{19624CE6-74D8-43AB-AC09-110CBCA546F8}"/>
    <cellStyle name="Normal 2 4 8 6" xfId="2487" xr:uid="{00000000-0005-0000-0000-00000E110000}"/>
    <cellStyle name="Normal 2 4 8 6 2" xfId="6771" xr:uid="{00000000-0005-0000-0000-00000F110000}"/>
    <cellStyle name="Normal 2 4 8 6 2 2" xfId="15213" xr:uid="{7EE59771-DFEB-4518-9B57-C7D7C5DF9536}"/>
    <cellStyle name="Normal 2 4 8 6 2 3" xfId="23653" xr:uid="{00713397-79A9-4DE7-9D3D-AF7D37EE2D22}"/>
    <cellStyle name="Normal 2 4 8 6 3" xfId="10995" xr:uid="{2E40DFA9-DE05-4992-91D7-B2C72CB6A72D}"/>
    <cellStyle name="Normal 2 4 8 6 4" xfId="19436" xr:uid="{7DB7E42F-EEFA-45A7-A389-94E908E06BEE}"/>
    <cellStyle name="Normal 2 4 8 7" xfId="4705" xr:uid="{00000000-0005-0000-0000-000010110000}"/>
    <cellStyle name="Normal 2 4 8 7 2" xfId="13147" xr:uid="{E9C7C8F1-6191-4354-8BE9-148BC8086E32}"/>
    <cellStyle name="Normal 2 4 8 7 3" xfId="21587" xr:uid="{CDA1FEFC-C0A9-40B9-800B-225BF332D500}"/>
    <cellStyle name="Normal 2 4 8 8" xfId="8929" xr:uid="{F683887B-B6EC-4427-A9CA-78E343A54831}"/>
    <cellStyle name="Normal 2 4 8 9" xfId="17370" xr:uid="{F22217F9-A863-434A-AC74-E748429618A3}"/>
    <cellStyle name="Normal 2 5" xfId="315" xr:uid="{00000000-0005-0000-0000-000011110000}"/>
    <cellStyle name="Normal 2 5 10" xfId="4706" xr:uid="{00000000-0005-0000-0000-000012110000}"/>
    <cellStyle name="Normal 2 5 10 2" xfId="13148" xr:uid="{13449F40-116F-45FC-8D46-8F6D80DB79E0}"/>
    <cellStyle name="Normal 2 5 10 3" xfId="21588" xr:uid="{245C4B23-236E-412B-9C10-82B3767FC4C6}"/>
    <cellStyle name="Normal 2 5 11" xfId="8930" xr:uid="{89B9AC76-499B-4F4F-A63F-3619CD19689B}"/>
    <cellStyle name="Normal 2 5 12" xfId="17371" xr:uid="{37841177-B879-4331-8C0D-74B536E9A3A9}"/>
    <cellStyle name="Normal 2 5 2" xfId="316" xr:uid="{00000000-0005-0000-0000-000013110000}"/>
    <cellStyle name="Normal 2 5 3" xfId="317" xr:uid="{00000000-0005-0000-0000-000014110000}"/>
    <cellStyle name="Normal 2 5 4" xfId="318" xr:uid="{00000000-0005-0000-0000-000015110000}"/>
    <cellStyle name="Normal 2 5 4 10" xfId="8931" xr:uid="{3F58EC47-010A-4181-9DF9-674CE0027E3C}"/>
    <cellStyle name="Normal 2 5 4 11" xfId="17372" xr:uid="{0E971636-9DD0-4DBC-9547-530EDF2F9288}"/>
    <cellStyle name="Normal 2 5 4 2" xfId="319" xr:uid="{00000000-0005-0000-0000-000016110000}"/>
    <cellStyle name="Normal 2 5 4 2 10" xfId="17373" xr:uid="{4445CC12-E256-461E-99F6-5375EDAEBF7C}"/>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15710" xr:uid="{C56E8E4D-7905-4818-823A-3493315A39EB}"/>
    <cellStyle name="Normal 2 5 4 2 2 2 2 2 3" xfId="24150" xr:uid="{EDED6756-5420-41E2-B7EF-93F673E67932}"/>
    <cellStyle name="Normal 2 5 4 2 2 2 2 3" xfId="11492" xr:uid="{38A9FEB6-040B-4ECA-A237-758466CB3E98}"/>
    <cellStyle name="Normal 2 5 4 2 2 2 2 4" xfId="19933" xr:uid="{7A3F1270-CC2E-4053-9A04-898027CAE6EA}"/>
    <cellStyle name="Normal 2 5 4 2 2 2 3" xfId="5123" xr:uid="{00000000-0005-0000-0000-00001B110000}"/>
    <cellStyle name="Normal 2 5 4 2 2 2 3 2" xfId="13565" xr:uid="{07077797-9194-4BA8-8119-430BD95E43E4}"/>
    <cellStyle name="Normal 2 5 4 2 2 2 3 3" xfId="22005" xr:uid="{B893296B-D7D6-408D-B1B6-152FBCD727EE}"/>
    <cellStyle name="Normal 2 5 4 2 2 2 4" xfId="9347" xr:uid="{2A70EF35-F373-478E-9E09-4B2BDD0063C9}"/>
    <cellStyle name="Normal 2 5 4 2 2 2 5" xfId="17788" xr:uid="{E242D8E8-344B-4064-BA70-7366ABE0C511}"/>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16123" xr:uid="{C75DBE7B-B602-4824-9EDA-C370ED36B929}"/>
    <cellStyle name="Normal 2 5 4 2 2 3 2 2 3" xfId="24563" xr:uid="{D2E50447-AAB5-4D35-99DC-2DF366B621C6}"/>
    <cellStyle name="Normal 2 5 4 2 2 3 2 3" xfId="11905" xr:uid="{0CEAD87E-C58B-4652-97B1-EE88CBF631A1}"/>
    <cellStyle name="Normal 2 5 4 2 2 3 2 4" xfId="20346" xr:uid="{BF807104-2FA2-44D7-BC17-8F588C64EC02}"/>
    <cellStyle name="Normal 2 5 4 2 2 3 3" xfId="5536" xr:uid="{00000000-0005-0000-0000-00001F110000}"/>
    <cellStyle name="Normal 2 5 4 2 2 3 3 2" xfId="13978" xr:uid="{CAB0D005-3A66-4125-8503-820D74E30453}"/>
    <cellStyle name="Normal 2 5 4 2 2 3 3 3" xfId="22418" xr:uid="{270C5195-BBD6-4549-89EA-ED13B464D5B9}"/>
    <cellStyle name="Normal 2 5 4 2 2 3 4" xfId="9760" xr:uid="{FA4F71F3-3999-4E9A-93C5-E1AC8146DECF}"/>
    <cellStyle name="Normal 2 5 4 2 2 3 5" xfId="18201" xr:uid="{CE5EACAD-4AD5-44C5-8C44-98CF42E72005}"/>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16536" xr:uid="{88C5E3EB-1CAD-4730-87F2-F3F116B38975}"/>
    <cellStyle name="Normal 2 5 4 2 2 4 2 2 3" xfId="24976" xr:uid="{DE26BDBA-92AE-4131-B31C-1E43C5D85E62}"/>
    <cellStyle name="Normal 2 5 4 2 2 4 2 3" xfId="12318" xr:uid="{93FAA8D6-1B17-4B3E-9A35-0D6CED85F9CF}"/>
    <cellStyle name="Normal 2 5 4 2 2 4 2 4" xfId="20759" xr:uid="{460F9324-CAE9-49B0-B042-5C2794584E18}"/>
    <cellStyle name="Normal 2 5 4 2 2 4 3" xfId="5949" xr:uid="{00000000-0005-0000-0000-000023110000}"/>
    <cellStyle name="Normal 2 5 4 2 2 4 3 2" xfId="14391" xr:uid="{A0C462C4-F851-4BD1-906D-618728397BC0}"/>
    <cellStyle name="Normal 2 5 4 2 2 4 3 3" xfId="22831" xr:uid="{ABE1E1F5-C2FF-4D08-B91A-D62756D8A077}"/>
    <cellStyle name="Normal 2 5 4 2 2 4 4" xfId="10173" xr:uid="{84B9DFDF-E6C8-4773-95D0-4C01CF6CC74A}"/>
    <cellStyle name="Normal 2 5 4 2 2 4 5" xfId="18614" xr:uid="{DE8EC809-A2C7-43D9-86E6-241319FFDBD2}"/>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16949" xr:uid="{298920FC-C3A6-46CB-A253-2736C3E5671C}"/>
    <cellStyle name="Normal 2 5 4 2 2 5 2 2 3" xfId="25389" xr:uid="{D8C6DF93-1990-4A68-814A-F2D2973C9AB2}"/>
    <cellStyle name="Normal 2 5 4 2 2 5 2 3" xfId="12731" xr:uid="{47C60849-0143-4B19-B34C-F82E5276E1BA}"/>
    <cellStyle name="Normal 2 5 4 2 2 5 2 4" xfId="21172" xr:uid="{295D54B2-1B4F-4F1E-9AA6-B1A88FB87CE5}"/>
    <cellStyle name="Normal 2 5 4 2 2 5 3" xfId="6362" xr:uid="{00000000-0005-0000-0000-000027110000}"/>
    <cellStyle name="Normal 2 5 4 2 2 5 3 2" xfId="14804" xr:uid="{FB190C1C-F0DF-4B9D-AF52-23369A2C6475}"/>
    <cellStyle name="Normal 2 5 4 2 2 5 3 3" xfId="23244" xr:uid="{413334DB-A406-4226-879F-FABFFD333648}"/>
    <cellStyle name="Normal 2 5 4 2 2 5 4" xfId="10586" xr:uid="{A0883CB1-DA8D-4C20-B89A-D809229DE563}"/>
    <cellStyle name="Normal 2 5 4 2 2 5 5" xfId="19027" xr:uid="{2148AA94-5A12-44FB-BCF7-83CEC6454B66}"/>
    <cellStyle name="Normal 2 5 4 2 2 6" xfId="2491" xr:uid="{00000000-0005-0000-0000-000028110000}"/>
    <cellStyle name="Normal 2 5 4 2 2 6 2" xfId="6775" xr:uid="{00000000-0005-0000-0000-000029110000}"/>
    <cellStyle name="Normal 2 5 4 2 2 6 2 2" xfId="15217" xr:uid="{14AB4906-881B-4861-97FF-3625B8CB0868}"/>
    <cellStyle name="Normal 2 5 4 2 2 6 2 3" xfId="23657" xr:uid="{FBA552EC-4ACA-4020-A8B9-65FD7E12544A}"/>
    <cellStyle name="Normal 2 5 4 2 2 6 3" xfId="10999" xr:uid="{25A1410E-A853-4C4B-9B5D-660470EF63CA}"/>
    <cellStyle name="Normal 2 5 4 2 2 6 4" xfId="19440" xr:uid="{39DD2B5F-8FCF-4E76-BDDA-DBF70189294C}"/>
    <cellStyle name="Normal 2 5 4 2 2 7" xfId="4709" xr:uid="{00000000-0005-0000-0000-00002A110000}"/>
    <cellStyle name="Normal 2 5 4 2 2 7 2" xfId="13151" xr:uid="{826337FE-4BE5-4358-87BF-743E930C71FA}"/>
    <cellStyle name="Normal 2 5 4 2 2 7 3" xfId="21591" xr:uid="{D85C8B3B-F40C-4BDF-863C-07A000CF9074}"/>
    <cellStyle name="Normal 2 5 4 2 2 8" xfId="8933" xr:uid="{4F2B851A-C553-4D1B-B15F-0EA94B3067EF}"/>
    <cellStyle name="Normal 2 5 4 2 2 9" xfId="17374" xr:uid="{7F3F33BB-2E4E-43C6-B8F0-C189FDBAE311}"/>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15709" xr:uid="{6E5EEE81-089B-41D6-82D4-639315DAE938}"/>
    <cellStyle name="Normal 2 5 4 2 3 2 2 3" xfId="24149" xr:uid="{27C9CC99-E7D0-48D0-A41A-70F8F912FA23}"/>
    <cellStyle name="Normal 2 5 4 2 3 2 3" xfId="11491" xr:uid="{EFDE6056-2DDA-44A3-95FA-98589403C547}"/>
    <cellStyle name="Normal 2 5 4 2 3 2 4" xfId="19932" xr:uid="{EFEB487D-22CA-45C4-9F7F-3C7A631319A6}"/>
    <cellStyle name="Normal 2 5 4 2 3 3" xfId="5122" xr:uid="{00000000-0005-0000-0000-00002E110000}"/>
    <cellStyle name="Normal 2 5 4 2 3 3 2" xfId="13564" xr:uid="{D9AD2E05-9DF4-4A5E-8830-B62337628819}"/>
    <cellStyle name="Normal 2 5 4 2 3 3 3" xfId="22004" xr:uid="{F39885FA-DD95-4F6E-80DE-A06529BDA941}"/>
    <cellStyle name="Normal 2 5 4 2 3 4" xfId="9346" xr:uid="{B17BF556-2E18-40CA-907B-3009F88C297F}"/>
    <cellStyle name="Normal 2 5 4 2 3 5" xfId="17787" xr:uid="{10887EA7-2383-47D1-8156-4DFF5A76FFC2}"/>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16122" xr:uid="{8C80807F-5051-44EA-BE13-50FA011ABC17}"/>
    <cellStyle name="Normal 2 5 4 2 4 2 2 3" xfId="24562" xr:uid="{63E98630-01F6-4D03-8035-D4A279A8DB14}"/>
    <cellStyle name="Normal 2 5 4 2 4 2 3" xfId="11904" xr:uid="{1998AFD8-D516-4368-A22B-E5F4F9912466}"/>
    <cellStyle name="Normal 2 5 4 2 4 2 4" xfId="20345" xr:uid="{D46DFB49-1ED6-4557-A8D9-E2054BD93049}"/>
    <cellStyle name="Normal 2 5 4 2 4 3" xfId="5535" xr:uid="{00000000-0005-0000-0000-000032110000}"/>
    <cellStyle name="Normal 2 5 4 2 4 3 2" xfId="13977" xr:uid="{28B46A03-5C4A-4442-8D21-52F8BA241EEF}"/>
    <cellStyle name="Normal 2 5 4 2 4 3 3" xfId="22417" xr:uid="{71AF740C-BE9C-411B-9D64-6407F6917E38}"/>
    <cellStyle name="Normal 2 5 4 2 4 4" xfId="9759" xr:uid="{A93412A0-A9AD-4B8E-9309-4191FDDE6DC6}"/>
    <cellStyle name="Normal 2 5 4 2 4 5" xfId="18200" xr:uid="{406B60D3-7444-4E7C-85D9-58B628507545}"/>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16535" xr:uid="{216E0250-C8D9-4DAF-88AE-D7D82EAB40CF}"/>
    <cellStyle name="Normal 2 5 4 2 5 2 2 3" xfId="24975" xr:uid="{40B7EDA9-EFFC-4205-9141-0BD1C8BD5597}"/>
    <cellStyle name="Normal 2 5 4 2 5 2 3" xfId="12317" xr:uid="{0DA783DD-7ABB-498C-9F5E-28D609E9AED0}"/>
    <cellStyle name="Normal 2 5 4 2 5 2 4" xfId="20758" xr:uid="{786D46D9-AE19-475A-9385-29A1301CE928}"/>
    <cellStyle name="Normal 2 5 4 2 5 3" xfId="5948" xr:uid="{00000000-0005-0000-0000-000036110000}"/>
    <cellStyle name="Normal 2 5 4 2 5 3 2" xfId="14390" xr:uid="{BD77E21A-B06D-4F1C-B97B-2C48F7F4BD69}"/>
    <cellStyle name="Normal 2 5 4 2 5 3 3" xfId="22830" xr:uid="{AE98EBD0-1056-4297-AACD-A7BA742EE942}"/>
    <cellStyle name="Normal 2 5 4 2 5 4" xfId="10172" xr:uid="{FEB7CFBD-943E-4D88-BB57-7159A66782A0}"/>
    <cellStyle name="Normal 2 5 4 2 5 5" xfId="18613" xr:uid="{011F160B-9699-4C45-8F51-839E0FEF052C}"/>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16948" xr:uid="{E9D5DB63-DAC6-4FF8-80B0-0BB14C236DD0}"/>
    <cellStyle name="Normal 2 5 4 2 6 2 2 3" xfId="25388" xr:uid="{EE81E685-6CF8-4D20-82DC-BE7FD436EDF2}"/>
    <cellStyle name="Normal 2 5 4 2 6 2 3" xfId="12730" xr:uid="{B40CA9B3-8B03-4C87-A121-D21D916A1206}"/>
    <cellStyle name="Normal 2 5 4 2 6 2 4" xfId="21171" xr:uid="{3DF14D4E-455F-4354-8520-E6965D6713DB}"/>
    <cellStyle name="Normal 2 5 4 2 6 3" xfId="6361" xr:uid="{00000000-0005-0000-0000-00003A110000}"/>
    <cellStyle name="Normal 2 5 4 2 6 3 2" xfId="14803" xr:uid="{A12A3A5E-AB1C-4494-93D0-69CBE69A3C16}"/>
    <cellStyle name="Normal 2 5 4 2 6 3 3" xfId="23243" xr:uid="{FD9E0BDD-6778-4DC3-BAA6-0FD32201E59C}"/>
    <cellStyle name="Normal 2 5 4 2 6 4" xfId="10585" xr:uid="{9029131F-12DA-49FB-9CB0-61DA1C6949DF}"/>
    <cellStyle name="Normal 2 5 4 2 6 5" xfId="19026" xr:uid="{322978E4-2F05-442F-A9E6-76EFF67699B3}"/>
    <cellStyle name="Normal 2 5 4 2 7" xfId="2490" xr:uid="{00000000-0005-0000-0000-00003B110000}"/>
    <cellStyle name="Normal 2 5 4 2 7 2" xfId="6774" xr:uid="{00000000-0005-0000-0000-00003C110000}"/>
    <cellStyle name="Normal 2 5 4 2 7 2 2" xfId="15216" xr:uid="{AA4F6B06-03A0-4307-B53D-FF8B235500E8}"/>
    <cellStyle name="Normal 2 5 4 2 7 2 3" xfId="23656" xr:uid="{B48D15FA-B3CB-4EC2-9CB7-CD749AACF8D8}"/>
    <cellStyle name="Normal 2 5 4 2 7 3" xfId="10998" xr:uid="{6A48946F-5BA1-46D0-ADB9-2E0123A6AA01}"/>
    <cellStyle name="Normal 2 5 4 2 7 4" xfId="19439" xr:uid="{C9177D3E-4AB2-488E-9AC6-9DF50C8A4AA3}"/>
    <cellStyle name="Normal 2 5 4 2 8" xfId="4708" xr:uid="{00000000-0005-0000-0000-00003D110000}"/>
    <cellStyle name="Normal 2 5 4 2 8 2" xfId="13150" xr:uid="{FE1222F8-BF2E-4AD3-861B-88E86527F5A8}"/>
    <cellStyle name="Normal 2 5 4 2 8 3" xfId="21590" xr:uid="{ED4EBD0E-8AF3-49D1-AAD9-FBD0B9C7C9F7}"/>
    <cellStyle name="Normal 2 5 4 2 9" xfId="8932" xr:uid="{63BF5D6A-20C9-4B66-94AA-7E79DFBFD258}"/>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15711" xr:uid="{67A703BE-5621-4046-934C-456DD648AF35}"/>
    <cellStyle name="Normal 2 5 4 3 2 2 2 3" xfId="24151" xr:uid="{BCF78EA2-B266-486C-8343-9386043644B2}"/>
    <cellStyle name="Normal 2 5 4 3 2 2 3" xfId="11493" xr:uid="{D1B047F9-CC34-4F88-B864-822EC0D5207F}"/>
    <cellStyle name="Normal 2 5 4 3 2 2 4" xfId="19934" xr:uid="{878B9990-8CE2-44D0-9E2C-8645A0CB750F}"/>
    <cellStyle name="Normal 2 5 4 3 2 3" xfId="5124" xr:uid="{00000000-0005-0000-0000-000042110000}"/>
    <cellStyle name="Normal 2 5 4 3 2 3 2" xfId="13566" xr:uid="{6C325FEE-DAB6-4CCF-B26C-7C353B0F299D}"/>
    <cellStyle name="Normal 2 5 4 3 2 3 3" xfId="22006" xr:uid="{89942928-F173-44CB-B24B-7B2CE3B49E00}"/>
    <cellStyle name="Normal 2 5 4 3 2 4" xfId="9348" xr:uid="{ABE05A60-628C-413D-BE11-A887B1515F66}"/>
    <cellStyle name="Normal 2 5 4 3 2 5" xfId="17789" xr:uid="{F2B8522B-B22F-46CB-878C-4205BCCB1C57}"/>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16124" xr:uid="{C2581196-7B43-4E6F-8DC9-650932E8198F}"/>
    <cellStyle name="Normal 2 5 4 3 3 2 2 3" xfId="24564" xr:uid="{A8B3C621-5056-4E7E-AFC0-81C4B9909712}"/>
    <cellStyle name="Normal 2 5 4 3 3 2 3" xfId="11906" xr:uid="{23454FF4-4BF5-4535-8D61-EA176B986AAB}"/>
    <cellStyle name="Normal 2 5 4 3 3 2 4" xfId="20347" xr:uid="{A213483C-A2A8-415C-ADE9-3CC5E6481F8C}"/>
    <cellStyle name="Normal 2 5 4 3 3 3" xfId="5537" xr:uid="{00000000-0005-0000-0000-000046110000}"/>
    <cellStyle name="Normal 2 5 4 3 3 3 2" xfId="13979" xr:uid="{1F7D1A99-FED7-477A-B1EA-6CEE1649FFE5}"/>
    <cellStyle name="Normal 2 5 4 3 3 3 3" xfId="22419" xr:uid="{7FA819D4-5C0A-404E-A36C-A5B733AF39A3}"/>
    <cellStyle name="Normal 2 5 4 3 3 4" xfId="9761" xr:uid="{66407C1B-0C5A-4844-831F-6E8D0401B53A}"/>
    <cellStyle name="Normal 2 5 4 3 3 5" xfId="18202" xr:uid="{5838D269-83BF-4EC5-928C-10DFF4DADA56}"/>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16537" xr:uid="{6AC030C7-090C-4EC4-9446-8A28CAD81C5B}"/>
    <cellStyle name="Normal 2 5 4 3 4 2 2 3" xfId="24977" xr:uid="{5E6F6202-F242-4C72-BC67-98F4393FBD9F}"/>
    <cellStyle name="Normal 2 5 4 3 4 2 3" xfId="12319" xr:uid="{F287F194-7119-45A1-B532-BEE690AB4395}"/>
    <cellStyle name="Normal 2 5 4 3 4 2 4" xfId="20760" xr:uid="{8EBE0793-D94A-46DA-AFF1-688C61780420}"/>
    <cellStyle name="Normal 2 5 4 3 4 3" xfId="5950" xr:uid="{00000000-0005-0000-0000-00004A110000}"/>
    <cellStyle name="Normal 2 5 4 3 4 3 2" xfId="14392" xr:uid="{81CB183B-4BA9-491B-8906-DC3FEDC26DE1}"/>
    <cellStyle name="Normal 2 5 4 3 4 3 3" xfId="22832" xr:uid="{48D0FCBB-DB8A-4FDE-8AE0-123EC23E24B0}"/>
    <cellStyle name="Normal 2 5 4 3 4 4" xfId="10174" xr:uid="{56FB4282-A657-4995-9E43-21576B8E5E1C}"/>
    <cellStyle name="Normal 2 5 4 3 4 5" xfId="18615" xr:uid="{B14EBAC0-D074-4A6A-A8CE-8E8F1C635629}"/>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16950" xr:uid="{B2EFF74F-DB00-4BB2-A996-A0F108D31BB9}"/>
    <cellStyle name="Normal 2 5 4 3 5 2 2 3" xfId="25390" xr:uid="{856E27E6-E84F-4385-B321-8408D160473A}"/>
    <cellStyle name="Normal 2 5 4 3 5 2 3" xfId="12732" xr:uid="{7BA81285-11E6-41FD-8456-9F2C8CD257AD}"/>
    <cellStyle name="Normal 2 5 4 3 5 2 4" xfId="21173" xr:uid="{D240A632-2D6B-4B25-A99C-529D9104F044}"/>
    <cellStyle name="Normal 2 5 4 3 5 3" xfId="6363" xr:uid="{00000000-0005-0000-0000-00004E110000}"/>
    <cellStyle name="Normal 2 5 4 3 5 3 2" xfId="14805" xr:uid="{056BAA02-57E7-40FC-8D0C-25590E9AAA4F}"/>
    <cellStyle name="Normal 2 5 4 3 5 3 3" xfId="23245" xr:uid="{453293BD-87EE-4008-8A64-5C7CBF5EE5D6}"/>
    <cellStyle name="Normal 2 5 4 3 5 4" xfId="10587" xr:uid="{33E20928-C05E-4CC8-BAAF-FF58CAE4A09B}"/>
    <cellStyle name="Normal 2 5 4 3 5 5" xfId="19028" xr:uid="{3CEE444B-8596-4179-BF84-4CF3FC198256}"/>
    <cellStyle name="Normal 2 5 4 3 6" xfId="2492" xr:uid="{00000000-0005-0000-0000-00004F110000}"/>
    <cellStyle name="Normal 2 5 4 3 6 2" xfId="6776" xr:uid="{00000000-0005-0000-0000-000050110000}"/>
    <cellStyle name="Normal 2 5 4 3 6 2 2" xfId="15218" xr:uid="{5356E5BD-04E9-4DA0-862C-6ED5DF8D8913}"/>
    <cellStyle name="Normal 2 5 4 3 6 2 3" xfId="23658" xr:uid="{4FC89AF3-0EC3-4195-99C8-A6510C1F57B0}"/>
    <cellStyle name="Normal 2 5 4 3 6 3" xfId="11000" xr:uid="{8B1D1158-3EDB-465A-9CB4-710A7BCB04F3}"/>
    <cellStyle name="Normal 2 5 4 3 6 4" xfId="19441" xr:uid="{177D89DF-3F49-4D3E-A790-0433482B45AE}"/>
    <cellStyle name="Normal 2 5 4 3 7" xfId="4710" xr:uid="{00000000-0005-0000-0000-000051110000}"/>
    <cellStyle name="Normal 2 5 4 3 7 2" xfId="13152" xr:uid="{F280608B-D6F3-491B-B3EB-A0AB84F0660F}"/>
    <cellStyle name="Normal 2 5 4 3 7 3" xfId="21592" xr:uid="{3466546B-41D4-4FD2-B50B-DD1F3D1DCEB4}"/>
    <cellStyle name="Normal 2 5 4 3 8" xfId="8934" xr:uid="{B64C7982-ADC7-4BD2-ACF1-8EDBA750BC2C}"/>
    <cellStyle name="Normal 2 5 4 3 9" xfId="17375" xr:uid="{6C72CFE0-3FCC-4989-BB8B-C6C4ABECD9C9}"/>
    <cellStyle name="Normal 2 5 4 4" xfId="804" xr:uid="{00000000-0005-0000-0000-000052110000}"/>
    <cellStyle name="Normal 2 5 4 4 2" xfId="3043" xr:uid="{00000000-0005-0000-0000-000053110000}"/>
    <cellStyle name="Normal 2 5 4 4 2 2" xfId="7266" xr:uid="{00000000-0005-0000-0000-000054110000}"/>
    <cellStyle name="Normal 2 5 4 4 2 2 2" xfId="15708" xr:uid="{B1E7C53D-E25E-483E-B428-E37702C54BDB}"/>
    <cellStyle name="Normal 2 5 4 4 2 2 3" xfId="24148" xr:uid="{4B084768-E6BB-43F1-A55A-5B2B412C9CCB}"/>
    <cellStyle name="Normal 2 5 4 4 2 3" xfId="11490" xr:uid="{A15907AC-9A88-4C2E-B8C7-7F309397E457}"/>
    <cellStyle name="Normal 2 5 4 4 2 4" xfId="19931" xr:uid="{342CC392-0033-4121-AC33-896D101A6DAE}"/>
    <cellStyle name="Normal 2 5 4 4 3" xfId="5121" xr:uid="{00000000-0005-0000-0000-000055110000}"/>
    <cellStyle name="Normal 2 5 4 4 3 2" xfId="13563" xr:uid="{3004E298-973D-4C04-B2B6-A20F577E45D6}"/>
    <cellStyle name="Normal 2 5 4 4 3 3" xfId="22003" xr:uid="{808F4482-9F60-4C0B-8389-333BC3D809D4}"/>
    <cellStyle name="Normal 2 5 4 4 4" xfId="9345" xr:uid="{89D9B2CD-5EEF-4511-A830-42C0D92E053A}"/>
    <cellStyle name="Normal 2 5 4 4 5" xfId="17786" xr:uid="{464F0595-1DD6-4CA9-B751-AA0DEA3DA9BB}"/>
    <cellStyle name="Normal 2 5 4 5" xfId="1226" xr:uid="{00000000-0005-0000-0000-000056110000}"/>
    <cellStyle name="Normal 2 5 4 5 2" xfId="3456" xr:uid="{00000000-0005-0000-0000-000057110000}"/>
    <cellStyle name="Normal 2 5 4 5 2 2" xfId="7679" xr:uid="{00000000-0005-0000-0000-000058110000}"/>
    <cellStyle name="Normal 2 5 4 5 2 2 2" xfId="16121" xr:uid="{E8C0D1AE-9632-4F4C-B242-55EB2C6CD70C}"/>
    <cellStyle name="Normal 2 5 4 5 2 2 3" xfId="24561" xr:uid="{780DB544-4DF8-43CE-8B08-F4C1F072EA37}"/>
    <cellStyle name="Normal 2 5 4 5 2 3" xfId="11903" xr:uid="{8AC7198B-C820-447F-9E00-120B69F839AE}"/>
    <cellStyle name="Normal 2 5 4 5 2 4" xfId="20344" xr:uid="{A4ABCFEF-4D3F-4D57-96A9-617F975F1469}"/>
    <cellStyle name="Normal 2 5 4 5 3" xfId="5534" xr:uid="{00000000-0005-0000-0000-000059110000}"/>
    <cellStyle name="Normal 2 5 4 5 3 2" xfId="13976" xr:uid="{2FDD6A53-EC08-4399-B4AE-00DEC8A0581E}"/>
    <cellStyle name="Normal 2 5 4 5 3 3" xfId="22416" xr:uid="{55BC3001-0E7F-406B-8990-BCFA0334CC04}"/>
    <cellStyle name="Normal 2 5 4 5 4" xfId="9758" xr:uid="{53A34BBC-9B18-4919-B099-C0C2B299A1AF}"/>
    <cellStyle name="Normal 2 5 4 5 5" xfId="18199" xr:uid="{BE0AF9EF-93C9-4C13-BF60-C2C7ED98705B}"/>
    <cellStyle name="Normal 2 5 4 6" xfId="1639" xr:uid="{00000000-0005-0000-0000-00005A110000}"/>
    <cellStyle name="Normal 2 5 4 6 2" xfId="3869" xr:uid="{00000000-0005-0000-0000-00005B110000}"/>
    <cellStyle name="Normal 2 5 4 6 2 2" xfId="8092" xr:uid="{00000000-0005-0000-0000-00005C110000}"/>
    <cellStyle name="Normal 2 5 4 6 2 2 2" xfId="16534" xr:uid="{B5A74949-5D19-4236-BD55-0511D947C653}"/>
    <cellStyle name="Normal 2 5 4 6 2 2 3" xfId="24974" xr:uid="{64C817FE-EC0E-4020-9C00-2A9F8C985773}"/>
    <cellStyle name="Normal 2 5 4 6 2 3" xfId="12316" xr:uid="{F5B10D62-C50D-4E54-A8BB-5EBC8FDFDC44}"/>
    <cellStyle name="Normal 2 5 4 6 2 4" xfId="20757" xr:uid="{B4732DD6-F3F4-4D8D-B2D9-49191CA67868}"/>
    <cellStyle name="Normal 2 5 4 6 3" xfId="5947" xr:uid="{00000000-0005-0000-0000-00005D110000}"/>
    <cellStyle name="Normal 2 5 4 6 3 2" xfId="14389" xr:uid="{563893C3-3FBE-4784-9F70-3B55D07D8AA0}"/>
    <cellStyle name="Normal 2 5 4 6 3 3" xfId="22829" xr:uid="{353C7F78-0C39-4557-A3FC-FD10C4DD61CF}"/>
    <cellStyle name="Normal 2 5 4 6 4" xfId="10171" xr:uid="{38E00A13-6432-47D1-A5E0-AD44B972CBD2}"/>
    <cellStyle name="Normal 2 5 4 6 5" xfId="18612" xr:uid="{6B3AB30D-3777-43BD-80FB-477C8FE429AD}"/>
    <cellStyle name="Normal 2 5 4 7" xfId="2053" xr:uid="{00000000-0005-0000-0000-00005E110000}"/>
    <cellStyle name="Normal 2 5 4 7 2" xfId="4282" xr:uid="{00000000-0005-0000-0000-00005F110000}"/>
    <cellStyle name="Normal 2 5 4 7 2 2" xfId="8505" xr:uid="{00000000-0005-0000-0000-000060110000}"/>
    <cellStyle name="Normal 2 5 4 7 2 2 2" xfId="16947" xr:uid="{1C2A4065-678F-4EBF-8382-F6793E58A3B4}"/>
    <cellStyle name="Normal 2 5 4 7 2 2 3" xfId="25387" xr:uid="{765574DB-D582-4BCA-9A38-D103FE0027CC}"/>
    <cellStyle name="Normal 2 5 4 7 2 3" xfId="12729" xr:uid="{DBA07B7D-E984-420D-9717-1F868798B363}"/>
    <cellStyle name="Normal 2 5 4 7 2 4" xfId="21170" xr:uid="{4BD1816E-7EF0-419B-84F2-3C97346B84BD}"/>
    <cellStyle name="Normal 2 5 4 7 3" xfId="6360" xr:uid="{00000000-0005-0000-0000-000061110000}"/>
    <cellStyle name="Normal 2 5 4 7 3 2" xfId="14802" xr:uid="{77BCC870-8F3C-40CE-9999-64BCA697D63C}"/>
    <cellStyle name="Normal 2 5 4 7 3 3" xfId="23242" xr:uid="{9CC4267E-71CB-4531-8C9E-A734B73F194D}"/>
    <cellStyle name="Normal 2 5 4 7 4" xfId="10584" xr:uid="{8507EBAE-CBAB-4B5B-AA93-DCABAB9AF44A}"/>
    <cellStyle name="Normal 2 5 4 7 5" xfId="19025" xr:uid="{35C3048C-C23C-46BF-8DED-F3113696ED0C}"/>
    <cellStyle name="Normal 2 5 4 8" xfId="2489" xr:uid="{00000000-0005-0000-0000-000062110000}"/>
    <cellStyle name="Normal 2 5 4 8 2" xfId="6773" xr:uid="{00000000-0005-0000-0000-000063110000}"/>
    <cellStyle name="Normal 2 5 4 8 2 2" xfId="15215" xr:uid="{3F379A2E-A360-4C41-82B2-D7158E55D517}"/>
    <cellStyle name="Normal 2 5 4 8 2 3" xfId="23655" xr:uid="{792E8B1E-FCEF-461A-A69A-87CAFB3BD26B}"/>
    <cellStyle name="Normal 2 5 4 8 3" xfId="10997" xr:uid="{7FA147A8-295A-4080-98C0-B25FDEC14A06}"/>
    <cellStyle name="Normal 2 5 4 8 4" xfId="19438" xr:uid="{FF751E82-7397-4FDD-BEF9-5127E18C7265}"/>
    <cellStyle name="Normal 2 5 4 9" xfId="4707" xr:uid="{00000000-0005-0000-0000-000064110000}"/>
    <cellStyle name="Normal 2 5 4 9 2" xfId="13149" xr:uid="{480A7A9D-117C-4360-B041-CD479389B150}"/>
    <cellStyle name="Normal 2 5 4 9 3" xfId="21589" xr:uid="{47916262-1DD2-41DF-95C0-2DFAF1AE5EA6}"/>
    <cellStyle name="Normal 2 5 5" xfId="803" xr:uid="{00000000-0005-0000-0000-000065110000}"/>
    <cellStyle name="Normal 2 5 5 2" xfId="3042" xr:uid="{00000000-0005-0000-0000-000066110000}"/>
    <cellStyle name="Normal 2 5 5 2 2" xfId="7265" xr:uid="{00000000-0005-0000-0000-000067110000}"/>
    <cellStyle name="Normal 2 5 5 2 2 2" xfId="15707" xr:uid="{24A1B5E5-F595-42DA-AD82-54058B49FACD}"/>
    <cellStyle name="Normal 2 5 5 2 2 3" xfId="24147" xr:uid="{9B3CA763-4443-4432-BF0D-6BE21F5EEA72}"/>
    <cellStyle name="Normal 2 5 5 2 3" xfId="11489" xr:uid="{00A7EA27-3EE8-4367-B10E-3F7DC41A1313}"/>
    <cellStyle name="Normal 2 5 5 2 4" xfId="19930" xr:uid="{B8CA4623-5AA7-4CE6-AA13-63C4E37CF0A8}"/>
    <cellStyle name="Normal 2 5 5 3" xfId="5120" xr:uid="{00000000-0005-0000-0000-000068110000}"/>
    <cellStyle name="Normal 2 5 5 3 2" xfId="13562" xr:uid="{A1009D52-D32F-4CEF-9C6F-68914D55397C}"/>
    <cellStyle name="Normal 2 5 5 3 3" xfId="22002" xr:uid="{E3B265EB-CEDF-46C1-A568-AEF69873E00B}"/>
    <cellStyle name="Normal 2 5 5 4" xfId="9344" xr:uid="{3E8C378F-000B-4C59-88DB-A8B3333DB845}"/>
    <cellStyle name="Normal 2 5 5 5" xfId="17785" xr:uid="{8F3545A6-9BDF-402D-B6A9-5C85E53DB37A}"/>
    <cellStyle name="Normal 2 5 6" xfId="1225" xr:uid="{00000000-0005-0000-0000-000069110000}"/>
    <cellStyle name="Normal 2 5 6 2" xfId="3455" xr:uid="{00000000-0005-0000-0000-00006A110000}"/>
    <cellStyle name="Normal 2 5 6 2 2" xfId="7678" xr:uid="{00000000-0005-0000-0000-00006B110000}"/>
    <cellStyle name="Normal 2 5 6 2 2 2" xfId="16120" xr:uid="{0F76D51D-5356-4DB6-9204-CFBD3431CDB1}"/>
    <cellStyle name="Normal 2 5 6 2 2 3" xfId="24560" xr:uid="{846BB1DB-6978-42BA-B9BD-0BEE781253F7}"/>
    <cellStyle name="Normal 2 5 6 2 3" xfId="11902" xr:uid="{77B62284-8CFB-4B34-8BA4-D718CBD2592D}"/>
    <cellStyle name="Normal 2 5 6 2 4" xfId="20343" xr:uid="{C0177D6A-3FB6-487F-A019-2C314FD4BF08}"/>
    <cellStyle name="Normal 2 5 6 3" xfId="5533" xr:uid="{00000000-0005-0000-0000-00006C110000}"/>
    <cellStyle name="Normal 2 5 6 3 2" xfId="13975" xr:uid="{2E261882-5963-47DA-ADA1-AB8DCBA0F56C}"/>
    <cellStyle name="Normal 2 5 6 3 3" xfId="22415" xr:uid="{26A1F5E7-BD28-490C-B827-AAD79EAAC8DE}"/>
    <cellStyle name="Normal 2 5 6 4" xfId="9757" xr:uid="{5F76EA47-6C98-4450-9EAE-7EAF9A5B6C81}"/>
    <cellStyle name="Normal 2 5 6 5" xfId="18198" xr:uid="{F2812C8E-6A37-4A54-B901-3F0FEDE4D3C9}"/>
    <cellStyle name="Normal 2 5 7" xfId="1638" xr:uid="{00000000-0005-0000-0000-00006D110000}"/>
    <cellStyle name="Normal 2 5 7 2" xfId="3868" xr:uid="{00000000-0005-0000-0000-00006E110000}"/>
    <cellStyle name="Normal 2 5 7 2 2" xfId="8091" xr:uid="{00000000-0005-0000-0000-00006F110000}"/>
    <cellStyle name="Normal 2 5 7 2 2 2" xfId="16533" xr:uid="{56448BC0-085C-4F98-89A9-5B7365E880A1}"/>
    <cellStyle name="Normal 2 5 7 2 2 3" xfId="24973" xr:uid="{BBECEF89-AFC1-4416-B30F-C78F4D95A19D}"/>
    <cellStyle name="Normal 2 5 7 2 3" xfId="12315" xr:uid="{3E17E82A-F4D9-4CA2-BE72-4C0AB3F0D21C}"/>
    <cellStyle name="Normal 2 5 7 2 4" xfId="20756" xr:uid="{FDBD1A9C-4917-4595-9BAB-2AB372CAD2F6}"/>
    <cellStyle name="Normal 2 5 7 3" xfId="5946" xr:uid="{00000000-0005-0000-0000-000070110000}"/>
    <cellStyle name="Normal 2 5 7 3 2" xfId="14388" xr:uid="{07A719FD-5DCA-45F2-80EB-187980E22D15}"/>
    <cellStyle name="Normal 2 5 7 3 3" xfId="22828" xr:uid="{D5C923AA-6800-4794-897E-2AD2D503C812}"/>
    <cellStyle name="Normal 2 5 7 4" xfId="10170" xr:uid="{B1D10050-5C05-4744-B75C-2878A79A6698}"/>
    <cellStyle name="Normal 2 5 7 5" xfId="18611" xr:uid="{2E4F89CC-0677-4BBC-93A8-51C77B180761}"/>
    <cellStyle name="Normal 2 5 8" xfId="2052" xr:uid="{00000000-0005-0000-0000-000071110000}"/>
    <cellStyle name="Normal 2 5 8 2" xfId="4281" xr:uid="{00000000-0005-0000-0000-000072110000}"/>
    <cellStyle name="Normal 2 5 8 2 2" xfId="8504" xr:uid="{00000000-0005-0000-0000-000073110000}"/>
    <cellStyle name="Normal 2 5 8 2 2 2" xfId="16946" xr:uid="{D4BE89AC-30E5-4E39-8862-9E52723746BE}"/>
    <cellStyle name="Normal 2 5 8 2 2 3" xfId="25386" xr:uid="{09417B35-42F3-443F-B636-B07498BD701A}"/>
    <cellStyle name="Normal 2 5 8 2 3" xfId="12728" xr:uid="{C7E9409B-8FBF-426B-B206-008C629A8634}"/>
    <cellStyle name="Normal 2 5 8 2 4" xfId="21169" xr:uid="{9291ECCB-1142-4877-B47C-4125615F9AD7}"/>
    <cellStyle name="Normal 2 5 8 3" xfId="6359" xr:uid="{00000000-0005-0000-0000-000074110000}"/>
    <cellStyle name="Normal 2 5 8 3 2" xfId="14801" xr:uid="{E1F8B315-3ED7-4EBE-8FA3-882E17EBD854}"/>
    <cellStyle name="Normal 2 5 8 3 3" xfId="23241" xr:uid="{955B5A93-4535-46AF-93F0-C85E9CC2705B}"/>
    <cellStyle name="Normal 2 5 8 4" xfId="10583" xr:uid="{2BABAE97-5F58-4B9F-8017-0CA97067B1CF}"/>
    <cellStyle name="Normal 2 5 8 5" xfId="19024" xr:uid="{FC563B81-B7AA-4936-8B1C-009DC78B7F4E}"/>
    <cellStyle name="Normal 2 5 9" xfId="2488" xr:uid="{00000000-0005-0000-0000-000075110000}"/>
    <cellStyle name="Normal 2 5 9 2" xfId="6772" xr:uid="{00000000-0005-0000-0000-000076110000}"/>
    <cellStyle name="Normal 2 5 9 2 2" xfId="15214" xr:uid="{E4B227F8-5FED-4F01-B446-01AA3B398A8D}"/>
    <cellStyle name="Normal 2 5 9 2 3" xfId="23654" xr:uid="{1DD9E6B3-A680-451C-9FB9-183CD2774640}"/>
    <cellStyle name="Normal 2 5 9 3" xfId="10996" xr:uid="{A8122386-1742-4FD1-931F-1F7113A54143}"/>
    <cellStyle name="Normal 2 5 9 4" xfId="19437" xr:uid="{8D3CC445-2B32-44F4-961A-EA5EB3DDDED5}"/>
    <cellStyle name="Normal 2 6" xfId="322" xr:uid="{00000000-0005-0000-0000-000077110000}"/>
    <cellStyle name="Normal 2 7" xfId="769" xr:uid="{00000000-0005-0000-0000-000078110000}"/>
    <cellStyle name="Normal 2 8" xfId="4495" xr:uid="{00000000-0005-0000-0000-000079110000}"/>
    <cellStyle name="Normal 2 8 2" xfId="12940" xr:uid="{FE2EF140-7DAB-437A-9046-8D9EF6E482CB}"/>
    <cellStyle name="Normal 3" xfId="323" xr:uid="{00000000-0005-0000-0000-00007A110000}"/>
    <cellStyle name="Normal 3 2" xfId="324" xr:uid="{00000000-0005-0000-0000-00007B110000}"/>
    <cellStyle name="Normal 3 2 10" xfId="8935" xr:uid="{D3B05B9F-73B3-48D0-8B5B-4E3565DFDEE4}"/>
    <cellStyle name="Normal 3 2 11" xfId="17376" xr:uid="{BDE3708B-8F1B-416B-AA9A-09E44218A677}"/>
    <cellStyle name="Normal 3 2 2" xfId="325" xr:uid="{00000000-0005-0000-0000-00007C110000}"/>
    <cellStyle name="Normal 3 2 2 2" xfId="810" xr:uid="{00000000-0005-0000-0000-00007D110000}"/>
    <cellStyle name="Normal 3 2 3" xfId="326" xr:uid="{00000000-0005-0000-0000-00007E110000}"/>
    <cellStyle name="Normal 3 2 3 10" xfId="8936" xr:uid="{0C9FC3AD-07D5-47F2-A01C-FBCCBAD31883}"/>
    <cellStyle name="Normal 3 2 3 11" xfId="17377" xr:uid="{9CA4D9A1-F5AA-4239-BF53-998BB03A17AE}"/>
    <cellStyle name="Normal 3 2 3 2" xfId="327" xr:uid="{00000000-0005-0000-0000-00007F110000}"/>
    <cellStyle name="Normal 3 2 3 2 10" xfId="17378" xr:uid="{84420FD0-64E1-4A76-ACAB-DD676C91DBD1}"/>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15715" xr:uid="{98F077D8-97D4-4990-93C4-5E3C2AE3E698}"/>
    <cellStyle name="Normal 3 2 3 2 2 2 2 2 3" xfId="24155" xr:uid="{211B30DD-D406-4BC7-85E9-77D8F1829806}"/>
    <cellStyle name="Normal 3 2 3 2 2 2 2 3" xfId="11497" xr:uid="{9D26BE55-EC0D-4A30-A6F7-A9B86DEEBBB2}"/>
    <cellStyle name="Normal 3 2 3 2 2 2 2 4" xfId="19938" xr:uid="{FF272003-81F0-4B7F-9BC9-DDDF13A0FE2E}"/>
    <cellStyle name="Normal 3 2 3 2 2 2 3" xfId="5128" xr:uid="{00000000-0005-0000-0000-000084110000}"/>
    <cellStyle name="Normal 3 2 3 2 2 2 3 2" xfId="13570" xr:uid="{A8A12D17-BE70-4723-BD44-7713A574EDFE}"/>
    <cellStyle name="Normal 3 2 3 2 2 2 3 3" xfId="22010" xr:uid="{76542476-4395-401E-B696-9519C9FD66D7}"/>
    <cellStyle name="Normal 3 2 3 2 2 2 4" xfId="9352" xr:uid="{6E82D77F-0C97-4BF6-B83D-CD17F0E160B7}"/>
    <cellStyle name="Normal 3 2 3 2 2 2 5" xfId="17793" xr:uid="{D275B29D-04F7-4059-B81B-D9ECEAF76779}"/>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16128" xr:uid="{A2577350-35A1-42E7-84B9-4C41EE301AFA}"/>
    <cellStyle name="Normal 3 2 3 2 2 3 2 2 3" xfId="24568" xr:uid="{3B4D58C4-E4AB-4171-B44A-9581B3E91CBD}"/>
    <cellStyle name="Normal 3 2 3 2 2 3 2 3" xfId="11910" xr:uid="{34618A35-22E7-40D3-A4D8-A8F3DBD03520}"/>
    <cellStyle name="Normal 3 2 3 2 2 3 2 4" xfId="20351" xr:uid="{C769F64A-2D9D-4463-95B5-1159C406F882}"/>
    <cellStyle name="Normal 3 2 3 2 2 3 3" xfId="5541" xr:uid="{00000000-0005-0000-0000-000088110000}"/>
    <cellStyle name="Normal 3 2 3 2 2 3 3 2" xfId="13983" xr:uid="{C65CD0F5-D011-4390-9C8F-1E9379D5E01D}"/>
    <cellStyle name="Normal 3 2 3 2 2 3 3 3" xfId="22423" xr:uid="{D33635BA-D48D-4F6D-9AD2-E74FEBCF1791}"/>
    <cellStyle name="Normal 3 2 3 2 2 3 4" xfId="9765" xr:uid="{904FDC17-EDD1-497E-B28B-91F34068E055}"/>
    <cellStyle name="Normal 3 2 3 2 2 3 5" xfId="18206" xr:uid="{E6E490FE-72A6-4415-B736-C8650791D3F1}"/>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16541" xr:uid="{BDB1CE74-AD40-4A3A-8C53-5FBD74160C55}"/>
    <cellStyle name="Normal 3 2 3 2 2 4 2 2 3" xfId="24981" xr:uid="{A0C1E063-63FC-4897-9E56-54CBAA5C424D}"/>
    <cellStyle name="Normal 3 2 3 2 2 4 2 3" xfId="12323" xr:uid="{3D6759EE-EE6B-41CD-BB61-17D57CA46FAB}"/>
    <cellStyle name="Normal 3 2 3 2 2 4 2 4" xfId="20764" xr:uid="{EAC60815-6EBF-4D58-8925-5FB06777F88C}"/>
    <cellStyle name="Normal 3 2 3 2 2 4 3" xfId="5954" xr:uid="{00000000-0005-0000-0000-00008C110000}"/>
    <cellStyle name="Normal 3 2 3 2 2 4 3 2" xfId="14396" xr:uid="{20E38E2D-CF59-4B7B-961B-C127700C9293}"/>
    <cellStyle name="Normal 3 2 3 2 2 4 3 3" xfId="22836" xr:uid="{C58E6E70-78FA-461A-B0C7-3580A867CC1C}"/>
    <cellStyle name="Normal 3 2 3 2 2 4 4" xfId="10178" xr:uid="{137673B4-D364-45DA-94F9-2A5CDAE38686}"/>
    <cellStyle name="Normal 3 2 3 2 2 4 5" xfId="18619" xr:uid="{7FB4AB25-05B3-4189-B467-47E49A4563BD}"/>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16954" xr:uid="{9F9D7F62-2D5D-4F96-A5BB-17E0892D0024}"/>
    <cellStyle name="Normal 3 2 3 2 2 5 2 2 3" xfId="25394" xr:uid="{8571170C-DBFD-43C9-ACDE-BB162437241F}"/>
    <cellStyle name="Normal 3 2 3 2 2 5 2 3" xfId="12736" xr:uid="{A3612AE0-8690-4EDB-9120-83F2C5BBAA82}"/>
    <cellStyle name="Normal 3 2 3 2 2 5 2 4" xfId="21177" xr:uid="{BB10A18A-D06C-4584-9E69-E0589D6608D1}"/>
    <cellStyle name="Normal 3 2 3 2 2 5 3" xfId="6367" xr:uid="{00000000-0005-0000-0000-000090110000}"/>
    <cellStyle name="Normal 3 2 3 2 2 5 3 2" xfId="14809" xr:uid="{D5BB6253-6706-4F25-A544-05F03543B420}"/>
    <cellStyle name="Normal 3 2 3 2 2 5 3 3" xfId="23249" xr:uid="{EE9E5BC8-03F7-4DA9-8EB0-9E020664BD00}"/>
    <cellStyle name="Normal 3 2 3 2 2 5 4" xfId="10591" xr:uid="{0C49EBBF-8518-4823-A5E9-09744E7D323A}"/>
    <cellStyle name="Normal 3 2 3 2 2 5 5" xfId="19032" xr:uid="{BC1D6E9D-738E-4DC9-9631-E630DF12628B}"/>
    <cellStyle name="Normal 3 2 3 2 2 6" xfId="2496" xr:uid="{00000000-0005-0000-0000-000091110000}"/>
    <cellStyle name="Normal 3 2 3 2 2 6 2" xfId="6780" xr:uid="{00000000-0005-0000-0000-000092110000}"/>
    <cellStyle name="Normal 3 2 3 2 2 6 2 2" xfId="15222" xr:uid="{632CD330-3C27-43FA-9349-DFC6B9209F3A}"/>
    <cellStyle name="Normal 3 2 3 2 2 6 2 3" xfId="23662" xr:uid="{B27933EA-D334-4561-92CA-78FDA2C204EF}"/>
    <cellStyle name="Normal 3 2 3 2 2 6 3" xfId="11004" xr:uid="{574BE295-3E12-489B-B783-D016CFFDD3E3}"/>
    <cellStyle name="Normal 3 2 3 2 2 6 4" xfId="19445" xr:uid="{58800DDE-2190-424D-BF85-7FC9970EFF4B}"/>
    <cellStyle name="Normal 3 2 3 2 2 7" xfId="4714" xr:uid="{00000000-0005-0000-0000-000093110000}"/>
    <cellStyle name="Normal 3 2 3 2 2 7 2" xfId="13156" xr:uid="{B1F7F1A2-B28B-4601-A3F5-B633F5B7C437}"/>
    <cellStyle name="Normal 3 2 3 2 2 7 3" xfId="21596" xr:uid="{40055396-BFD9-49B2-91CA-C5778C8E265B}"/>
    <cellStyle name="Normal 3 2 3 2 2 8" xfId="8938" xr:uid="{132460DA-FA6B-474A-9A7C-FC4C03B1E4A8}"/>
    <cellStyle name="Normal 3 2 3 2 2 9" xfId="17379" xr:uid="{AA4F270B-D184-4A9D-9CD1-5907E8D11236}"/>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15714" xr:uid="{8C636EB1-FBCB-41D7-B526-0E4F4BC6A2EB}"/>
    <cellStyle name="Normal 3 2 3 2 3 2 2 3" xfId="24154" xr:uid="{AF6179CF-C54B-4F49-8D29-785712961279}"/>
    <cellStyle name="Normal 3 2 3 2 3 2 3" xfId="11496" xr:uid="{C5453D77-CE4F-460C-98BC-0415A9DB76B7}"/>
    <cellStyle name="Normal 3 2 3 2 3 2 4" xfId="19937" xr:uid="{B103EF87-4049-458C-B8BD-37AAA23B0C2B}"/>
    <cellStyle name="Normal 3 2 3 2 3 3" xfId="5127" xr:uid="{00000000-0005-0000-0000-000097110000}"/>
    <cellStyle name="Normal 3 2 3 2 3 3 2" xfId="13569" xr:uid="{2948D390-033B-4970-8291-5A7B11AF5C1C}"/>
    <cellStyle name="Normal 3 2 3 2 3 3 3" xfId="22009" xr:uid="{4388897E-A873-4179-81FA-B7615E186BA2}"/>
    <cellStyle name="Normal 3 2 3 2 3 4" xfId="9351" xr:uid="{97B4D529-B972-416A-BC29-81D3C692EB78}"/>
    <cellStyle name="Normal 3 2 3 2 3 5" xfId="17792" xr:uid="{4240C3E0-9260-4682-BE4D-DAF9709E20A0}"/>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16127" xr:uid="{FB7A96E1-CB21-46CC-A38C-B743BA496ED9}"/>
    <cellStyle name="Normal 3 2 3 2 4 2 2 3" xfId="24567" xr:uid="{36924ECA-13DA-44FF-8C66-8E40F22BE8F3}"/>
    <cellStyle name="Normal 3 2 3 2 4 2 3" xfId="11909" xr:uid="{626B50F5-A024-4A04-B3DB-9F76C70007A0}"/>
    <cellStyle name="Normal 3 2 3 2 4 2 4" xfId="20350" xr:uid="{5528BCA4-5618-4AB8-9A6B-C2EECD5759D2}"/>
    <cellStyle name="Normal 3 2 3 2 4 3" xfId="5540" xr:uid="{00000000-0005-0000-0000-00009B110000}"/>
    <cellStyle name="Normal 3 2 3 2 4 3 2" xfId="13982" xr:uid="{58879DFF-C25B-4D8A-938E-27AA75505928}"/>
    <cellStyle name="Normal 3 2 3 2 4 3 3" xfId="22422" xr:uid="{2B742479-0F0D-40D1-901A-7E704729CF5F}"/>
    <cellStyle name="Normal 3 2 3 2 4 4" xfId="9764" xr:uid="{E2E4107A-A6C2-4F08-981B-7B6E4180A827}"/>
    <cellStyle name="Normal 3 2 3 2 4 5" xfId="18205" xr:uid="{EE88254E-552E-4DFF-912C-4D159058F0C2}"/>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16540" xr:uid="{7F81B1FE-61A4-4F56-91EB-9E9CB65EEAC9}"/>
    <cellStyle name="Normal 3 2 3 2 5 2 2 3" xfId="24980" xr:uid="{61F3DA23-1945-4A96-98BE-D048A2FCC016}"/>
    <cellStyle name="Normal 3 2 3 2 5 2 3" xfId="12322" xr:uid="{9D9489F8-2D10-4B55-9E2D-C7306989B95B}"/>
    <cellStyle name="Normal 3 2 3 2 5 2 4" xfId="20763" xr:uid="{CAAFF4F9-E947-4F48-B6BA-F291B9C58D3E}"/>
    <cellStyle name="Normal 3 2 3 2 5 3" xfId="5953" xr:uid="{00000000-0005-0000-0000-00009F110000}"/>
    <cellStyle name="Normal 3 2 3 2 5 3 2" xfId="14395" xr:uid="{2F930963-1EEE-48C6-9775-97E9BCE3AB11}"/>
    <cellStyle name="Normal 3 2 3 2 5 3 3" xfId="22835" xr:uid="{A524D329-1F3F-46F5-A2F4-D30A2BF49740}"/>
    <cellStyle name="Normal 3 2 3 2 5 4" xfId="10177" xr:uid="{36BD87EB-E3D0-4FD5-93F1-9A19A1DE93F6}"/>
    <cellStyle name="Normal 3 2 3 2 5 5" xfId="18618" xr:uid="{528389C8-394E-41A8-90DF-CC815CF16558}"/>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16953" xr:uid="{F7671705-FF38-4BDB-B095-50D05D98340C}"/>
    <cellStyle name="Normal 3 2 3 2 6 2 2 3" xfId="25393" xr:uid="{63A567C8-ADB1-4B1A-880F-F362B0C1CD9A}"/>
    <cellStyle name="Normal 3 2 3 2 6 2 3" xfId="12735" xr:uid="{200A564B-CC0B-4BEF-AC51-F8E5DEA0E39E}"/>
    <cellStyle name="Normal 3 2 3 2 6 2 4" xfId="21176" xr:uid="{8666FA77-BBEF-4AD8-929D-61240C21A488}"/>
    <cellStyle name="Normal 3 2 3 2 6 3" xfId="6366" xr:uid="{00000000-0005-0000-0000-0000A3110000}"/>
    <cellStyle name="Normal 3 2 3 2 6 3 2" xfId="14808" xr:uid="{3FCF94F8-629C-4EC9-B764-50E77D9AA408}"/>
    <cellStyle name="Normal 3 2 3 2 6 3 3" xfId="23248" xr:uid="{C4645EE4-A659-446D-B682-3166309F3A96}"/>
    <cellStyle name="Normal 3 2 3 2 6 4" xfId="10590" xr:uid="{1391926D-54DA-4F96-91BE-4A63869166C0}"/>
    <cellStyle name="Normal 3 2 3 2 6 5" xfId="19031" xr:uid="{CBC22971-5092-43F5-9F1C-203348CDF0EF}"/>
    <cellStyle name="Normal 3 2 3 2 7" xfId="2495" xr:uid="{00000000-0005-0000-0000-0000A4110000}"/>
    <cellStyle name="Normal 3 2 3 2 7 2" xfId="6779" xr:uid="{00000000-0005-0000-0000-0000A5110000}"/>
    <cellStyle name="Normal 3 2 3 2 7 2 2" xfId="15221" xr:uid="{6B2BAD45-8FA6-4F13-8502-D442C38199A4}"/>
    <cellStyle name="Normal 3 2 3 2 7 2 3" xfId="23661" xr:uid="{6E335533-EDCB-49B3-ACC5-93D735F324DD}"/>
    <cellStyle name="Normal 3 2 3 2 7 3" xfId="11003" xr:uid="{8F122378-C190-402E-A5BE-D7614A94FC0F}"/>
    <cellStyle name="Normal 3 2 3 2 7 4" xfId="19444" xr:uid="{73B3B5C9-7021-4254-8926-321E7C84BEAB}"/>
    <cellStyle name="Normal 3 2 3 2 8" xfId="4713" xr:uid="{00000000-0005-0000-0000-0000A6110000}"/>
    <cellStyle name="Normal 3 2 3 2 8 2" xfId="13155" xr:uid="{7EEDE091-4D4D-4189-942C-5AE112F10C8E}"/>
    <cellStyle name="Normal 3 2 3 2 8 3" xfId="21595" xr:uid="{3A897668-AAB5-46E6-B751-BB953DBB2A4C}"/>
    <cellStyle name="Normal 3 2 3 2 9" xfId="8937" xr:uid="{9F314F1E-9B63-421F-8458-83E5A9D142DD}"/>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15716" xr:uid="{A7B10BA0-05DC-4631-BB47-69B15518505B}"/>
    <cellStyle name="Normal 3 2 3 3 2 2 2 3" xfId="24156" xr:uid="{896E8203-E6B8-4E53-BE6F-63C9961F540D}"/>
    <cellStyle name="Normal 3 2 3 3 2 2 3" xfId="11498" xr:uid="{74B39ADC-99F7-4A5D-9034-6A5153F8CF75}"/>
    <cellStyle name="Normal 3 2 3 3 2 2 4" xfId="19939" xr:uid="{B455CE1D-88CC-4EC1-8272-ACD2F280D940}"/>
    <cellStyle name="Normal 3 2 3 3 2 3" xfId="5129" xr:uid="{00000000-0005-0000-0000-0000AB110000}"/>
    <cellStyle name="Normal 3 2 3 3 2 3 2" xfId="13571" xr:uid="{5F2B1C29-63C6-4E5C-A38E-51D6A613E0D6}"/>
    <cellStyle name="Normal 3 2 3 3 2 3 3" xfId="22011" xr:uid="{C6770A93-3938-4936-8538-F5052C4A83F9}"/>
    <cellStyle name="Normal 3 2 3 3 2 4" xfId="9353" xr:uid="{2447C10A-C81E-40F9-9CC8-CFD6D75E54E2}"/>
    <cellStyle name="Normal 3 2 3 3 2 5" xfId="17794" xr:uid="{AD5322BF-091B-4975-9F3A-8C2969B8C0F5}"/>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16129" xr:uid="{0399BCC6-F8D5-4DDE-BB53-F2F4991B616F}"/>
    <cellStyle name="Normal 3 2 3 3 3 2 2 3" xfId="24569" xr:uid="{F0AEA226-028B-4687-B866-4C811DB8E1F8}"/>
    <cellStyle name="Normal 3 2 3 3 3 2 3" xfId="11911" xr:uid="{3B2CA65C-FB0A-4D1E-B7AA-3467D8A73A9A}"/>
    <cellStyle name="Normal 3 2 3 3 3 2 4" xfId="20352" xr:uid="{35A6CD57-B286-4FDA-A9EB-8523A46B3977}"/>
    <cellStyle name="Normal 3 2 3 3 3 3" xfId="5542" xr:uid="{00000000-0005-0000-0000-0000AF110000}"/>
    <cellStyle name="Normal 3 2 3 3 3 3 2" xfId="13984" xr:uid="{8D38F5DF-C69C-4C17-827A-8544D3137AAB}"/>
    <cellStyle name="Normal 3 2 3 3 3 3 3" xfId="22424" xr:uid="{1B835D83-BC60-4DCA-B244-99059F66018C}"/>
    <cellStyle name="Normal 3 2 3 3 3 4" xfId="9766" xr:uid="{73BF0093-1587-4BA7-8132-E24B766A546E}"/>
    <cellStyle name="Normal 3 2 3 3 3 5" xfId="18207" xr:uid="{1B9BDB91-81E8-4F55-AFFF-7971EC1B0315}"/>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16542" xr:uid="{9718E181-492E-4C6E-8E6C-51E1450FA0B8}"/>
    <cellStyle name="Normal 3 2 3 3 4 2 2 3" xfId="24982" xr:uid="{5E549623-32BF-4D66-B09D-C967FAC32F61}"/>
    <cellStyle name="Normal 3 2 3 3 4 2 3" xfId="12324" xr:uid="{4EF8FF88-1F33-4593-A143-28E2860A1450}"/>
    <cellStyle name="Normal 3 2 3 3 4 2 4" xfId="20765" xr:uid="{22CFFD62-1190-4B6C-BB02-183F7650984D}"/>
    <cellStyle name="Normal 3 2 3 3 4 3" xfId="5955" xr:uid="{00000000-0005-0000-0000-0000B3110000}"/>
    <cellStyle name="Normal 3 2 3 3 4 3 2" xfId="14397" xr:uid="{52B8C521-8229-4C3B-91AA-6D876451B603}"/>
    <cellStyle name="Normal 3 2 3 3 4 3 3" xfId="22837" xr:uid="{A764A8C3-CA62-456E-926C-90AF4750F2C1}"/>
    <cellStyle name="Normal 3 2 3 3 4 4" xfId="10179" xr:uid="{61543C87-B02D-4BC9-B372-807984EDE15D}"/>
    <cellStyle name="Normal 3 2 3 3 4 5" xfId="18620" xr:uid="{F6DB772F-D78E-4217-BC74-6ACEA6CD15F8}"/>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16955" xr:uid="{95DF2FA5-66C4-4EF0-8166-581325A74DF5}"/>
    <cellStyle name="Normal 3 2 3 3 5 2 2 3" xfId="25395" xr:uid="{A5D504D4-8A3D-4B03-BF2D-D5F9E26B99C7}"/>
    <cellStyle name="Normal 3 2 3 3 5 2 3" xfId="12737" xr:uid="{3787D6E4-D685-4C71-BBA9-A3B4A50D921C}"/>
    <cellStyle name="Normal 3 2 3 3 5 2 4" xfId="21178" xr:uid="{86226DC6-1E21-43B4-8D1E-93EC9879D601}"/>
    <cellStyle name="Normal 3 2 3 3 5 3" xfId="6368" xr:uid="{00000000-0005-0000-0000-0000B7110000}"/>
    <cellStyle name="Normal 3 2 3 3 5 3 2" xfId="14810" xr:uid="{597B63E1-EC41-4193-8B2B-B6ADAB08B2DD}"/>
    <cellStyle name="Normal 3 2 3 3 5 3 3" xfId="23250" xr:uid="{E8D928B5-275D-4380-ADA8-B74A967F1F30}"/>
    <cellStyle name="Normal 3 2 3 3 5 4" xfId="10592" xr:uid="{42AEFA7F-D11D-415C-8FFA-118722B57983}"/>
    <cellStyle name="Normal 3 2 3 3 5 5" xfId="19033" xr:uid="{DB78E432-2104-461D-B0F0-1B9811EE4D44}"/>
    <cellStyle name="Normal 3 2 3 3 6" xfId="2497" xr:uid="{00000000-0005-0000-0000-0000B8110000}"/>
    <cellStyle name="Normal 3 2 3 3 6 2" xfId="6781" xr:uid="{00000000-0005-0000-0000-0000B9110000}"/>
    <cellStyle name="Normal 3 2 3 3 6 2 2" xfId="15223" xr:uid="{E94F6263-D214-41FE-8FF4-32B12C866B48}"/>
    <cellStyle name="Normal 3 2 3 3 6 2 3" xfId="23663" xr:uid="{F8863097-5BF5-418C-AF35-D78EA95EC45C}"/>
    <cellStyle name="Normal 3 2 3 3 6 3" xfId="11005" xr:uid="{ED9CF342-5E7E-4EBB-9CC6-E14429505145}"/>
    <cellStyle name="Normal 3 2 3 3 6 4" xfId="19446" xr:uid="{326CA5B6-0B80-4602-82FB-970D6554743B}"/>
    <cellStyle name="Normal 3 2 3 3 7" xfId="4715" xr:uid="{00000000-0005-0000-0000-0000BA110000}"/>
    <cellStyle name="Normal 3 2 3 3 7 2" xfId="13157" xr:uid="{3ACF9C24-A516-4275-8169-85B98B4BC70B}"/>
    <cellStyle name="Normal 3 2 3 3 7 3" xfId="21597" xr:uid="{5107ED72-C5A4-4404-9D9F-640467B61178}"/>
    <cellStyle name="Normal 3 2 3 3 8" xfId="8939" xr:uid="{CFD8F070-DAE3-4B22-859A-48BA2B23AA47}"/>
    <cellStyle name="Normal 3 2 3 3 9" xfId="17380" xr:uid="{7F2E68E7-52CD-4201-99AE-133E168758A2}"/>
    <cellStyle name="Normal 3 2 3 4" xfId="811" xr:uid="{00000000-0005-0000-0000-0000BB110000}"/>
    <cellStyle name="Normal 3 2 3 4 2" xfId="3048" xr:uid="{00000000-0005-0000-0000-0000BC110000}"/>
    <cellStyle name="Normal 3 2 3 4 2 2" xfId="7271" xr:uid="{00000000-0005-0000-0000-0000BD110000}"/>
    <cellStyle name="Normal 3 2 3 4 2 2 2" xfId="15713" xr:uid="{E74EB199-606C-4E19-BB56-9608AB0EF0AF}"/>
    <cellStyle name="Normal 3 2 3 4 2 2 3" xfId="24153" xr:uid="{24D6F5F8-C6B2-4FF7-8F33-11FAC927D110}"/>
    <cellStyle name="Normal 3 2 3 4 2 3" xfId="11495" xr:uid="{5B1A9F96-2CC2-4195-AABF-C0FC13144A40}"/>
    <cellStyle name="Normal 3 2 3 4 2 4" xfId="19936" xr:uid="{4C1038FA-440D-4322-8BA7-47E511547A9C}"/>
    <cellStyle name="Normal 3 2 3 4 3" xfId="5126" xr:uid="{00000000-0005-0000-0000-0000BE110000}"/>
    <cellStyle name="Normal 3 2 3 4 3 2" xfId="13568" xr:uid="{D7BF6793-3D63-44F5-8E1B-188FE11ABE46}"/>
    <cellStyle name="Normal 3 2 3 4 3 3" xfId="22008" xr:uid="{6AB278F0-4516-4530-820F-F1342CB68A1C}"/>
    <cellStyle name="Normal 3 2 3 4 4" xfId="9350" xr:uid="{5726280D-5827-4BD5-A227-E57EF9A95CEA}"/>
    <cellStyle name="Normal 3 2 3 4 5" xfId="17791" xr:uid="{EFA4A2BA-B57B-4DAB-8412-9FDC7FCCEA1A}"/>
    <cellStyle name="Normal 3 2 3 5" xfId="1231" xr:uid="{00000000-0005-0000-0000-0000BF110000}"/>
    <cellStyle name="Normal 3 2 3 5 2" xfId="3461" xr:uid="{00000000-0005-0000-0000-0000C0110000}"/>
    <cellStyle name="Normal 3 2 3 5 2 2" xfId="7684" xr:uid="{00000000-0005-0000-0000-0000C1110000}"/>
    <cellStyle name="Normal 3 2 3 5 2 2 2" xfId="16126" xr:uid="{23CAD134-0289-4697-AB54-113828907659}"/>
    <cellStyle name="Normal 3 2 3 5 2 2 3" xfId="24566" xr:uid="{631A67F6-6F83-4B9C-9ADD-6FBE6E75E8E3}"/>
    <cellStyle name="Normal 3 2 3 5 2 3" xfId="11908" xr:uid="{121B97C6-A2C3-4B70-BF30-0B62ECAAD972}"/>
    <cellStyle name="Normal 3 2 3 5 2 4" xfId="20349" xr:uid="{0A004A00-18B5-4648-B862-04705F58D4CE}"/>
    <cellStyle name="Normal 3 2 3 5 3" xfId="5539" xr:uid="{00000000-0005-0000-0000-0000C2110000}"/>
    <cellStyle name="Normal 3 2 3 5 3 2" xfId="13981" xr:uid="{A58F2FD4-7E85-4B9E-A403-1B24AECA1BFD}"/>
    <cellStyle name="Normal 3 2 3 5 3 3" xfId="22421" xr:uid="{218AB682-B3D0-43B8-8EA3-5B1695FEDA11}"/>
    <cellStyle name="Normal 3 2 3 5 4" xfId="9763" xr:uid="{7D79D6FC-A355-4296-9A05-8D97A56B0556}"/>
    <cellStyle name="Normal 3 2 3 5 5" xfId="18204" xr:uid="{65B54FCF-92BD-47E8-875F-21AC082E6EF9}"/>
    <cellStyle name="Normal 3 2 3 6" xfId="1644" xr:uid="{00000000-0005-0000-0000-0000C3110000}"/>
    <cellStyle name="Normal 3 2 3 6 2" xfId="3874" xr:uid="{00000000-0005-0000-0000-0000C4110000}"/>
    <cellStyle name="Normal 3 2 3 6 2 2" xfId="8097" xr:uid="{00000000-0005-0000-0000-0000C5110000}"/>
    <cellStyle name="Normal 3 2 3 6 2 2 2" xfId="16539" xr:uid="{237D1224-12E0-4AAE-B5A9-75CAA149BE5D}"/>
    <cellStyle name="Normal 3 2 3 6 2 2 3" xfId="24979" xr:uid="{2A1DE773-8C55-4BA1-B5E1-DA23FC89C8E9}"/>
    <cellStyle name="Normal 3 2 3 6 2 3" xfId="12321" xr:uid="{C0BADB82-208F-44D5-BC0B-E95B37F157DA}"/>
    <cellStyle name="Normal 3 2 3 6 2 4" xfId="20762" xr:uid="{AB7D2A18-6590-4BCA-AFCD-0822D5284B86}"/>
    <cellStyle name="Normal 3 2 3 6 3" xfId="5952" xr:uid="{00000000-0005-0000-0000-0000C6110000}"/>
    <cellStyle name="Normal 3 2 3 6 3 2" xfId="14394" xr:uid="{5A7C1172-827D-4126-A480-A6C0713C1EE0}"/>
    <cellStyle name="Normal 3 2 3 6 3 3" xfId="22834" xr:uid="{ED4AD01B-6788-4F01-9C91-AB87BC10495B}"/>
    <cellStyle name="Normal 3 2 3 6 4" xfId="10176" xr:uid="{609C7C2F-4B2C-41E2-80B1-177FB0A100CE}"/>
    <cellStyle name="Normal 3 2 3 6 5" xfId="18617" xr:uid="{2F2C2449-0D9A-44A2-AA42-5F975DABF74A}"/>
    <cellStyle name="Normal 3 2 3 7" xfId="2058" xr:uid="{00000000-0005-0000-0000-0000C7110000}"/>
    <cellStyle name="Normal 3 2 3 7 2" xfId="4287" xr:uid="{00000000-0005-0000-0000-0000C8110000}"/>
    <cellStyle name="Normal 3 2 3 7 2 2" xfId="8510" xr:uid="{00000000-0005-0000-0000-0000C9110000}"/>
    <cellStyle name="Normal 3 2 3 7 2 2 2" xfId="16952" xr:uid="{7AC4B786-22F5-475F-B266-A388C374C379}"/>
    <cellStyle name="Normal 3 2 3 7 2 2 3" xfId="25392" xr:uid="{5C1316EF-629B-471B-8D2E-76A0BF853DF4}"/>
    <cellStyle name="Normal 3 2 3 7 2 3" xfId="12734" xr:uid="{A0B0DCB3-74DB-4722-AE3C-8C5130DB21BA}"/>
    <cellStyle name="Normal 3 2 3 7 2 4" xfId="21175" xr:uid="{0FE34E96-4A43-44E5-A1DC-9D44E1690631}"/>
    <cellStyle name="Normal 3 2 3 7 3" xfId="6365" xr:uid="{00000000-0005-0000-0000-0000CA110000}"/>
    <cellStyle name="Normal 3 2 3 7 3 2" xfId="14807" xr:uid="{7CD57B8C-BA1A-4F73-9458-00C2F30A12B6}"/>
    <cellStyle name="Normal 3 2 3 7 3 3" xfId="23247" xr:uid="{4E44A173-B449-4DA5-933D-14378A46DB5C}"/>
    <cellStyle name="Normal 3 2 3 7 4" xfId="10589" xr:uid="{B9A8E467-5BFF-4C51-976E-686EAD917530}"/>
    <cellStyle name="Normal 3 2 3 7 5" xfId="19030" xr:uid="{C4E2F655-C97F-491F-9C3B-8AA6957204D6}"/>
    <cellStyle name="Normal 3 2 3 8" xfId="2494" xr:uid="{00000000-0005-0000-0000-0000CB110000}"/>
    <cellStyle name="Normal 3 2 3 8 2" xfId="6778" xr:uid="{00000000-0005-0000-0000-0000CC110000}"/>
    <cellStyle name="Normal 3 2 3 8 2 2" xfId="15220" xr:uid="{A0C9C2FB-384F-426E-A10D-7C28367B9EDB}"/>
    <cellStyle name="Normal 3 2 3 8 2 3" xfId="23660" xr:uid="{8CC9DE92-CE4D-484B-A2F5-D36F901A03F8}"/>
    <cellStyle name="Normal 3 2 3 8 3" xfId="11002" xr:uid="{738AC02C-DEE6-4144-9600-A9308B24829D}"/>
    <cellStyle name="Normal 3 2 3 8 4" xfId="19443" xr:uid="{7BC26003-9ACF-451C-A59C-59F7D54DA5AC}"/>
    <cellStyle name="Normal 3 2 3 9" xfId="4712" xr:uid="{00000000-0005-0000-0000-0000CD110000}"/>
    <cellStyle name="Normal 3 2 3 9 2" xfId="13154" xr:uid="{CF1F4E33-AB7E-4B18-9FA2-C4D171D9ED26}"/>
    <cellStyle name="Normal 3 2 3 9 3" xfId="21594" xr:uid="{67DB8A9F-E336-49E4-A3E5-E515DFBA1414}"/>
    <cellStyle name="Normal 3 2 4" xfId="809" xr:uid="{00000000-0005-0000-0000-0000CE110000}"/>
    <cellStyle name="Normal 3 2 4 2" xfId="3047" xr:uid="{00000000-0005-0000-0000-0000CF110000}"/>
    <cellStyle name="Normal 3 2 4 2 2" xfId="7270" xr:uid="{00000000-0005-0000-0000-0000D0110000}"/>
    <cellStyle name="Normal 3 2 4 2 2 2" xfId="15712" xr:uid="{95CEFC4D-03C2-4A5B-8F8D-03708E804D27}"/>
    <cellStyle name="Normal 3 2 4 2 2 3" xfId="24152" xr:uid="{4EE50B77-3B3A-4CDB-B16A-585AA73B5914}"/>
    <cellStyle name="Normal 3 2 4 2 3" xfId="11494" xr:uid="{CFF1151F-C0A9-461B-BAEB-0146A011DCA7}"/>
    <cellStyle name="Normal 3 2 4 2 4" xfId="19935" xr:uid="{ED026669-E551-4CCD-8DB1-55B38A853CC7}"/>
    <cellStyle name="Normal 3 2 4 3" xfId="5125" xr:uid="{00000000-0005-0000-0000-0000D1110000}"/>
    <cellStyle name="Normal 3 2 4 3 2" xfId="13567" xr:uid="{96E41989-C3EF-4361-97AD-F1B7A736FD5F}"/>
    <cellStyle name="Normal 3 2 4 3 3" xfId="22007" xr:uid="{A4DCDDE9-7919-47A9-B708-F64FB550C3CA}"/>
    <cellStyle name="Normal 3 2 4 4" xfId="9349" xr:uid="{FC9DDE8D-F760-481F-8857-3E7DCF33C080}"/>
    <cellStyle name="Normal 3 2 4 5" xfId="17790" xr:uid="{5C1EFAA4-9F18-4912-A1AD-49B25BCEBE73}"/>
    <cellStyle name="Normal 3 2 5" xfId="1230" xr:uid="{00000000-0005-0000-0000-0000D2110000}"/>
    <cellStyle name="Normal 3 2 5 2" xfId="3460" xr:uid="{00000000-0005-0000-0000-0000D3110000}"/>
    <cellStyle name="Normal 3 2 5 2 2" xfId="7683" xr:uid="{00000000-0005-0000-0000-0000D4110000}"/>
    <cellStyle name="Normal 3 2 5 2 2 2" xfId="16125" xr:uid="{C841D83D-589C-4B89-BCE6-E9131E55B992}"/>
    <cellStyle name="Normal 3 2 5 2 2 3" xfId="24565" xr:uid="{A6DD1CF8-7EC6-45DD-8352-2950C7248064}"/>
    <cellStyle name="Normal 3 2 5 2 3" xfId="11907" xr:uid="{75757B38-F367-47DA-95BB-660DD23E101A}"/>
    <cellStyle name="Normal 3 2 5 2 4" xfId="20348" xr:uid="{135C534A-2530-4E88-96B3-9A4F6EC0C66C}"/>
    <cellStyle name="Normal 3 2 5 3" xfId="5538" xr:uid="{00000000-0005-0000-0000-0000D5110000}"/>
    <cellStyle name="Normal 3 2 5 3 2" xfId="13980" xr:uid="{7EBC14DE-88EA-48EB-8518-BA82C074B4A9}"/>
    <cellStyle name="Normal 3 2 5 3 3" xfId="22420" xr:uid="{45CAB576-795C-416C-9848-3C72055DD4DC}"/>
    <cellStyle name="Normal 3 2 5 4" xfId="9762" xr:uid="{749BCBFA-E47A-4904-AB67-0CFAFFD1807E}"/>
    <cellStyle name="Normal 3 2 5 5" xfId="18203" xr:uid="{6EE38DB3-DFAE-41AF-BFCE-6222D5C436BA}"/>
    <cellStyle name="Normal 3 2 6" xfId="1643" xr:uid="{00000000-0005-0000-0000-0000D6110000}"/>
    <cellStyle name="Normal 3 2 6 2" xfId="3873" xr:uid="{00000000-0005-0000-0000-0000D7110000}"/>
    <cellStyle name="Normal 3 2 6 2 2" xfId="8096" xr:uid="{00000000-0005-0000-0000-0000D8110000}"/>
    <cellStyle name="Normal 3 2 6 2 2 2" xfId="16538" xr:uid="{D70E8157-9BFB-428C-A79B-B0B82E203FBB}"/>
    <cellStyle name="Normal 3 2 6 2 2 3" xfId="24978" xr:uid="{0B25E7DA-5E71-48B6-8583-9CE5FF37A86C}"/>
    <cellStyle name="Normal 3 2 6 2 3" xfId="12320" xr:uid="{6C813A7E-9C4E-4040-B979-A2730D632643}"/>
    <cellStyle name="Normal 3 2 6 2 4" xfId="20761" xr:uid="{71052753-AF41-4261-97A3-4F1CF4E54195}"/>
    <cellStyle name="Normal 3 2 6 3" xfId="5951" xr:uid="{00000000-0005-0000-0000-0000D9110000}"/>
    <cellStyle name="Normal 3 2 6 3 2" xfId="14393" xr:uid="{707CAA53-691C-489F-89B9-0FBD1D384E67}"/>
    <cellStyle name="Normal 3 2 6 3 3" xfId="22833" xr:uid="{D4CD7637-ABBB-4F3A-9875-781B6769774B}"/>
    <cellStyle name="Normal 3 2 6 4" xfId="10175" xr:uid="{C7F8B148-F8D6-43F5-80B0-924C1C92158F}"/>
    <cellStyle name="Normal 3 2 6 5" xfId="18616" xr:uid="{DDA8722C-5E0D-42B4-A7FB-1CCA7A39AB0C}"/>
    <cellStyle name="Normal 3 2 7" xfId="2057" xr:uid="{00000000-0005-0000-0000-0000DA110000}"/>
    <cellStyle name="Normal 3 2 7 2" xfId="4286" xr:uid="{00000000-0005-0000-0000-0000DB110000}"/>
    <cellStyle name="Normal 3 2 7 2 2" xfId="8509" xr:uid="{00000000-0005-0000-0000-0000DC110000}"/>
    <cellStyle name="Normal 3 2 7 2 2 2" xfId="16951" xr:uid="{6AF661B7-A2EE-461B-AFE0-E51A598E0BB0}"/>
    <cellStyle name="Normal 3 2 7 2 2 3" xfId="25391" xr:uid="{9300B49E-6506-4415-9006-E058086092E1}"/>
    <cellStyle name="Normal 3 2 7 2 3" xfId="12733" xr:uid="{FEE16217-B32A-454A-BFD9-03A058589522}"/>
    <cellStyle name="Normal 3 2 7 2 4" xfId="21174" xr:uid="{BDEB06BA-E839-4603-8E0D-F16B12A42E17}"/>
    <cellStyle name="Normal 3 2 7 3" xfId="6364" xr:uid="{00000000-0005-0000-0000-0000DD110000}"/>
    <cellStyle name="Normal 3 2 7 3 2" xfId="14806" xr:uid="{BBAD8835-0935-4140-AEC3-11A456759EF2}"/>
    <cellStyle name="Normal 3 2 7 3 3" xfId="23246" xr:uid="{00147337-7EF1-4B4A-86C2-03AF9B145E5B}"/>
    <cellStyle name="Normal 3 2 7 4" xfId="10588" xr:uid="{F46DFC04-42EA-466A-8F82-FCE06F5991B0}"/>
    <cellStyle name="Normal 3 2 7 5" xfId="19029" xr:uid="{E238D418-DD03-465E-904F-B5644C94ADFD}"/>
    <cellStyle name="Normal 3 2 8" xfId="2493" xr:uid="{00000000-0005-0000-0000-0000DE110000}"/>
    <cellStyle name="Normal 3 2 8 2" xfId="6777" xr:uid="{00000000-0005-0000-0000-0000DF110000}"/>
    <cellStyle name="Normal 3 2 8 2 2" xfId="15219" xr:uid="{DB6DC867-B9EE-4C63-92A2-EAED32D5737C}"/>
    <cellStyle name="Normal 3 2 8 2 3" xfId="23659" xr:uid="{3581C2D4-95E0-4EEF-816C-8EBF259F4D4C}"/>
    <cellStyle name="Normal 3 2 8 3" xfId="11001" xr:uid="{B8F0A314-5558-4480-8BAF-5B8BAD31218D}"/>
    <cellStyle name="Normal 3 2 8 4" xfId="19442" xr:uid="{65F35D71-D2C1-4C85-9FD6-3670CD9A9539}"/>
    <cellStyle name="Normal 3 2 9" xfId="4711" xr:uid="{00000000-0005-0000-0000-0000E0110000}"/>
    <cellStyle name="Normal 3 2 9 2" xfId="13153" xr:uid="{B4B17AA3-9E35-4163-9B41-A862E24D7C91}"/>
    <cellStyle name="Normal 3 2 9 3" xfId="21593" xr:uid="{60DA358E-D834-4B9C-AA68-AE337C420FB5}"/>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0" xr:uid="{91C76EBD-8363-4A0B-B267-A7909806CB50}"/>
    <cellStyle name="Normal 4 11" xfId="17381" xr:uid="{2EEE4511-FD6D-41BD-8C7E-A64EBF2F2094}"/>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16956" xr:uid="{D3D0D0E8-37C7-498F-96BD-5B30E5078D3A}"/>
    <cellStyle name="Normal 4 2 2 10 2 2 3" xfId="25396" xr:uid="{A7A835EE-463D-423A-A888-E952D7BA4B58}"/>
    <cellStyle name="Normal 4 2 2 10 2 3" xfId="12738" xr:uid="{E39D9D03-E52B-4CEE-955A-19AE8862F015}"/>
    <cellStyle name="Normal 4 2 2 10 2 4" xfId="21179" xr:uid="{11C445B1-16AA-48F7-A961-CF365075C5DF}"/>
    <cellStyle name="Normal 4 2 2 10 3" xfId="6369" xr:uid="{00000000-0005-0000-0000-0000ED110000}"/>
    <cellStyle name="Normal 4 2 2 10 3 2" xfId="14811" xr:uid="{6D6856BF-817F-4E03-9B57-A57DA7869F36}"/>
    <cellStyle name="Normal 4 2 2 10 3 3" xfId="23251" xr:uid="{6CDA5A57-1780-46DF-BBF5-267E6B964EEB}"/>
    <cellStyle name="Normal 4 2 2 10 4" xfId="10593" xr:uid="{E41240FE-483E-47FB-96EF-CC28A373E8CD}"/>
    <cellStyle name="Normal 4 2 2 10 5" xfId="19034" xr:uid="{20D6EADD-A2E6-4747-8CE4-11CC6E0D874E}"/>
    <cellStyle name="Normal 4 2 2 11" xfId="2498" xr:uid="{00000000-0005-0000-0000-0000EE110000}"/>
    <cellStyle name="Normal 4 2 2 11 2" xfId="6782" xr:uid="{00000000-0005-0000-0000-0000EF110000}"/>
    <cellStyle name="Normal 4 2 2 11 2 2" xfId="15224" xr:uid="{F2731623-37E3-4284-A49A-9CCE8F849582}"/>
    <cellStyle name="Normal 4 2 2 11 2 3" xfId="23664" xr:uid="{94547425-3D74-463C-99DE-69A278457125}"/>
    <cellStyle name="Normal 4 2 2 11 3" xfId="11006" xr:uid="{5C639748-5DD2-4D4F-B5A0-83339D1FC9F2}"/>
    <cellStyle name="Normal 4 2 2 11 4" xfId="19447" xr:uid="{7C343E3A-3489-4220-9591-64AB7E067AA6}"/>
    <cellStyle name="Normal 4 2 2 12" xfId="4717" xr:uid="{00000000-0005-0000-0000-0000F0110000}"/>
    <cellStyle name="Normal 4 2 2 12 2" xfId="13159" xr:uid="{D9A4B2B5-E395-4D8D-901B-A217458AAAC0}"/>
    <cellStyle name="Normal 4 2 2 12 3" xfId="21599" xr:uid="{47787355-6418-4F62-8896-B71775C07D07}"/>
    <cellStyle name="Normal 4 2 2 13" xfId="8941" xr:uid="{3850FF7D-6404-4B1D-BE81-025F36872CC5}"/>
    <cellStyle name="Normal 4 2 2 14" xfId="17382" xr:uid="{ED655120-8517-49BE-BDB0-E36A8E0727E2}"/>
    <cellStyle name="Normal 4 2 2 2" xfId="338" xr:uid="{00000000-0005-0000-0000-0000F1110000}"/>
    <cellStyle name="Normal 4 2 2 3" xfId="339" xr:uid="{00000000-0005-0000-0000-0000F2110000}"/>
    <cellStyle name="Normal 4 2 2 3 10" xfId="4718" xr:uid="{00000000-0005-0000-0000-0000F3110000}"/>
    <cellStyle name="Normal 4 2 2 3 10 2" xfId="13160" xr:uid="{298DE394-3EE9-4BCD-B2D5-0FC36F5DF714}"/>
    <cellStyle name="Normal 4 2 2 3 10 3" xfId="21600" xr:uid="{EDAF47DE-E799-4A61-B2A3-012CE439F5E7}"/>
    <cellStyle name="Normal 4 2 2 3 11" xfId="8942" xr:uid="{844DC994-91C0-4680-AFCF-C6E535D55BF6}"/>
    <cellStyle name="Normal 4 2 2 3 12" xfId="17383" xr:uid="{B764AA0E-145C-429E-AAA3-3A3D636B06A0}"/>
    <cellStyle name="Normal 4 2 2 3 2" xfId="340" xr:uid="{00000000-0005-0000-0000-0000F4110000}"/>
    <cellStyle name="Normal 4 2 2 3 2 10" xfId="8943" xr:uid="{4A12ACFD-6401-464A-B75F-9C16070299EA}"/>
    <cellStyle name="Normal 4 2 2 3 2 11" xfId="17384" xr:uid="{4FCA0949-27ED-4017-B09D-373F534ECF97}"/>
    <cellStyle name="Normal 4 2 2 3 2 2" xfId="341" xr:uid="{00000000-0005-0000-0000-0000F5110000}"/>
    <cellStyle name="Normal 4 2 2 3 2 2 10" xfId="17385" xr:uid="{3E0A8E37-B39F-48F3-A0DA-87F02AAA7D87}"/>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15721" xr:uid="{72778C89-F8BD-4188-ACCE-E8193EEEA3FC}"/>
    <cellStyle name="Normal 4 2 2 3 2 2 2 2 2 2 3" xfId="24161" xr:uid="{BB97C8BA-0F40-4CED-8CA1-E04F8B75806E}"/>
    <cellStyle name="Normal 4 2 2 3 2 2 2 2 2 3" xfId="11503" xr:uid="{122D4CF7-CD5A-41D9-9DDE-43B0A912F141}"/>
    <cellStyle name="Normal 4 2 2 3 2 2 2 2 2 4" xfId="19944" xr:uid="{DD7DB8E8-1BF5-42F7-8C29-6F831FB83AF2}"/>
    <cellStyle name="Normal 4 2 2 3 2 2 2 2 3" xfId="5134" xr:uid="{00000000-0005-0000-0000-0000FA110000}"/>
    <cellStyle name="Normal 4 2 2 3 2 2 2 2 3 2" xfId="13576" xr:uid="{FE339986-09DD-41B6-9DFF-7E6E92EBB745}"/>
    <cellStyle name="Normal 4 2 2 3 2 2 2 2 3 3" xfId="22016" xr:uid="{3BC1F32D-DDC2-4BAA-BEFF-5065D38E355C}"/>
    <cellStyle name="Normal 4 2 2 3 2 2 2 2 4" xfId="9358" xr:uid="{9B590F49-D67D-42C4-93FA-A16738AF3A70}"/>
    <cellStyle name="Normal 4 2 2 3 2 2 2 2 5" xfId="17799" xr:uid="{789AB79C-E665-45A1-BE20-49C450C7C3CF}"/>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16134" xr:uid="{3E2C77A7-BDF6-4B2F-A346-ECD4EBD0A367}"/>
    <cellStyle name="Normal 4 2 2 3 2 2 2 3 2 2 3" xfId="24574" xr:uid="{71D8AC39-8F27-4DF5-B0A8-10F9543F7909}"/>
    <cellStyle name="Normal 4 2 2 3 2 2 2 3 2 3" xfId="11916" xr:uid="{2AD6CD00-A24B-413B-ACB6-7B774CD99C47}"/>
    <cellStyle name="Normal 4 2 2 3 2 2 2 3 2 4" xfId="20357" xr:uid="{0D4FB2AD-D81C-45C7-861E-823BCDDD8148}"/>
    <cellStyle name="Normal 4 2 2 3 2 2 2 3 3" xfId="5547" xr:uid="{00000000-0005-0000-0000-0000FE110000}"/>
    <cellStyle name="Normal 4 2 2 3 2 2 2 3 3 2" xfId="13989" xr:uid="{D1145118-B4FD-48A4-8B40-869AAA302A6D}"/>
    <cellStyle name="Normal 4 2 2 3 2 2 2 3 3 3" xfId="22429" xr:uid="{8C057D76-77D0-4128-B34D-6ACFADF1F9A3}"/>
    <cellStyle name="Normal 4 2 2 3 2 2 2 3 4" xfId="9771" xr:uid="{8521EF0D-B56C-467E-B989-D223F74F2277}"/>
    <cellStyle name="Normal 4 2 2 3 2 2 2 3 5" xfId="18212" xr:uid="{407F2ED7-3D20-44F3-9196-5B06032441B2}"/>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16547" xr:uid="{07D972CB-18EA-4E0C-A4C7-1053CF2CE419}"/>
    <cellStyle name="Normal 4 2 2 3 2 2 2 4 2 2 3" xfId="24987" xr:uid="{221299F5-284B-4CCE-9DEE-0635FF8854D9}"/>
    <cellStyle name="Normal 4 2 2 3 2 2 2 4 2 3" xfId="12329" xr:uid="{A3B5447C-135F-4C06-A7DC-7CD85193BBFD}"/>
    <cellStyle name="Normal 4 2 2 3 2 2 2 4 2 4" xfId="20770" xr:uid="{EF77EE3C-D6CF-4507-BF6D-DAB9A9B34AAF}"/>
    <cellStyle name="Normal 4 2 2 3 2 2 2 4 3" xfId="5960" xr:uid="{00000000-0005-0000-0000-000002120000}"/>
    <cellStyle name="Normal 4 2 2 3 2 2 2 4 3 2" xfId="14402" xr:uid="{08F99F07-B1D3-48CE-8AFF-8875D9EF1BBC}"/>
    <cellStyle name="Normal 4 2 2 3 2 2 2 4 3 3" xfId="22842" xr:uid="{B50381C1-16D3-4984-A6C7-01150AF77B25}"/>
    <cellStyle name="Normal 4 2 2 3 2 2 2 4 4" xfId="10184" xr:uid="{B3D9EED5-CA5E-46E0-89C5-BDF43CC87453}"/>
    <cellStyle name="Normal 4 2 2 3 2 2 2 4 5" xfId="18625" xr:uid="{DBF9CA44-9D89-4565-A24C-33CDE064795F}"/>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16960" xr:uid="{B61BA4BE-8F42-4DBA-85C3-FBA045FE544F}"/>
    <cellStyle name="Normal 4 2 2 3 2 2 2 5 2 2 3" xfId="25400" xr:uid="{50AE9B2D-F63F-45FB-8E7C-F65B0E7AF991}"/>
    <cellStyle name="Normal 4 2 2 3 2 2 2 5 2 3" xfId="12742" xr:uid="{F34442D3-D10D-428E-9712-09C0C8D142EA}"/>
    <cellStyle name="Normal 4 2 2 3 2 2 2 5 2 4" xfId="21183" xr:uid="{0E4B8ED0-FC80-423C-AAA5-82D31D1E3CCA}"/>
    <cellStyle name="Normal 4 2 2 3 2 2 2 5 3" xfId="6373" xr:uid="{00000000-0005-0000-0000-000006120000}"/>
    <cellStyle name="Normal 4 2 2 3 2 2 2 5 3 2" xfId="14815" xr:uid="{812D2CFF-D576-485F-BF7B-04C18CAEA955}"/>
    <cellStyle name="Normal 4 2 2 3 2 2 2 5 3 3" xfId="23255" xr:uid="{561C1F86-1DFF-4470-93CA-94E4ADFDA741}"/>
    <cellStyle name="Normal 4 2 2 3 2 2 2 5 4" xfId="10597" xr:uid="{22D6CFBF-D992-44F6-A3BA-5AADF9DF0EF4}"/>
    <cellStyle name="Normal 4 2 2 3 2 2 2 5 5" xfId="19038" xr:uid="{13BCD9EC-36D9-4D52-9706-14D7B26A68CF}"/>
    <cellStyle name="Normal 4 2 2 3 2 2 2 6" xfId="2502" xr:uid="{00000000-0005-0000-0000-000007120000}"/>
    <cellStyle name="Normal 4 2 2 3 2 2 2 6 2" xfId="6786" xr:uid="{00000000-0005-0000-0000-000008120000}"/>
    <cellStyle name="Normal 4 2 2 3 2 2 2 6 2 2" xfId="15228" xr:uid="{5B9B4209-4AA2-4FB3-B67A-0D6AECAF8E95}"/>
    <cellStyle name="Normal 4 2 2 3 2 2 2 6 2 3" xfId="23668" xr:uid="{446112E1-F1C3-40D3-94D8-39B3595BCF9F}"/>
    <cellStyle name="Normal 4 2 2 3 2 2 2 6 3" xfId="11010" xr:uid="{136543F7-F4DF-4510-8B52-55576703740F}"/>
    <cellStyle name="Normal 4 2 2 3 2 2 2 6 4" xfId="19451" xr:uid="{0AC98AB8-445C-48EB-BFA5-49377B1C3757}"/>
    <cellStyle name="Normal 4 2 2 3 2 2 2 7" xfId="4721" xr:uid="{00000000-0005-0000-0000-000009120000}"/>
    <cellStyle name="Normal 4 2 2 3 2 2 2 7 2" xfId="13163" xr:uid="{111F07F5-B2F6-471F-9762-A0D8EA7FCCB7}"/>
    <cellStyle name="Normal 4 2 2 3 2 2 2 7 3" xfId="21603" xr:uid="{790A9C6B-0AB4-4EC8-BD85-AF5A3FD65E97}"/>
    <cellStyle name="Normal 4 2 2 3 2 2 2 8" xfId="8945" xr:uid="{C03F2E82-17CE-456A-8092-4F2DF9F869CA}"/>
    <cellStyle name="Normal 4 2 2 3 2 2 2 9" xfId="17386" xr:uid="{1DF00BFB-513B-4E67-B94A-53DDB6E08B3A}"/>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15720" xr:uid="{26C677A8-DF12-4A62-BAFA-F0E864241D65}"/>
    <cellStyle name="Normal 4 2 2 3 2 2 3 2 2 3" xfId="24160" xr:uid="{8D5B0A55-F8AC-45C5-B48E-1AC5177FBFB1}"/>
    <cellStyle name="Normal 4 2 2 3 2 2 3 2 3" xfId="11502" xr:uid="{400365AC-0A64-48BE-860A-AE87372567DD}"/>
    <cellStyle name="Normal 4 2 2 3 2 2 3 2 4" xfId="19943" xr:uid="{C0D05493-79AA-43EE-A42D-D2E31E5F3F54}"/>
    <cellStyle name="Normal 4 2 2 3 2 2 3 3" xfId="5133" xr:uid="{00000000-0005-0000-0000-00000D120000}"/>
    <cellStyle name="Normal 4 2 2 3 2 2 3 3 2" xfId="13575" xr:uid="{C98D5850-DAE3-43A9-8AF4-2FB81B298B5B}"/>
    <cellStyle name="Normal 4 2 2 3 2 2 3 3 3" xfId="22015" xr:uid="{CC323324-3808-4B4F-A10B-F5E200133410}"/>
    <cellStyle name="Normal 4 2 2 3 2 2 3 4" xfId="9357" xr:uid="{36D5E4A6-A53B-4789-8D5B-8140184E9AAA}"/>
    <cellStyle name="Normal 4 2 2 3 2 2 3 5" xfId="17798" xr:uid="{E9973062-F26B-4645-BA63-61F54C90E857}"/>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16133" xr:uid="{A884CCC1-7159-416C-8A4F-9D1B5BF4FF5F}"/>
    <cellStyle name="Normal 4 2 2 3 2 2 4 2 2 3" xfId="24573" xr:uid="{8843A7E6-31F8-4E35-B3F8-9A87E5F3D165}"/>
    <cellStyle name="Normal 4 2 2 3 2 2 4 2 3" xfId="11915" xr:uid="{510629B5-E241-405F-9C2E-A1C4FE6B9CBE}"/>
    <cellStyle name="Normal 4 2 2 3 2 2 4 2 4" xfId="20356" xr:uid="{E366DAE9-55BA-4F57-864E-67DB1386981F}"/>
    <cellStyle name="Normal 4 2 2 3 2 2 4 3" xfId="5546" xr:uid="{00000000-0005-0000-0000-000011120000}"/>
    <cellStyle name="Normal 4 2 2 3 2 2 4 3 2" xfId="13988" xr:uid="{574A864E-AA49-4DCA-9AE8-60BD289623A5}"/>
    <cellStyle name="Normal 4 2 2 3 2 2 4 3 3" xfId="22428" xr:uid="{B3421EC6-C5CB-478D-925D-ECA909F31A96}"/>
    <cellStyle name="Normal 4 2 2 3 2 2 4 4" xfId="9770" xr:uid="{E10B99F1-70AE-4582-BEC6-F4351307255A}"/>
    <cellStyle name="Normal 4 2 2 3 2 2 4 5" xfId="18211" xr:uid="{87F7B2C2-6655-4146-B03F-C8E96CFBA01E}"/>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16546" xr:uid="{513EE41F-4968-4035-B116-939AA153F780}"/>
    <cellStyle name="Normal 4 2 2 3 2 2 5 2 2 3" xfId="24986" xr:uid="{FC444487-7B4A-41A4-9EAB-663A1CF230E0}"/>
    <cellStyle name="Normal 4 2 2 3 2 2 5 2 3" xfId="12328" xr:uid="{CBAD5C38-8A90-4662-A13A-79F71FB6A7C4}"/>
    <cellStyle name="Normal 4 2 2 3 2 2 5 2 4" xfId="20769" xr:uid="{C8F7D4CE-5649-4C3A-BECA-7C24E18A9C80}"/>
    <cellStyle name="Normal 4 2 2 3 2 2 5 3" xfId="5959" xr:uid="{00000000-0005-0000-0000-000015120000}"/>
    <cellStyle name="Normal 4 2 2 3 2 2 5 3 2" xfId="14401" xr:uid="{D3EA95EF-FD15-4C3A-A56B-2B6418548DFE}"/>
    <cellStyle name="Normal 4 2 2 3 2 2 5 3 3" xfId="22841" xr:uid="{11A3B429-915F-4591-9BA0-3CC1137F573D}"/>
    <cellStyle name="Normal 4 2 2 3 2 2 5 4" xfId="10183" xr:uid="{539A3960-AFFA-4922-A5CE-CAFBC168840A}"/>
    <cellStyle name="Normal 4 2 2 3 2 2 5 5" xfId="18624" xr:uid="{0A4F14B3-BC42-4EAC-8282-3146FD436A8C}"/>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16959" xr:uid="{35B06CFC-6655-4426-982B-3BEFDE549443}"/>
    <cellStyle name="Normal 4 2 2 3 2 2 6 2 2 3" xfId="25399" xr:uid="{9A421B3E-E075-4510-BD92-1D1D3B54A9E4}"/>
    <cellStyle name="Normal 4 2 2 3 2 2 6 2 3" xfId="12741" xr:uid="{7B5DCB75-3238-4BC1-A378-93F1C5F109AD}"/>
    <cellStyle name="Normal 4 2 2 3 2 2 6 2 4" xfId="21182" xr:uid="{04A5A47F-0066-47C7-9840-5F3E79CC04E6}"/>
    <cellStyle name="Normal 4 2 2 3 2 2 6 3" xfId="6372" xr:uid="{00000000-0005-0000-0000-000019120000}"/>
    <cellStyle name="Normal 4 2 2 3 2 2 6 3 2" xfId="14814" xr:uid="{7ABBFDDC-EE33-4AD0-A1D0-55ABEC86803A}"/>
    <cellStyle name="Normal 4 2 2 3 2 2 6 3 3" xfId="23254" xr:uid="{64AFF785-D04C-45A5-A3B5-68276CA38744}"/>
    <cellStyle name="Normal 4 2 2 3 2 2 6 4" xfId="10596" xr:uid="{16D171EC-B7CC-4A2A-95FF-F43CA728E161}"/>
    <cellStyle name="Normal 4 2 2 3 2 2 6 5" xfId="19037" xr:uid="{DA4E34A6-7F6E-4136-B799-D77960C85520}"/>
    <cellStyle name="Normal 4 2 2 3 2 2 7" xfId="2501" xr:uid="{00000000-0005-0000-0000-00001A120000}"/>
    <cellStyle name="Normal 4 2 2 3 2 2 7 2" xfId="6785" xr:uid="{00000000-0005-0000-0000-00001B120000}"/>
    <cellStyle name="Normal 4 2 2 3 2 2 7 2 2" xfId="15227" xr:uid="{47562886-B142-445C-825E-E7C43C2AF4FE}"/>
    <cellStyle name="Normal 4 2 2 3 2 2 7 2 3" xfId="23667" xr:uid="{4500C0CB-C6BC-4431-8F13-6C81232F2406}"/>
    <cellStyle name="Normal 4 2 2 3 2 2 7 3" xfId="11009" xr:uid="{421B77E7-3ABC-4400-A9C7-256C13E9833B}"/>
    <cellStyle name="Normal 4 2 2 3 2 2 7 4" xfId="19450" xr:uid="{A3F04469-0405-492A-B39F-9C94E29035F7}"/>
    <cellStyle name="Normal 4 2 2 3 2 2 8" xfId="4720" xr:uid="{00000000-0005-0000-0000-00001C120000}"/>
    <cellStyle name="Normal 4 2 2 3 2 2 8 2" xfId="13162" xr:uid="{2C081BB4-0A9D-4015-8B2B-2EAF4F5F0B2F}"/>
    <cellStyle name="Normal 4 2 2 3 2 2 8 3" xfId="21602" xr:uid="{78387613-95E1-4624-8259-2DFFDF6C4BD5}"/>
    <cellStyle name="Normal 4 2 2 3 2 2 9" xfId="8944" xr:uid="{DC7C258A-F575-4EEB-BD81-58CDE3426791}"/>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15722" xr:uid="{408BE9F8-C7EF-4C7A-9F48-E385C92F1301}"/>
    <cellStyle name="Normal 4 2 2 3 2 3 2 2 2 3" xfId="24162" xr:uid="{DA53807F-3EC3-41A6-B2F6-145A2FA99B20}"/>
    <cellStyle name="Normal 4 2 2 3 2 3 2 2 3" xfId="11504" xr:uid="{66A14D80-21F1-4B87-9AD9-EA34DF9F8997}"/>
    <cellStyle name="Normal 4 2 2 3 2 3 2 2 4" xfId="19945" xr:uid="{FF26F51F-2288-4227-A776-0E930C2E427A}"/>
    <cellStyle name="Normal 4 2 2 3 2 3 2 3" xfId="5135" xr:uid="{00000000-0005-0000-0000-000021120000}"/>
    <cellStyle name="Normal 4 2 2 3 2 3 2 3 2" xfId="13577" xr:uid="{F34690D8-F0FD-46AD-A274-7B138B3E040E}"/>
    <cellStyle name="Normal 4 2 2 3 2 3 2 3 3" xfId="22017" xr:uid="{35639196-58A1-40E1-BE3A-4012E7E06888}"/>
    <cellStyle name="Normal 4 2 2 3 2 3 2 4" xfId="9359" xr:uid="{253D790E-04BD-4193-8E38-DAF338BFE941}"/>
    <cellStyle name="Normal 4 2 2 3 2 3 2 5" xfId="17800" xr:uid="{1DAD6B81-750C-40F4-90CB-C6156F56B9DB}"/>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16135" xr:uid="{30A403AC-DEE4-4A1F-BBCD-A46E7FFDF972}"/>
    <cellStyle name="Normal 4 2 2 3 2 3 3 2 2 3" xfId="24575" xr:uid="{D816B2CD-B18F-4840-8714-DB52C5E29456}"/>
    <cellStyle name="Normal 4 2 2 3 2 3 3 2 3" xfId="11917" xr:uid="{C21DA87C-5A64-4EC5-B07F-58D5F74A2A0C}"/>
    <cellStyle name="Normal 4 2 2 3 2 3 3 2 4" xfId="20358" xr:uid="{55BD138E-0859-498F-BE64-289207FD76FC}"/>
    <cellStyle name="Normal 4 2 2 3 2 3 3 3" xfId="5548" xr:uid="{00000000-0005-0000-0000-000025120000}"/>
    <cellStyle name="Normal 4 2 2 3 2 3 3 3 2" xfId="13990" xr:uid="{E519CF38-7B12-44F9-874A-3736C3B1CE90}"/>
    <cellStyle name="Normal 4 2 2 3 2 3 3 3 3" xfId="22430" xr:uid="{3448086E-810C-48AD-A5FF-C3EB423BFE0D}"/>
    <cellStyle name="Normal 4 2 2 3 2 3 3 4" xfId="9772" xr:uid="{D8FD0D34-FB7C-4B5B-89BE-39214CB87119}"/>
    <cellStyle name="Normal 4 2 2 3 2 3 3 5" xfId="18213" xr:uid="{320E8548-2BD0-4437-8FBA-1A3E3546C9C7}"/>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16548" xr:uid="{0A0F83EC-9CC0-47FC-AA9B-9D95D86F2587}"/>
    <cellStyle name="Normal 4 2 2 3 2 3 4 2 2 3" xfId="24988" xr:uid="{D727E0D9-5CCC-4565-800B-5F44308192E5}"/>
    <cellStyle name="Normal 4 2 2 3 2 3 4 2 3" xfId="12330" xr:uid="{C5D57BE7-84FE-46E1-9062-8784F8276166}"/>
    <cellStyle name="Normal 4 2 2 3 2 3 4 2 4" xfId="20771" xr:uid="{B54382E3-6845-4501-9BF6-49D033A4DCB9}"/>
    <cellStyle name="Normal 4 2 2 3 2 3 4 3" xfId="5961" xr:uid="{00000000-0005-0000-0000-000029120000}"/>
    <cellStyle name="Normal 4 2 2 3 2 3 4 3 2" xfId="14403" xr:uid="{E25CC9C0-188D-4F0D-BBE3-2340AE8FC2F4}"/>
    <cellStyle name="Normal 4 2 2 3 2 3 4 3 3" xfId="22843" xr:uid="{EBCCB59A-D0A6-4941-84FA-74D1B3D5A2BB}"/>
    <cellStyle name="Normal 4 2 2 3 2 3 4 4" xfId="10185" xr:uid="{0DC05769-BDCE-4426-AF7B-58BD830189D7}"/>
    <cellStyle name="Normal 4 2 2 3 2 3 4 5" xfId="18626" xr:uid="{CF2D0F64-1F17-41D5-97B6-E43E116CD5F5}"/>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16961" xr:uid="{3ED3C00E-4AAC-466E-A71F-BB868D72E920}"/>
    <cellStyle name="Normal 4 2 2 3 2 3 5 2 2 3" xfId="25401" xr:uid="{8E9F672F-5241-464C-AEC6-9910DBD8A1C2}"/>
    <cellStyle name="Normal 4 2 2 3 2 3 5 2 3" xfId="12743" xr:uid="{7CD79BB7-E920-4BCA-8923-D4E31F1842AB}"/>
    <cellStyle name="Normal 4 2 2 3 2 3 5 2 4" xfId="21184" xr:uid="{49AACFAF-833A-45F0-BECC-B194A37B8664}"/>
    <cellStyle name="Normal 4 2 2 3 2 3 5 3" xfId="6374" xr:uid="{00000000-0005-0000-0000-00002D120000}"/>
    <cellStyle name="Normal 4 2 2 3 2 3 5 3 2" xfId="14816" xr:uid="{FAA78A66-B996-4447-A48F-D45CC198487A}"/>
    <cellStyle name="Normal 4 2 2 3 2 3 5 3 3" xfId="23256" xr:uid="{258E4FFC-9DB9-4B09-83EF-51516DDC40EE}"/>
    <cellStyle name="Normal 4 2 2 3 2 3 5 4" xfId="10598" xr:uid="{F100B0E6-E55D-4E1E-9AC7-FB2FFE65584D}"/>
    <cellStyle name="Normal 4 2 2 3 2 3 5 5" xfId="19039" xr:uid="{1415B31F-7D0E-4C4B-915C-2940FC7DE908}"/>
    <cellStyle name="Normal 4 2 2 3 2 3 6" xfId="2503" xr:uid="{00000000-0005-0000-0000-00002E120000}"/>
    <cellStyle name="Normal 4 2 2 3 2 3 6 2" xfId="6787" xr:uid="{00000000-0005-0000-0000-00002F120000}"/>
    <cellStyle name="Normal 4 2 2 3 2 3 6 2 2" xfId="15229" xr:uid="{9F457FB1-6428-41B9-B60A-A1BDEF8E8E87}"/>
    <cellStyle name="Normal 4 2 2 3 2 3 6 2 3" xfId="23669" xr:uid="{AC89AFCC-6A9B-4AF1-9FE4-5D26656FC7AD}"/>
    <cellStyle name="Normal 4 2 2 3 2 3 6 3" xfId="11011" xr:uid="{61CBBBF6-58B7-46FA-91EC-957C440A4DA8}"/>
    <cellStyle name="Normal 4 2 2 3 2 3 6 4" xfId="19452" xr:uid="{6C4ED86F-2022-4392-A101-556403900E17}"/>
    <cellStyle name="Normal 4 2 2 3 2 3 7" xfId="4722" xr:uid="{00000000-0005-0000-0000-000030120000}"/>
    <cellStyle name="Normal 4 2 2 3 2 3 7 2" xfId="13164" xr:uid="{395E3FED-8079-45F9-BF86-D4CF2D4ADBFE}"/>
    <cellStyle name="Normal 4 2 2 3 2 3 7 3" xfId="21604" xr:uid="{D35FF873-F1D6-454C-B268-E82CE4A1BDC1}"/>
    <cellStyle name="Normal 4 2 2 3 2 3 8" xfId="8946" xr:uid="{FA2D6D69-5187-4AE5-B12F-256200CC2457}"/>
    <cellStyle name="Normal 4 2 2 3 2 3 9" xfId="17387" xr:uid="{BE14D7DB-B66E-4EFF-BFE8-E660670B7873}"/>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15719" xr:uid="{595F1B13-F4C1-467A-B694-6F4508E7C786}"/>
    <cellStyle name="Normal 4 2 2 3 2 4 2 2 3" xfId="24159" xr:uid="{5475DD6B-42B7-474D-BA14-02CD75DC3EBD}"/>
    <cellStyle name="Normal 4 2 2 3 2 4 2 3" xfId="11501" xr:uid="{3CF39032-578D-4AF2-804F-AE83735E2A3F}"/>
    <cellStyle name="Normal 4 2 2 3 2 4 2 4" xfId="19942" xr:uid="{273E1456-6490-49BB-8FD9-976AD11587B3}"/>
    <cellStyle name="Normal 4 2 2 3 2 4 3" xfId="5132" xr:uid="{00000000-0005-0000-0000-000034120000}"/>
    <cellStyle name="Normal 4 2 2 3 2 4 3 2" xfId="13574" xr:uid="{FCBC50EC-ECE7-4253-87AE-329B1458D95D}"/>
    <cellStyle name="Normal 4 2 2 3 2 4 3 3" xfId="22014" xr:uid="{6C1B0307-CE66-4009-A160-4639D9BEAB46}"/>
    <cellStyle name="Normal 4 2 2 3 2 4 4" xfId="9356" xr:uid="{45C5262E-0BEB-4A3A-8158-2E55CFADF6A4}"/>
    <cellStyle name="Normal 4 2 2 3 2 4 5" xfId="17797" xr:uid="{F1BDFFEA-0A43-429D-B0D6-0B98B2C4F0FD}"/>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16132" xr:uid="{344EF4B6-4953-44D8-954F-49785ED5B171}"/>
    <cellStyle name="Normal 4 2 2 3 2 5 2 2 3" xfId="24572" xr:uid="{EA089965-C5DE-42E6-8D18-172DAFCDD2F2}"/>
    <cellStyle name="Normal 4 2 2 3 2 5 2 3" xfId="11914" xr:uid="{190A1359-A09D-4DE2-B93D-57C45F616CB2}"/>
    <cellStyle name="Normal 4 2 2 3 2 5 2 4" xfId="20355" xr:uid="{7B83841B-8332-42EB-9906-271DC75D91CD}"/>
    <cellStyle name="Normal 4 2 2 3 2 5 3" xfId="5545" xr:uid="{00000000-0005-0000-0000-000038120000}"/>
    <cellStyle name="Normal 4 2 2 3 2 5 3 2" xfId="13987" xr:uid="{D73C9E1E-452F-4F78-AAF8-4F07FC321571}"/>
    <cellStyle name="Normal 4 2 2 3 2 5 3 3" xfId="22427" xr:uid="{D94B95C8-9DC3-4820-B6A4-46090526D2EF}"/>
    <cellStyle name="Normal 4 2 2 3 2 5 4" xfId="9769" xr:uid="{1B27D7F4-BF84-43E1-B378-C4E8B3135873}"/>
    <cellStyle name="Normal 4 2 2 3 2 5 5" xfId="18210" xr:uid="{27232CDF-9543-4099-BB05-936D7B4D8EC7}"/>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16545" xr:uid="{CD9230EC-808D-40FB-B648-2E8CEFE9D464}"/>
    <cellStyle name="Normal 4 2 2 3 2 6 2 2 3" xfId="24985" xr:uid="{CB6D1B67-718C-4A77-999C-0A552581E1DD}"/>
    <cellStyle name="Normal 4 2 2 3 2 6 2 3" xfId="12327" xr:uid="{1BB25326-4611-42E8-BBDE-BBBBD3353027}"/>
    <cellStyle name="Normal 4 2 2 3 2 6 2 4" xfId="20768" xr:uid="{F8ADDF1B-50C3-4B86-AF89-0561A11932CA}"/>
    <cellStyle name="Normal 4 2 2 3 2 6 3" xfId="5958" xr:uid="{00000000-0005-0000-0000-00003C120000}"/>
    <cellStyle name="Normal 4 2 2 3 2 6 3 2" xfId="14400" xr:uid="{0F19A1DE-4EFC-4CCB-88C1-D313B6D68842}"/>
    <cellStyle name="Normal 4 2 2 3 2 6 3 3" xfId="22840" xr:uid="{BAEAC761-A258-4539-B061-53BF4C4BD7F9}"/>
    <cellStyle name="Normal 4 2 2 3 2 6 4" xfId="10182" xr:uid="{683BFE8E-BE04-41C3-BEA3-13331776B1FF}"/>
    <cellStyle name="Normal 4 2 2 3 2 6 5" xfId="18623" xr:uid="{CF121F03-EB9B-45B4-B6E8-E213F31BF4B8}"/>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16958" xr:uid="{CF963DF6-5CF9-4D7F-9702-0BAD2A0EC822}"/>
    <cellStyle name="Normal 4 2 2 3 2 7 2 2 3" xfId="25398" xr:uid="{482E8098-C7DB-457E-8B59-4C76E52769BB}"/>
    <cellStyle name="Normal 4 2 2 3 2 7 2 3" xfId="12740" xr:uid="{4EA4D1B4-442E-4F38-ACD5-2C5055CC6C13}"/>
    <cellStyle name="Normal 4 2 2 3 2 7 2 4" xfId="21181" xr:uid="{6F6846B4-C513-4E5E-B560-EB11280D6957}"/>
    <cellStyle name="Normal 4 2 2 3 2 7 3" xfId="6371" xr:uid="{00000000-0005-0000-0000-000040120000}"/>
    <cellStyle name="Normal 4 2 2 3 2 7 3 2" xfId="14813" xr:uid="{83097C86-BD3B-455F-96AF-D9090097F31B}"/>
    <cellStyle name="Normal 4 2 2 3 2 7 3 3" xfId="23253" xr:uid="{63CDB5F9-6B4C-4051-887A-4024B08F541A}"/>
    <cellStyle name="Normal 4 2 2 3 2 7 4" xfId="10595" xr:uid="{61E82BDB-1CF5-401C-85DE-253E3B77BB1A}"/>
    <cellStyle name="Normal 4 2 2 3 2 7 5" xfId="19036" xr:uid="{7E70A35A-9F98-4774-8B46-C2515B045CA9}"/>
    <cellStyle name="Normal 4 2 2 3 2 8" xfId="2500" xr:uid="{00000000-0005-0000-0000-000041120000}"/>
    <cellStyle name="Normal 4 2 2 3 2 8 2" xfId="6784" xr:uid="{00000000-0005-0000-0000-000042120000}"/>
    <cellStyle name="Normal 4 2 2 3 2 8 2 2" xfId="15226" xr:uid="{37B3AD53-05B1-4C19-9659-8C6DC220BC08}"/>
    <cellStyle name="Normal 4 2 2 3 2 8 2 3" xfId="23666" xr:uid="{2D3F2A21-1AA2-4B5B-ACD2-B372F2FC2FCC}"/>
    <cellStyle name="Normal 4 2 2 3 2 8 3" xfId="11008" xr:uid="{3A541619-468B-4B55-B15D-4168539E4898}"/>
    <cellStyle name="Normal 4 2 2 3 2 8 4" xfId="19449" xr:uid="{BB88A834-AC08-47B7-AE53-B5CCF2C8CA47}"/>
    <cellStyle name="Normal 4 2 2 3 2 9" xfId="4719" xr:uid="{00000000-0005-0000-0000-000043120000}"/>
    <cellStyle name="Normal 4 2 2 3 2 9 2" xfId="13161" xr:uid="{88FE9050-A8C2-49AB-BD85-817E9D788EA6}"/>
    <cellStyle name="Normal 4 2 2 3 2 9 3" xfId="21601" xr:uid="{627DF0F2-E798-4FE6-AB98-6AA137A89D14}"/>
    <cellStyle name="Normal 4 2 2 3 3" xfId="344" xr:uid="{00000000-0005-0000-0000-000044120000}"/>
    <cellStyle name="Normal 4 2 2 3 3 10" xfId="17388" xr:uid="{749E3925-EC9E-4533-BD47-FEF21C34265B}"/>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15724" xr:uid="{E278FC8B-7281-4348-849D-18DFF56939E9}"/>
    <cellStyle name="Normal 4 2 2 3 3 2 2 2 2 3" xfId="24164" xr:uid="{E4A8E1D9-EFE0-4BD6-9BFD-5CA9BE887BAF}"/>
    <cellStyle name="Normal 4 2 2 3 3 2 2 2 3" xfId="11506" xr:uid="{978A5301-71E0-471D-AE6D-D1A69451E498}"/>
    <cellStyle name="Normal 4 2 2 3 3 2 2 2 4" xfId="19947" xr:uid="{07A3FB98-C92F-43ED-902D-2797537DB7E8}"/>
    <cellStyle name="Normal 4 2 2 3 3 2 2 3" xfId="5137" xr:uid="{00000000-0005-0000-0000-000049120000}"/>
    <cellStyle name="Normal 4 2 2 3 3 2 2 3 2" xfId="13579" xr:uid="{9BC3EF3F-31A6-4D54-A0F7-926187753AB0}"/>
    <cellStyle name="Normal 4 2 2 3 3 2 2 3 3" xfId="22019" xr:uid="{653D2EF6-5190-44C4-B584-2D08A0C351B3}"/>
    <cellStyle name="Normal 4 2 2 3 3 2 2 4" xfId="9361" xr:uid="{0DA41BEC-9C5F-431C-9CB9-D8C08C52396C}"/>
    <cellStyle name="Normal 4 2 2 3 3 2 2 5" xfId="17802" xr:uid="{99FA2FCA-CE99-446C-9F13-321AB06057BB}"/>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16137" xr:uid="{02E4F18F-3C11-4CC3-8045-4573DD36535A}"/>
    <cellStyle name="Normal 4 2 2 3 3 2 3 2 2 3" xfId="24577" xr:uid="{C3DE4CCA-3840-4CF5-AF2C-EE8519758197}"/>
    <cellStyle name="Normal 4 2 2 3 3 2 3 2 3" xfId="11919" xr:uid="{F42208F1-09F5-4057-BF38-A3ABCBA2635F}"/>
    <cellStyle name="Normal 4 2 2 3 3 2 3 2 4" xfId="20360" xr:uid="{ABD15996-CE18-4588-BD3C-9044019EB11B}"/>
    <cellStyle name="Normal 4 2 2 3 3 2 3 3" xfId="5550" xr:uid="{00000000-0005-0000-0000-00004D120000}"/>
    <cellStyle name="Normal 4 2 2 3 3 2 3 3 2" xfId="13992" xr:uid="{EA762227-7E1F-4B07-9F64-D25CBA65FD6E}"/>
    <cellStyle name="Normal 4 2 2 3 3 2 3 3 3" xfId="22432" xr:uid="{FB5C8F1D-E3A6-4C82-9DBB-F4DD92E1F30C}"/>
    <cellStyle name="Normal 4 2 2 3 3 2 3 4" xfId="9774" xr:uid="{9658FB11-70B9-4ECC-8A69-283C6808B173}"/>
    <cellStyle name="Normal 4 2 2 3 3 2 3 5" xfId="18215" xr:uid="{48CB1868-DF4C-41CF-8141-D3848992DEA4}"/>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16550" xr:uid="{8F7CCEC7-61BA-407E-BBF1-AD5C5B33EBE0}"/>
    <cellStyle name="Normal 4 2 2 3 3 2 4 2 2 3" xfId="24990" xr:uid="{7D14CAC1-A06F-411E-9B93-3AD87F300C03}"/>
    <cellStyle name="Normal 4 2 2 3 3 2 4 2 3" xfId="12332" xr:uid="{A0CF66C4-2A40-4921-B32B-3BC94961C5D5}"/>
    <cellStyle name="Normal 4 2 2 3 3 2 4 2 4" xfId="20773" xr:uid="{8C988365-15BC-4642-815F-FC0BFC5DEA97}"/>
    <cellStyle name="Normal 4 2 2 3 3 2 4 3" xfId="5963" xr:uid="{00000000-0005-0000-0000-000051120000}"/>
    <cellStyle name="Normal 4 2 2 3 3 2 4 3 2" xfId="14405" xr:uid="{5FCB23BA-14F0-416E-A8AA-A200974E22C2}"/>
    <cellStyle name="Normal 4 2 2 3 3 2 4 3 3" xfId="22845" xr:uid="{E2F194E4-40A4-4F7E-98DC-AE6F39B9301D}"/>
    <cellStyle name="Normal 4 2 2 3 3 2 4 4" xfId="10187" xr:uid="{3FCF4723-A566-4C05-8C85-95E89451425F}"/>
    <cellStyle name="Normal 4 2 2 3 3 2 4 5" xfId="18628" xr:uid="{BB44F326-7A9A-4EBC-9792-1FC38618B526}"/>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16963" xr:uid="{69B515CE-2F6B-40D9-9CFF-904D7AA6D9FD}"/>
    <cellStyle name="Normal 4 2 2 3 3 2 5 2 2 3" xfId="25403" xr:uid="{E1155CD8-27AC-4262-9302-566FB78B7419}"/>
    <cellStyle name="Normal 4 2 2 3 3 2 5 2 3" xfId="12745" xr:uid="{F4061BC9-7808-4904-8747-FA79DECE9AAD}"/>
    <cellStyle name="Normal 4 2 2 3 3 2 5 2 4" xfId="21186" xr:uid="{AC89C71A-BFC7-49B6-B6C9-C493AF05AEDF}"/>
    <cellStyle name="Normal 4 2 2 3 3 2 5 3" xfId="6376" xr:uid="{00000000-0005-0000-0000-000055120000}"/>
    <cellStyle name="Normal 4 2 2 3 3 2 5 3 2" xfId="14818" xr:uid="{C4DC0C35-8DE8-4290-8544-F5B1F8B91205}"/>
    <cellStyle name="Normal 4 2 2 3 3 2 5 3 3" xfId="23258" xr:uid="{A63530EC-34BF-46F6-AB47-49FF3F702122}"/>
    <cellStyle name="Normal 4 2 2 3 3 2 5 4" xfId="10600" xr:uid="{CCCC5324-5101-4D7E-A071-9CA568022976}"/>
    <cellStyle name="Normal 4 2 2 3 3 2 5 5" xfId="19041" xr:uid="{61650DAB-AF52-4AEF-B6E7-6A834829F0B7}"/>
    <cellStyle name="Normal 4 2 2 3 3 2 6" xfId="2505" xr:uid="{00000000-0005-0000-0000-000056120000}"/>
    <cellStyle name="Normal 4 2 2 3 3 2 6 2" xfId="6789" xr:uid="{00000000-0005-0000-0000-000057120000}"/>
    <cellStyle name="Normal 4 2 2 3 3 2 6 2 2" xfId="15231" xr:uid="{01E5204D-102D-4DE2-8CD1-3B6D24CE0795}"/>
    <cellStyle name="Normal 4 2 2 3 3 2 6 2 3" xfId="23671" xr:uid="{3F1FFB29-8700-4339-B05F-9D8767E0BB70}"/>
    <cellStyle name="Normal 4 2 2 3 3 2 6 3" xfId="11013" xr:uid="{A4950C3B-47DB-4D64-8346-A102E520A915}"/>
    <cellStyle name="Normal 4 2 2 3 3 2 6 4" xfId="19454" xr:uid="{2BA80843-8079-4F32-96ED-58687DCDEEEC}"/>
    <cellStyle name="Normal 4 2 2 3 3 2 7" xfId="4724" xr:uid="{00000000-0005-0000-0000-000058120000}"/>
    <cellStyle name="Normal 4 2 2 3 3 2 7 2" xfId="13166" xr:uid="{065295E6-8763-41A9-99DE-DBD3EA8F9720}"/>
    <cellStyle name="Normal 4 2 2 3 3 2 7 3" xfId="21606" xr:uid="{89266BAD-D281-4E94-8BF5-E5F126D8D30B}"/>
    <cellStyle name="Normal 4 2 2 3 3 2 8" xfId="8948" xr:uid="{66FE0323-AE1F-44A5-B1C6-5BB979B087C4}"/>
    <cellStyle name="Normal 4 2 2 3 3 2 9" xfId="17389" xr:uid="{6A06B0F2-85B6-4224-9450-DF707B8D8B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15723" xr:uid="{935C9E10-EA4A-46B8-B2CB-BEE5BFD34A44}"/>
    <cellStyle name="Normal 4 2 2 3 3 3 2 2 3" xfId="24163" xr:uid="{4C7B8DC5-078F-440C-AE5D-77757E8D5747}"/>
    <cellStyle name="Normal 4 2 2 3 3 3 2 3" xfId="11505" xr:uid="{7DCA364E-248A-458A-81DF-F43ACD61B9E0}"/>
    <cellStyle name="Normal 4 2 2 3 3 3 2 4" xfId="19946" xr:uid="{997D4078-62B8-4C70-A5B7-7D794B6DE9AF}"/>
    <cellStyle name="Normal 4 2 2 3 3 3 3" xfId="5136" xr:uid="{00000000-0005-0000-0000-00005C120000}"/>
    <cellStyle name="Normal 4 2 2 3 3 3 3 2" xfId="13578" xr:uid="{E462CC7A-24DF-4FA7-ADD3-618D27E876CB}"/>
    <cellStyle name="Normal 4 2 2 3 3 3 3 3" xfId="22018" xr:uid="{5F4661D3-1A77-4F00-B118-1A2B2D5E6350}"/>
    <cellStyle name="Normal 4 2 2 3 3 3 4" xfId="9360" xr:uid="{011CA6AB-CA28-43A1-9192-8E60AC20FF76}"/>
    <cellStyle name="Normal 4 2 2 3 3 3 5" xfId="17801" xr:uid="{0EFB81D4-8443-49E5-BBD0-00D66060620F}"/>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16136" xr:uid="{266C072D-CC43-4826-AC8B-DF9713FA3BA8}"/>
    <cellStyle name="Normal 4 2 2 3 3 4 2 2 3" xfId="24576" xr:uid="{0A657C4D-CF45-40A9-997D-42C2ED478C6E}"/>
    <cellStyle name="Normal 4 2 2 3 3 4 2 3" xfId="11918" xr:uid="{F9A28671-2D56-452C-B588-52D871CAEF65}"/>
    <cellStyle name="Normal 4 2 2 3 3 4 2 4" xfId="20359" xr:uid="{90D08E18-9BD6-481E-BBCD-D04913E140EE}"/>
    <cellStyle name="Normal 4 2 2 3 3 4 3" xfId="5549" xr:uid="{00000000-0005-0000-0000-000060120000}"/>
    <cellStyle name="Normal 4 2 2 3 3 4 3 2" xfId="13991" xr:uid="{A652DC63-18AC-4347-86ED-142953E040E9}"/>
    <cellStyle name="Normal 4 2 2 3 3 4 3 3" xfId="22431" xr:uid="{314C899D-D803-4B99-AB61-515D06772B44}"/>
    <cellStyle name="Normal 4 2 2 3 3 4 4" xfId="9773" xr:uid="{68B851B0-D732-4B20-8F74-FD1DAC6F8951}"/>
    <cellStyle name="Normal 4 2 2 3 3 4 5" xfId="18214" xr:uid="{A7B669FE-0F38-41F2-8843-6DB3E6158922}"/>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16549" xr:uid="{10EA2D31-13A0-47BD-AE27-A100B289B925}"/>
    <cellStyle name="Normal 4 2 2 3 3 5 2 2 3" xfId="24989" xr:uid="{5FE015B1-DD99-4E5E-BA70-5ED9BA59C1ED}"/>
    <cellStyle name="Normal 4 2 2 3 3 5 2 3" xfId="12331" xr:uid="{AB436B10-B569-43CC-A70A-C30C67244804}"/>
    <cellStyle name="Normal 4 2 2 3 3 5 2 4" xfId="20772" xr:uid="{6FFD487B-3F8C-43C8-B27D-0FE2F6FADE20}"/>
    <cellStyle name="Normal 4 2 2 3 3 5 3" xfId="5962" xr:uid="{00000000-0005-0000-0000-000064120000}"/>
    <cellStyle name="Normal 4 2 2 3 3 5 3 2" xfId="14404" xr:uid="{5EE90407-7472-4A53-B1C2-75FDBFB2D5B1}"/>
    <cellStyle name="Normal 4 2 2 3 3 5 3 3" xfId="22844" xr:uid="{01C341DE-7B18-4481-842E-66AD0A278D3F}"/>
    <cellStyle name="Normal 4 2 2 3 3 5 4" xfId="10186" xr:uid="{7515D316-D51A-44DA-9A7E-B9FF16A466C4}"/>
    <cellStyle name="Normal 4 2 2 3 3 5 5" xfId="18627" xr:uid="{3456B2EC-8495-4C1B-9EBF-3C47DBE890EC}"/>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16962" xr:uid="{8A636768-1D7E-414E-9DD4-45CA341D02F3}"/>
    <cellStyle name="Normal 4 2 2 3 3 6 2 2 3" xfId="25402" xr:uid="{5AA42729-802B-4EDC-8E0B-B9FF639BCB6B}"/>
    <cellStyle name="Normal 4 2 2 3 3 6 2 3" xfId="12744" xr:uid="{01826633-A3B5-4EC1-ACDB-B9103BAD3853}"/>
    <cellStyle name="Normal 4 2 2 3 3 6 2 4" xfId="21185" xr:uid="{E43E8323-0943-4B6E-ABCC-519B574AF945}"/>
    <cellStyle name="Normal 4 2 2 3 3 6 3" xfId="6375" xr:uid="{00000000-0005-0000-0000-000068120000}"/>
    <cellStyle name="Normal 4 2 2 3 3 6 3 2" xfId="14817" xr:uid="{A7441E54-3F8E-4821-8BA1-5E8339F817CB}"/>
    <cellStyle name="Normal 4 2 2 3 3 6 3 3" xfId="23257" xr:uid="{639EFB0E-ACFD-41B3-82B4-6B9174C8F50A}"/>
    <cellStyle name="Normal 4 2 2 3 3 6 4" xfId="10599" xr:uid="{CE98FA1A-C766-466C-83B3-83625D08387D}"/>
    <cellStyle name="Normal 4 2 2 3 3 6 5" xfId="19040" xr:uid="{9C8B87C3-3AC6-4C6D-A404-C409DAD74F85}"/>
    <cellStyle name="Normal 4 2 2 3 3 7" xfId="2504" xr:uid="{00000000-0005-0000-0000-000069120000}"/>
    <cellStyle name="Normal 4 2 2 3 3 7 2" xfId="6788" xr:uid="{00000000-0005-0000-0000-00006A120000}"/>
    <cellStyle name="Normal 4 2 2 3 3 7 2 2" xfId="15230" xr:uid="{F05BA974-1F02-4B9D-834E-5D1E4904F1B1}"/>
    <cellStyle name="Normal 4 2 2 3 3 7 2 3" xfId="23670" xr:uid="{DECC059B-9308-4F21-892D-80A4ADECDBC3}"/>
    <cellStyle name="Normal 4 2 2 3 3 7 3" xfId="11012" xr:uid="{092DD761-014D-4FEB-94D6-403ED701E38F}"/>
    <cellStyle name="Normal 4 2 2 3 3 7 4" xfId="19453" xr:uid="{FBDE80D2-1087-4133-BFAB-51BFE16AAF85}"/>
    <cellStyle name="Normal 4 2 2 3 3 8" xfId="4723" xr:uid="{00000000-0005-0000-0000-00006B120000}"/>
    <cellStyle name="Normal 4 2 2 3 3 8 2" xfId="13165" xr:uid="{03EB912B-0A05-406F-BC33-199B4B89DCFC}"/>
    <cellStyle name="Normal 4 2 2 3 3 8 3" xfId="21605" xr:uid="{1EC31EB5-0F60-4D42-9CE8-3A4CB6A53B5D}"/>
    <cellStyle name="Normal 4 2 2 3 3 9" xfId="8947" xr:uid="{4D430EC9-9DD6-45A8-9610-8FD49A326BB2}"/>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15725" xr:uid="{A9AB5077-3F8E-4A5D-8A28-1E6CC13B48C4}"/>
    <cellStyle name="Normal 4 2 2 3 4 2 2 2 3" xfId="24165" xr:uid="{4DB3E65B-F48D-47DE-A64F-F089CCE74ABC}"/>
    <cellStyle name="Normal 4 2 2 3 4 2 2 3" xfId="11507" xr:uid="{BAC9FE97-88F4-4536-B1E8-6BD968E85A98}"/>
    <cellStyle name="Normal 4 2 2 3 4 2 2 4" xfId="19948" xr:uid="{7D2CDBDE-1EB8-4F46-ACB6-35766C611B06}"/>
    <cellStyle name="Normal 4 2 2 3 4 2 3" xfId="5138" xr:uid="{00000000-0005-0000-0000-000070120000}"/>
    <cellStyle name="Normal 4 2 2 3 4 2 3 2" xfId="13580" xr:uid="{B875A555-F865-4500-958E-05A03F1478F3}"/>
    <cellStyle name="Normal 4 2 2 3 4 2 3 3" xfId="22020" xr:uid="{1EAF1922-BEA6-4842-A866-76F112257054}"/>
    <cellStyle name="Normal 4 2 2 3 4 2 4" xfId="9362" xr:uid="{662BE1F6-41D4-4575-A84C-08CE0F6515E0}"/>
    <cellStyle name="Normal 4 2 2 3 4 2 5" xfId="17803" xr:uid="{FC320910-156C-4ED5-9672-ED2B9C1D1698}"/>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16138" xr:uid="{F281FEDD-161E-4BF0-B010-D21301061C4C}"/>
    <cellStyle name="Normal 4 2 2 3 4 3 2 2 3" xfId="24578" xr:uid="{E66A153C-12F0-4D7D-A1FB-9351B0F24896}"/>
    <cellStyle name="Normal 4 2 2 3 4 3 2 3" xfId="11920" xr:uid="{6D5C8011-706F-49E4-AA79-D796022EEEBA}"/>
    <cellStyle name="Normal 4 2 2 3 4 3 2 4" xfId="20361" xr:uid="{84CB3638-0C26-4350-96E9-2466AF7B1646}"/>
    <cellStyle name="Normal 4 2 2 3 4 3 3" xfId="5551" xr:uid="{00000000-0005-0000-0000-000074120000}"/>
    <cellStyle name="Normal 4 2 2 3 4 3 3 2" xfId="13993" xr:uid="{6ADD8056-3264-45B3-8B22-041B69BA4F3E}"/>
    <cellStyle name="Normal 4 2 2 3 4 3 3 3" xfId="22433" xr:uid="{B92F5602-846E-4317-94CD-455152C20D87}"/>
    <cellStyle name="Normal 4 2 2 3 4 3 4" xfId="9775" xr:uid="{25965638-292E-4462-A06D-3F39224A4FC3}"/>
    <cellStyle name="Normal 4 2 2 3 4 3 5" xfId="18216" xr:uid="{FB8CADAC-F844-4A1D-9C5B-9867732E2584}"/>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16551" xr:uid="{1D7CFCF8-02D3-4B9C-9829-F17677A17C01}"/>
    <cellStyle name="Normal 4 2 2 3 4 4 2 2 3" xfId="24991" xr:uid="{FFB3F476-4340-4898-9D28-E86D3A39D928}"/>
    <cellStyle name="Normal 4 2 2 3 4 4 2 3" xfId="12333" xr:uid="{7D2452C3-702A-40FD-AC36-6B5C82B30B8E}"/>
    <cellStyle name="Normal 4 2 2 3 4 4 2 4" xfId="20774" xr:uid="{003C3E4C-C250-4485-8FF8-D8BFABA31E88}"/>
    <cellStyle name="Normal 4 2 2 3 4 4 3" xfId="5964" xr:uid="{00000000-0005-0000-0000-000078120000}"/>
    <cellStyle name="Normal 4 2 2 3 4 4 3 2" xfId="14406" xr:uid="{751620CD-A733-455F-BDDA-E708D6AEF375}"/>
    <cellStyle name="Normal 4 2 2 3 4 4 3 3" xfId="22846" xr:uid="{D536D3D4-E292-4ED1-8628-0E388F34E92E}"/>
    <cellStyle name="Normal 4 2 2 3 4 4 4" xfId="10188" xr:uid="{58872EDF-B7ED-4A04-92C7-EB00BBF2F65F}"/>
    <cellStyle name="Normal 4 2 2 3 4 4 5" xfId="18629" xr:uid="{D741307E-35DD-4550-810C-1003DC64A42B}"/>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16964" xr:uid="{CF882491-82D8-414B-9EF0-B54B160FF572}"/>
    <cellStyle name="Normal 4 2 2 3 4 5 2 2 3" xfId="25404" xr:uid="{55D389E8-3690-458E-AF17-CD575FE0BD5C}"/>
    <cellStyle name="Normal 4 2 2 3 4 5 2 3" xfId="12746" xr:uid="{368380C6-8E4C-4F0A-818D-059B4C054A95}"/>
    <cellStyle name="Normal 4 2 2 3 4 5 2 4" xfId="21187" xr:uid="{8DF19A7C-75C1-48BD-942F-9DB108BF967C}"/>
    <cellStyle name="Normal 4 2 2 3 4 5 3" xfId="6377" xr:uid="{00000000-0005-0000-0000-00007C120000}"/>
    <cellStyle name="Normal 4 2 2 3 4 5 3 2" xfId="14819" xr:uid="{C722C106-FF66-4D72-A49E-FB4C7C9AA7EA}"/>
    <cellStyle name="Normal 4 2 2 3 4 5 3 3" xfId="23259" xr:uid="{1DDEC5D9-4CD7-494C-9B78-A8035288FD42}"/>
    <cellStyle name="Normal 4 2 2 3 4 5 4" xfId="10601" xr:uid="{FFDA6935-1335-41C5-B8DB-0CB417ECD514}"/>
    <cellStyle name="Normal 4 2 2 3 4 5 5" xfId="19042" xr:uid="{19D11CF8-C54F-4C4B-A34E-CEF98EAEE7E9}"/>
    <cellStyle name="Normal 4 2 2 3 4 6" xfId="2506" xr:uid="{00000000-0005-0000-0000-00007D120000}"/>
    <cellStyle name="Normal 4 2 2 3 4 6 2" xfId="6790" xr:uid="{00000000-0005-0000-0000-00007E120000}"/>
    <cellStyle name="Normal 4 2 2 3 4 6 2 2" xfId="15232" xr:uid="{4A3142D3-87CF-4533-89AD-BAE6328BCC32}"/>
    <cellStyle name="Normal 4 2 2 3 4 6 2 3" xfId="23672" xr:uid="{FA692E52-9FB4-44D9-AD1D-0D371AB228FD}"/>
    <cellStyle name="Normal 4 2 2 3 4 6 3" xfId="11014" xr:uid="{9A25635B-C7FE-4B6D-9CD7-BBCD339F0771}"/>
    <cellStyle name="Normal 4 2 2 3 4 6 4" xfId="19455" xr:uid="{D3D7379E-25DA-4E65-90DB-8E484102AE17}"/>
    <cellStyle name="Normal 4 2 2 3 4 7" xfId="4725" xr:uid="{00000000-0005-0000-0000-00007F120000}"/>
    <cellStyle name="Normal 4 2 2 3 4 7 2" xfId="13167" xr:uid="{BE002301-67C5-4800-B7F8-3C7C8699EC2E}"/>
    <cellStyle name="Normal 4 2 2 3 4 7 3" xfId="21607" xr:uid="{C9596D19-8491-4224-A85E-6826B72802BD}"/>
    <cellStyle name="Normal 4 2 2 3 4 8" xfId="8949" xr:uid="{0BCB94A2-9022-4342-830A-A908AE07A5A4}"/>
    <cellStyle name="Normal 4 2 2 3 4 9" xfId="17390" xr:uid="{B05F7D1B-13BE-4DC9-A123-4EE1B5B20D13}"/>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15718" xr:uid="{610A9AB6-B696-4CC4-AB63-A9A66D2CBB2F}"/>
    <cellStyle name="Normal 4 2 2 3 5 2 2 3" xfId="24158" xr:uid="{34E7E258-C8CA-4C9A-968A-8B7FE99938C5}"/>
    <cellStyle name="Normal 4 2 2 3 5 2 3" xfId="11500" xr:uid="{EE588681-9D89-49D0-B58D-E150748503AE}"/>
    <cellStyle name="Normal 4 2 2 3 5 2 4" xfId="19941" xr:uid="{B040738E-A869-45DD-9DFB-A862DD6D0C8C}"/>
    <cellStyle name="Normal 4 2 2 3 5 3" xfId="5131" xr:uid="{00000000-0005-0000-0000-000083120000}"/>
    <cellStyle name="Normal 4 2 2 3 5 3 2" xfId="13573" xr:uid="{4433D199-2A7C-49D4-BB9A-0FE15E5DBD38}"/>
    <cellStyle name="Normal 4 2 2 3 5 3 3" xfId="22013" xr:uid="{5400322A-FBB3-4059-854D-869B789F6130}"/>
    <cellStyle name="Normal 4 2 2 3 5 4" xfId="9355" xr:uid="{03B37167-C9A1-4C41-BDF6-9A00856EF193}"/>
    <cellStyle name="Normal 4 2 2 3 5 5" xfId="17796" xr:uid="{1E1FD818-61CD-474B-9AD1-B05609C087B5}"/>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16131" xr:uid="{92F9FD36-332C-4162-8F7E-945DF4F2540D}"/>
    <cellStyle name="Normal 4 2 2 3 6 2 2 3" xfId="24571" xr:uid="{3DEACE5A-F8DC-411E-9485-833CF485573E}"/>
    <cellStyle name="Normal 4 2 2 3 6 2 3" xfId="11913" xr:uid="{BD3EB19F-4CAD-4129-A2F0-DBDF151A4E15}"/>
    <cellStyle name="Normal 4 2 2 3 6 2 4" xfId="20354" xr:uid="{8870A6FE-BEE6-445D-B304-6A9189C83319}"/>
    <cellStyle name="Normal 4 2 2 3 6 3" xfId="5544" xr:uid="{00000000-0005-0000-0000-000087120000}"/>
    <cellStyle name="Normal 4 2 2 3 6 3 2" xfId="13986" xr:uid="{A685CBCB-7ABF-4AFC-AE78-9E267BBCCD24}"/>
    <cellStyle name="Normal 4 2 2 3 6 3 3" xfId="22426" xr:uid="{89EB5588-0036-4C92-A0D5-A3F75679DE3A}"/>
    <cellStyle name="Normal 4 2 2 3 6 4" xfId="9768" xr:uid="{BA0F367E-65FF-4E17-A117-A6CE14AD5419}"/>
    <cellStyle name="Normal 4 2 2 3 6 5" xfId="18209" xr:uid="{C6107F43-FD46-4D47-9FD3-C5461C4E1DFC}"/>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16544" xr:uid="{77C43B9B-7CE4-4693-B36C-94E13B049067}"/>
    <cellStyle name="Normal 4 2 2 3 7 2 2 3" xfId="24984" xr:uid="{FA83F435-A6B8-41FE-91D8-8A9875CE2017}"/>
    <cellStyle name="Normal 4 2 2 3 7 2 3" xfId="12326" xr:uid="{8C87C5D9-495D-45C6-B230-FFA0F19C7E9D}"/>
    <cellStyle name="Normal 4 2 2 3 7 2 4" xfId="20767" xr:uid="{B2524B25-04AD-47ED-ABC2-E5BFFD7F094D}"/>
    <cellStyle name="Normal 4 2 2 3 7 3" xfId="5957" xr:uid="{00000000-0005-0000-0000-00008B120000}"/>
    <cellStyle name="Normal 4 2 2 3 7 3 2" xfId="14399" xr:uid="{90EC68F9-5C51-4A23-B0A6-B90DAFB730DE}"/>
    <cellStyle name="Normal 4 2 2 3 7 3 3" xfId="22839" xr:uid="{69E75810-CCC4-4790-BFA8-D3AC78DD7447}"/>
    <cellStyle name="Normal 4 2 2 3 7 4" xfId="10181" xr:uid="{A18C3015-B5C8-40CD-9DD2-8CFC02C1B4B8}"/>
    <cellStyle name="Normal 4 2 2 3 7 5" xfId="18622" xr:uid="{C4FAE823-25D8-4FF3-9921-521F02F7F538}"/>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16957" xr:uid="{70075F52-5520-4BC7-8882-BA535C554F26}"/>
    <cellStyle name="Normal 4 2 2 3 8 2 2 3" xfId="25397" xr:uid="{3412F55F-E523-4D28-A2F9-E81C9271E72A}"/>
    <cellStyle name="Normal 4 2 2 3 8 2 3" xfId="12739" xr:uid="{7F6AE064-EC1D-400D-AB31-028057D8D3DA}"/>
    <cellStyle name="Normal 4 2 2 3 8 2 4" xfId="21180" xr:uid="{03228B29-E11C-4B51-9776-07D04A97D57B}"/>
    <cellStyle name="Normal 4 2 2 3 8 3" xfId="6370" xr:uid="{00000000-0005-0000-0000-00008F120000}"/>
    <cellStyle name="Normal 4 2 2 3 8 3 2" xfId="14812" xr:uid="{EDE9BF7C-6497-432D-B5FD-B14BB9883E5E}"/>
    <cellStyle name="Normal 4 2 2 3 8 3 3" xfId="23252" xr:uid="{BFA018F7-B5E6-4F2B-BE9D-649AAE1B874B}"/>
    <cellStyle name="Normal 4 2 2 3 8 4" xfId="10594" xr:uid="{4D03F4F4-0FB4-4705-A15D-E5F6AB417346}"/>
    <cellStyle name="Normal 4 2 2 3 8 5" xfId="19035" xr:uid="{9C7A346A-7B80-4DFC-8CEC-70DBE7BE624E}"/>
    <cellStyle name="Normal 4 2 2 3 9" xfId="2499" xr:uid="{00000000-0005-0000-0000-000090120000}"/>
    <cellStyle name="Normal 4 2 2 3 9 2" xfId="6783" xr:uid="{00000000-0005-0000-0000-000091120000}"/>
    <cellStyle name="Normal 4 2 2 3 9 2 2" xfId="15225" xr:uid="{DD42DA36-DA57-4796-9B57-DD56074B5205}"/>
    <cellStyle name="Normal 4 2 2 3 9 2 3" xfId="23665" xr:uid="{73E68753-938E-4152-9A54-E1986B885338}"/>
    <cellStyle name="Normal 4 2 2 3 9 3" xfId="11007" xr:uid="{B467198F-3F7B-43A0-9A49-864CAAE44F0B}"/>
    <cellStyle name="Normal 4 2 2 3 9 4" xfId="19448" xr:uid="{58E25A63-8477-4186-AACE-D5C03DD9BECF}"/>
    <cellStyle name="Normal 4 2 2 4" xfId="347" xr:uid="{00000000-0005-0000-0000-000092120000}"/>
    <cellStyle name="Normal 4 2 2 4 10" xfId="8950" xr:uid="{43F7DBB2-927D-4979-87F4-4E061899955E}"/>
    <cellStyle name="Normal 4 2 2 4 11" xfId="17391" xr:uid="{AE1DBD49-52C0-44E3-9A59-621B7373F663}"/>
    <cellStyle name="Normal 4 2 2 4 2" xfId="348" xr:uid="{00000000-0005-0000-0000-000093120000}"/>
    <cellStyle name="Normal 4 2 2 4 2 10" xfId="17392" xr:uid="{868014FF-2334-4CE7-8F1C-A7DF52116054}"/>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15728" xr:uid="{9891DBC9-DB6D-459E-86FA-63F845E2F596}"/>
    <cellStyle name="Normal 4 2 2 4 2 2 2 2 2 3" xfId="24168" xr:uid="{1E3EFBFE-4176-4A00-9DEE-5E45B2E38C00}"/>
    <cellStyle name="Normal 4 2 2 4 2 2 2 2 3" xfId="11510" xr:uid="{3398CC07-CC65-4A0E-8218-85DC36C04935}"/>
    <cellStyle name="Normal 4 2 2 4 2 2 2 2 4" xfId="19951" xr:uid="{281A39F9-0E3B-430A-AA92-C20D83603624}"/>
    <cellStyle name="Normal 4 2 2 4 2 2 2 3" xfId="5141" xr:uid="{00000000-0005-0000-0000-000098120000}"/>
    <cellStyle name="Normal 4 2 2 4 2 2 2 3 2" xfId="13583" xr:uid="{6E769E77-556A-41B0-A671-A3194F4A3EEC}"/>
    <cellStyle name="Normal 4 2 2 4 2 2 2 3 3" xfId="22023" xr:uid="{FDF8113D-B280-4165-9A00-B1F9A43D0049}"/>
    <cellStyle name="Normal 4 2 2 4 2 2 2 4" xfId="9365" xr:uid="{D4E63991-ACF2-45D7-B8BD-BC0D84CE4DA0}"/>
    <cellStyle name="Normal 4 2 2 4 2 2 2 5" xfId="17806" xr:uid="{C173507D-A56A-4BF8-8959-1E61BFE570C8}"/>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16141" xr:uid="{C6AFA4D6-F26E-440F-A7EC-54A30E502D22}"/>
    <cellStyle name="Normal 4 2 2 4 2 2 3 2 2 3" xfId="24581" xr:uid="{00D4077E-6FB4-4CB2-B16A-0DD9958691F4}"/>
    <cellStyle name="Normal 4 2 2 4 2 2 3 2 3" xfId="11923" xr:uid="{9220561F-6E9A-4756-9D7E-17AF04A3AC44}"/>
    <cellStyle name="Normal 4 2 2 4 2 2 3 2 4" xfId="20364" xr:uid="{BC2FEBFD-3F99-456E-B48F-D95E87590DC2}"/>
    <cellStyle name="Normal 4 2 2 4 2 2 3 3" xfId="5554" xr:uid="{00000000-0005-0000-0000-00009C120000}"/>
    <cellStyle name="Normal 4 2 2 4 2 2 3 3 2" xfId="13996" xr:uid="{DD31B4A6-5408-4D44-8CE9-736DD53338EE}"/>
    <cellStyle name="Normal 4 2 2 4 2 2 3 3 3" xfId="22436" xr:uid="{A61DD4A8-2160-40DA-AE77-2687BFBFB38E}"/>
    <cellStyle name="Normal 4 2 2 4 2 2 3 4" xfId="9778" xr:uid="{9F669BC1-3D5B-4C7D-A983-03DAB7D669B1}"/>
    <cellStyle name="Normal 4 2 2 4 2 2 3 5" xfId="18219" xr:uid="{6A4DF4FE-727D-4008-91A9-37E8C1BDF848}"/>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16554" xr:uid="{4FE30B3D-287F-4E3B-804E-19DE08CF90EB}"/>
    <cellStyle name="Normal 4 2 2 4 2 2 4 2 2 3" xfId="24994" xr:uid="{BF8D04A5-83F2-42DD-B551-EA0F2AF8334C}"/>
    <cellStyle name="Normal 4 2 2 4 2 2 4 2 3" xfId="12336" xr:uid="{1137B5E6-D297-4B71-802E-BF928EDCCD8C}"/>
    <cellStyle name="Normal 4 2 2 4 2 2 4 2 4" xfId="20777" xr:uid="{BF9A7C4E-B258-4DA7-8012-E6A1C4F69AE3}"/>
    <cellStyle name="Normal 4 2 2 4 2 2 4 3" xfId="5967" xr:uid="{00000000-0005-0000-0000-0000A0120000}"/>
    <cellStyle name="Normal 4 2 2 4 2 2 4 3 2" xfId="14409" xr:uid="{F1269448-5107-431D-893B-BFF6CAB192A9}"/>
    <cellStyle name="Normal 4 2 2 4 2 2 4 3 3" xfId="22849" xr:uid="{F840BC04-23D4-4044-9179-782DCFFD0F8D}"/>
    <cellStyle name="Normal 4 2 2 4 2 2 4 4" xfId="10191" xr:uid="{B73BE24E-9CA1-4744-A34E-FB01658ADDAC}"/>
    <cellStyle name="Normal 4 2 2 4 2 2 4 5" xfId="18632" xr:uid="{C64FD224-AC23-4321-8286-E538D9AEF478}"/>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16967" xr:uid="{8749DA6B-2CCE-4060-BBC8-0C00C512FE1C}"/>
    <cellStyle name="Normal 4 2 2 4 2 2 5 2 2 3" xfId="25407" xr:uid="{6B07744E-6ADE-4CAC-9824-88299A65052E}"/>
    <cellStyle name="Normal 4 2 2 4 2 2 5 2 3" xfId="12749" xr:uid="{C505E438-E6EB-424C-B1DA-D81470994306}"/>
    <cellStyle name="Normal 4 2 2 4 2 2 5 2 4" xfId="21190" xr:uid="{E54E923F-F55F-43A7-B6F5-569C2507B9E8}"/>
    <cellStyle name="Normal 4 2 2 4 2 2 5 3" xfId="6380" xr:uid="{00000000-0005-0000-0000-0000A4120000}"/>
    <cellStyle name="Normal 4 2 2 4 2 2 5 3 2" xfId="14822" xr:uid="{55DF707A-7C85-43BA-B449-6530D6E7554C}"/>
    <cellStyle name="Normal 4 2 2 4 2 2 5 3 3" xfId="23262" xr:uid="{1FBB4260-8293-4FD4-A0D3-7FEDE841BEFF}"/>
    <cellStyle name="Normal 4 2 2 4 2 2 5 4" xfId="10604" xr:uid="{4E6A281E-7019-43A9-80BD-3ECE45FC2323}"/>
    <cellStyle name="Normal 4 2 2 4 2 2 5 5" xfId="19045" xr:uid="{985E90C5-5D71-43B5-A0EB-3CCFC60B7E67}"/>
    <cellStyle name="Normal 4 2 2 4 2 2 6" xfId="2509" xr:uid="{00000000-0005-0000-0000-0000A5120000}"/>
    <cellStyle name="Normal 4 2 2 4 2 2 6 2" xfId="6793" xr:uid="{00000000-0005-0000-0000-0000A6120000}"/>
    <cellStyle name="Normal 4 2 2 4 2 2 6 2 2" xfId="15235" xr:uid="{D845033B-523C-473A-86E9-22E0EADA2265}"/>
    <cellStyle name="Normal 4 2 2 4 2 2 6 2 3" xfId="23675" xr:uid="{DBE25F75-A07B-488E-8BF5-F3D62BEAD39B}"/>
    <cellStyle name="Normal 4 2 2 4 2 2 6 3" xfId="11017" xr:uid="{75081699-BB7C-493C-A975-127064C850F7}"/>
    <cellStyle name="Normal 4 2 2 4 2 2 6 4" xfId="19458" xr:uid="{90BC7E0A-C39C-4559-817D-DC20F1A2E878}"/>
    <cellStyle name="Normal 4 2 2 4 2 2 7" xfId="4728" xr:uid="{00000000-0005-0000-0000-0000A7120000}"/>
    <cellStyle name="Normal 4 2 2 4 2 2 7 2" xfId="13170" xr:uid="{1F9B1B25-011E-4EC6-A4C3-45E3A00E9DD5}"/>
    <cellStyle name="Normal 4 2 2 4 2 2 7 3" xfId="21610" xr:uid="{022A4471-05B6-42EF-BFF4-E065E96F5631}"/>
    <cellStyle name="Normal 4 2 2 4 2 2 8" xfId="8952" xr:uid="{4626AF40-CE2A-4014-B162-CFBB9A23138C}"/>
    <cellStyle name="Normal 4 2 2 4 2 2 9" xfId="17393" xr:uid="{2C142BAE-625C-4D84-BE34-573C68B2D748}"/>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15727" xr:uid="{DF91341C-5DFE-477B-810C-848787BE3125}"/>
    <cellStyle name="Normal 4 2 2 4 2 3 2 2 3" xfId="24167" xr:uid="{DC96AA43-9740-413A-BF3D-F4FF23E097CD}"/>
    <cellStyle name="Normal 4 2 2 4 2 3 2 3" xfId="11509" xr:uid="{E5D6EFC2-9B75-4E3C-9811-57789625DD4A}"/>
    <cellStyle name="Normal 4 2 2 4 2 3 2 4" xfId="19950" xr:uid="{418D4C7B-FFD5-4972-8F7C-BEA031CB9A20}"/>
    <cellStyle name="Normal 4 2 2 4 2 3 3" xfId="5140" xr:uid="{00000000-0005-0000-0000-0000AB120000}"/>
    <cellStyle name="Normal 4 2 2 4 2 3 3 2" xfId="13582" xr:uid="{136B14B9-E3AC-46FA-B3F7-77BAE504C60A}"/>
    <cellStyle name="Normal 4 2 2 4 2 3 3 3" xfId="22022" xr:uid="{662B9B2E-E798-45C0-9337-91383E9984D1}"/>
    <cellStyle name="Normal 4 2 2 4 2 3 4" xfId="9364" xr:uid="{F1FFC2C7-CF10-4912-A3D6-ABA94069AFA1}"/>
    <cellStyle name="Normal 4 2 2 4 2 3 5" xfId="17805" xr:uid="{0EB7A3E6-74D5-404B-9DBD-CD1C256E86B9}"/>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16140" xr:uid="{B6A79D94-3B05-414E-B3EB-3FB1FA442B08}"/>
    <cellStyle name="Normal 4 2 2 4 2 4 2 2 3" xfId="24580" xr:uid="{E3EB10E7-4C70-4DD9-BCD0-7899763AB98F}"/>
    <cellStyle name="Normal 4 2 2 4 2 4 2 3" xfId="11922" xr:uid="{98B808CF-7C6D-4286-80D7-58EB3E3B9269}"/>
    <cellStyle name="Normal 4 2 2 4 2 4 2 4" xfId="20363" xr:uid="{2A3B11A0-9812-435B-856D-B1D4DB8926BE}"/>
    <cellStyle name="Normal 4 2 2 4 2 4 3" xfId="5553" xr:uid="{00000000-0005-0000-0000-0000AF120000}"/>
    <cellStyle name="Normal 4 2 2 4 2 4 3 2" xfId="13995" xr:uid="{C8EF4954-FC1E-4D77-9DAD-F22B24D87C39}"/>
    <cellStyle name="Normal 4 2 2 4 2 4 3 3" xfId="22435" xr:uid="{EAC8E533-806C-4457-8CEC-8D681EB02B0D}"/>
    <cellStyle name="Normal 4 2 2 4 2 4 4" xfId="9777" xr:uid="{422C6AAF-42D2-4860-B9C6-D09CD9688FD5}"/>
    <cellStyle name="Normal 4 2 2 4 2 4 5" xfId="18218" xr:uid="{8BAD064C-2548-4A49-B9BE-61C490964417}"/>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16553" xr:uid="{F56104D6-0419-4374-9DB1-707FE5D45815}"/>
    <cellStyle name="Normal 4 2 2 4 2 5 2 2 3" xfId="24993" xr:uid="{8E8AF89C-B879-49A9-9B7D-EB6E73A35FA7}"/>
    <cellStyle name="Normal 4 2 2 4 2 5 2 3" xfId="12335" xr:uid="{DBAE121F-058B-491E-98AD-C73D3686AAA8}"/>
    <cellStyle name="Normal 4 2 2 4 2 5 2 4" xfId="20776" xr:uid="{71A20830-AB9A-4FEE-93AF-26104530D53F}"/>
    <cellStyle name="Normal 4 2 2 4 2 5 3" xfId="5966" xr:uid="{00000000-0005-0000-0000-0000B3120000}"/>
    <cellStyle name="Normal 4 2 2 4 2 5 3 2" xfId="14408" xr:uid="{F671FDB1-4610-4743-A9DD-5A40C2AECE77}"/>
    <cellStyle name="Normal 4 2 2 4 2 5 3 3" xfId="22848" xr:uid="{D80B6BA1-D977-459F-88B8-C85679F9BFB7}"/>
    <cellStyle name="Normal 4 2 2 4 2 5 4" xfId="10190" xr:uid="{C1A53182-DCFF-433F-84EB-EFEAB963D17C}"/>
    <cellStyle name="Normal 4 2 2 4 2 5 5" xfId="18631" xr:uid="{4D10D305-D3BC-4B86-B009-66045F5953FF}"/>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16966" xr:uid="{DED2C039-8307-414D-9BEC-24742B17CB9F}"/>
    <cellStyle name="Normal 4 2 2 4 2 6 2 2 3" xfId="25406" xr:uid="{9072EB39-B367-4C64-A17D-977269A68EE9}"/>
    <cellStyle name="Normal 4 2 2 4 2 6 2 3" xfId="12748" xr:uid="{EAFD7912-D992-4D06-AA8C-6A551644C1E7}"/>
    <cellStyle name="Normal 4 2 2 4 2 6 2 4" xfId="21189" xr:uid="{00A508F6-714C-444F-96B1-E8C4A86F718A}"/>
    <cellStyle name="Normal 4 2 2 4 2 6 3" xfId="6379" xr:uid="{00000000-0005-0000-0000-0000B7120000}"/>
    <cellStyle name="Normal 4 2 2 4 2 6 3 2" xfId="14821" xr:uid="{843D138A-77EB-4724-BEE4-CFFD7879A10A}"/>
    <cellStyle name="Normal 4 2 2 4 2 6 3 3" xfId="23261" xr:uid="{AB9470AC-2502-4F63-98D1-05ACFCBDCD0E}"/>
    <cellStyle name="Normal 4 2 2 4 2 6 4" xfId="10603" xr:uid="{C23B17D9-988C-4A44-8C95-605E6F5DA618}"/>
    <cellStyle name="Normal 4 2 2 4 2 6 5" xfId="19044" xr:uid="{A330171C-7E8E-428C-A701-7BE2E52306BA}"/>
    <cellStyle name="Normal 4 2 2 4 2 7" xfId="2508" xr:uid="{00000000-0005-0000-0000-0000B8120000}"/>
    <cellStyle name="Normal 4 2 2 4 2 7 2" xfId="6792" xr:uid="{00000000-0005-0000-0000-0000B9120000}"/>
    <cellStyle name="Normal 4 2 2 4 2 7 2 2" xfId="15234" xr:uid="{51FF9516-C845-4AE8-ABC6-2B98D1D45992}"/>
    <cellStyle name="Normal 4 2 2 4 2 7 2 3" xfId="23674" xr:uid="{5CE88DFE-DE1F-437B-B3E4-84C36F65CE76}"/>
    <cellStyle name="Normal 4 2 2 4 2 7 3" xfId="11016" xr:uid="{D3E33028-3BD0-4F77-AE7B-C124E921A9C7}"/>
    <cellStyle name="Normal 4 2 2 4 2 7 4" xfId="19457" xr:uid="{379956F6-0EB5-459B-A996-9C8732640ECA}"/>
    <cellStyle name="Normal 4 2 2 4 2 8" xfId="4727" xr:uid="{00000000-0005-0000-0000-0000BA120000}"/>
    <cellStyle name="Normal 4 2 2 4 2 8 2" xfId="13169" xr:uid="{300CAB82-01BF-4F0E-9DD3-AC5DEC70A6DC}"/>
    <cellStyle name="Normal 4 2 2 4 2 8 3" xfId="21609" xr:uid="{57651B61-4421-4209-8DF1-9D61D98F869B}"/>
    <cellStyle name="Normal 4 2 2 4 2 9" xfId="8951" xr:uid="{66DBCAB5-BF41-4814-B276-6A89E2055E3D}"/>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15729" xr:uid="{6898CB31-CD92-41BA-8AAE-CBAFC3773C4B}"/>
    <cellStyle name="Normal 4 2 2 4 3 2 2 2 3" xfId="24169" xr:uid="{E25CC72B-7323-4387-B76A-9C8795C07026}"/>
    <cellStyle name="Normal 4 2 2 4 3 2 2 3" xfId="11511" xr:uid="{4BF87E6F-9FCA-4D26-BB75-719E08E5DC47}"/>
    <cellStyle name="Normal 4 2 2 4 3 2 2 4" xfId="19952" xr:uid="{70108327-F8DC-4D52-BEBC-06D231AA68A5}"/>
    <cellStyle name="Normal 4 2 2 4 3 2 3" xfId="5142" xr:uid="{00000000-0005-0000-0000-0000BF120000}"/>
    <cellStyle name="Normal 4 2 2 4 3 2 3 2" xfId="13584" xr:uid="{1EAD0002-8559-464D-B0D6-39BBC3E9897D}"/>
    <cellStyle name="Normal 4 2 2 4 3 2 3 3" xfId="22024" xr:uid="{E3B7B6BA-319D-4BBB-9094-22929627EFE4}"/>
    <cellStyle name="Normal 4 2 2 4 3 2 4" xfId="9366" xr:uid="{13EB3277-0186-4EED-9A52-4F50A213AF00}"/>
    <cellStyle name="Normal 4 2 2 4 3 2 5" xfId="17807" xr:uid="{860709C6-79E8-4079-B28E-BF6D0D5D4C26}"/>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16142" xr:uid="{2FBBBAC5-A141-4F7B-87FE-983EB2D79B19}"/>
    <cellStyle name="Normal 4 2 2 4 3 3 2 2 3" xfId="24582" xr:uid="{05943FF8-6B8F-426B-9454-A5926413784B}"/>
    <cellStyle name="Normal 4 2 2 4 3 3 2 3" xfId="11924" xr:uid="{553B782F-EFA0-46F7-9049-6681355137DC}"/>
    <cellStyle name="Normal 4 2 2 4 3 3 2 4" xfId="20365" xr:uid="{DD5F2D70-32F1-42BB-8758-AD2F3E519C83}"/>
    <cellStyle name="Normal 4 2 2 4 3 3 3" xfId="5555" xr:uid="{00000000-0005-0000-0000-0000C3120000}"/>
    <cellStyle name="Normal 4 2 2 4 3 3 3 2" xfId="13997" xr:uid="{56BE7DF6-E02E-4F94-A7EB-6F302267C9BD}"/>
    <cellStyle name="Normal 4 2 2 4 3 3 3 3" xfId="22437" xr:uid="{FAB83AA7-366F-424C-A8B3-75E66346A1F0}"/>
    <cellStyle name="Normal 4 2 2 4 3 3 4" xfId="9779" xr:uid="{3C4F44E5-099C-4B60-AFC4-1B8947A11897}"/>
    <cellStyle name="Normal 4 2 2 4 3 3 5" xfId="18220" xr:uid="{B1EB7F75-3A8B-4A9B-BBB1-CBB96B712DAC}"/>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16555" xr:uid="{0966D800-D8A1-45B5-B37F-9761F27C521F}"/>
    <cellStyle name="Normal 4 2 2 4 3 4 2 2 3" xfId="24995" xr:uid="{8A1F8015-F276-4116-BA79-05691B9B0E61}"/>
    <cellStyle name="Normal 4 2 2 4 3 4 2 3" xfId="12337" xr:uid="{FEF19015-BB1B-4E14-BBD5-5E793EFA0238}"/>
    <cellStyle name="Normal 4 2 2 4 3 4 2 4" xfId="20778" xr:uid="{76F505AA-2E85-4931-BC4B-B5BFB8B210B1}"/>
    <cellStyle name="Normal 4 2 2 4 3 4 3" xfId="5968" xr:uid="{00000000-0005-0000-0000-0000C7120000}"/>
    <cellStyle name="Normal 4 2 2 4 3 4 3 2" xfId="14410" xr:uid="{E1404C40-CA40-4A1E-87A6-49E2D4D48181}"/>
    <cellStyle name="Normal 4 2 2 4 3 4 3 3" xfId="22850" xr:uid="{FE3BF7B9-3ABD-4C36-BB14-43300858F242}"/>
    <cellStyle name="Normal 4 2 2 4 3 4 4" xfId="10192" xr:uid="{E6AEE28C-130E-4E2F-BC47-14B89D983800}"/>
    <cellStyle name="Normal 4 2 2 4 3 4 5" xfId="18633" xr:uid="{E63FA98D-BF86-4E57-B7EC-72CE186005F7}"/>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16968" xr:uid="{8C206468-9733-49C0-AE78-F2F912A2A2D3}"/>
    <cellStyle name="Normal 4 2 2 4 3 5 2 2 3" xfId="25408" xr:uid="{7191BA51-18D4-438F-AC3E-F1F653A1EF72}"/>
    <cellStyle name="Normal 4 2 2 4 3 5 2 3" xfId="12750" xr:uid="{C82F4E03-A73E-437C-A610-AD7AA08B9C62}"/>
    <cellStyle name="Normal 4 2 2 4 3 5 2 4" xfId="21191" xr:uid="{9725BFBC-8823-4971-A60C-814807390C44}"/>
    <cellStyle name="Normal 4 2 2 4 3 5 3" xfId="6381" xr:uid="{00000000-0005-0000-0000-0000CB120000}"/>
    <cellStyle name="Normal 4 2 2 4 3 5 3 2" xfId="14823" xr:uid="{2509B91C-75FB-48A0-871C-7943D0028C77}"/>
    <cellStyle name="Normal 4 2 2 4 3 5 3 3" xfId="23263" xr:uid="{B9DFBEB2-E77B-4AB5-B285-5BAEC0882F5D}"/>
    <cellStyle name="Normal 4 2 2 4 3 5 4" xfId="10605" xr:uid="{0826AC21-CA57-454F-810E-3D29726C0BDA}"/>
    <cellStyle name="Normal 4 2 2 4 3 5 5" xfId="19046" xr:uid="{9B1878F4-5136-4E98-90CF-1E75623EA597}"/>
    <cellStyle name="Normal 4 2 2 4 3 6" xfId="2510" xr:uid="{00000000-0005-0000-0000-0000CC120000}"/>
    <cellStyle name="Normal 4 2 2 4 3 6 2" xfId="6794" xr:uid="{00000000-0005-0000-0000-0000CD120000}"/>
    <cellStyle name="Normal 4 2 2 4 3 6 2 2" xfId="15236" xr:uid="{3110F671-992F-47D1-BD1F-FEF44480439E}"/>
    <cellStyle name="Normal 4 2 2 4 3 6 2 3" xfId="23676" xr:uid="{E53650FD-F0E6-4A33-90E9-937AC9A8BD60}"/>
    <cellStyle name="Normal 4 2 2 4 3 6 3" xfId="11018" xr:uid="{924EF5FD-D3F1-402E-BB71-B4C5EC5A51F1}"/>
    <cellStyle name="Normal 4 2 2 4 3 6 4" xfId="19459" xr:uid="{401757ED-088A-4B4B-9358-E266EAB48D65}"/>
    <cellStyle name="Normal 4 2 2 4 3 7" xfId="4729" xr:uid="{00000000-0005-0000-0000-0000CE120000}"/>
    <cellStyle name="Normal 4 2 2 4 3 7 2" xfId="13171" xr:uid="{302BCFD4-F7BA-4C67-A901-212511DF9428}"/>
    <cellStyle name="Normal 4 2 2 4 3 7 3" xfId="21611" xr:uid="{2073B169-BF55-411E-84DA-F73D2962281D}"/>
    <cellStyle name="Normal 4 2 2 4 3 8" xfId="8953" xr:uid="{D1BA971D-5AA0-4F93-B8F6-456FB94CF541}"/>
    <cellStyle name="Normal 4 2 2 4 3 9" xfId="17394" xr:uid="{F6DDB09C-757F-4A86-876D-BE01BD6F6AB5}"/>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15726" xr:uid="{3A7D0D24-36C0-44CC-B080-E3BD3CB5689E}"/>
    <cellStyle name="Normal 4 2 2 4 4 2 2 3" xfId="24166" xr:uid="{D16B65A8-E0B7-4D96-87A6-C095A38927B4}"/>
    <cellStyle name="Normal 4 2 2 4 4 2 3" xfId="11508" xr:uid="{2BC4D2BC-62BE-4426-9113-C9EF70CD25D6}"/>
    <cellStyle name="Normal 4 2 2 4 4 2 4" xfId="19949" xr:uid="{4C2341B5-5D0F-4A20-A803-DE7D71D8683E}"/>
    <cellStyle name="Normal 4 2 2 4 4 3" xfId="5139" xr:uid="{00000000-0005-0000-0000-0000D2120000}"/>
    <cellStyle name="Normal 4 2 2 4 4 3 2" xfId="13581" xr:uid="{D0B70208-303D-40B5-BDC8-CF7AC3D92EA5}"/>
    <cellStyle name="Normal 4 2 2 4 4 3 3" xfId="22021" xr:uid="{CC1AE353-F84B-4EA1-B6AA-C3729AF765E8}"/>
    <cellStyle name="Normal 4 2 2 4 4 4" xfId="9363" xr:uid="{40DE028E-D76B-40DB-97DE-FBE26DDC568A}"/>
    <cellStyle name="Normal 4 2 2 4 4 5" xfId="17804" xr:uid="{7D68AE4E-ED22-4DE0-952C-F596904E41F5}"/>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16139" xr:uid="{172DD9F5-CCCA-41C0-B9B8-4085172920DB}"/>
    <cellStyle name="Normal 4 2 2 4 5 2 2 3" xfId="24579" xr:uid="{5A814963-6450-4EE3-B2E4-11056FBCAD85}"/>
    <cellStyle name="Normal 4 2 2 4 5 2 3" xfId="11921" xr:uid="{9640E498-FD40-44A3-8B18-CC5F2B03C553}"/>
    <cellStyle name="Normal 4 2 2 4 5 2 4" xfId="20362" xr:uid="{AA58F4E2-F7AF-4948-902E-04E07205FE71}"/>
    <cellStyle name="Normal 4 2 2 4 5 3" xfId="5552" xr:uid="{00000000-0005-0000-0000-0000D6120000}"/>
    <cellStyle name="Normal 4 2 2 4 5 3 2" xfId="13994" xr:uid="{722812FB-81F7-4076-9DD3-CD5F9D85F6E0}"/>
    <cellStyle name="Normal 4 2 2 4 5 3 3" xfId="22434" xr:uid="{809D8AAD-7B99-4B1E-A22F-3B5EFCB8F9F0}"/>
    <cellStyle name="Normal 4 2 2 4 5 4" xfId="9776" xr:uid="{087B4D28-DAEB-4206-BDC5-A2CC0AF5C825}"/>
    <cellStyle name="Normal 4 2 2 4 5 5" xfId="18217" xr:uid="{CAF13336-3AA1-4472-B6AB-6ECFA406F9D9}"/>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16552" xr:uid="{064D2382-A478-41BA-A16C-E157BD693502}"/>
    <cellStyle name="Normal 4 2 2 4 6 2 2 3" xfId="24992" xr:uid="{8E57637F-C6B2-4DD7-9DA7-EFC39273CBAF}"/>
    <cellStyle name="Normal 4 2 2 4 6 2 3" xfId="12334" xr:uid="{89AD598B-C54C-46A7-AD8C-F09D695344FC}"/>
    <cellStyle name="Normal 4 2 2 4 6 2 4" xfId="20775" xr:uid="{51D0A4A7-B6DC-44A6-A81E-7EC558F29FC9}"/>
    <cellStyle name="Normal 4 2 2 4 6 3" xfId="5965" xr:uid="{00000000-0005-0000-0000-0000DA120000}"/>
    <cellStyle name="Normal 4 2 2 4 6 3 2" xfId="14407" xr:uid="{DEB78E14-91A3-4A08-AF6A-14451C14B7F4}"/>
    <cellStyle name="Normal 4 2 2 4 6 3 3" xfId="22847" xr:uid="{C34A1902-5075-4CCE-B2EB-63C2448A5BCF}"/>
    <cellStyle name="Normal 4 2 2 4 6 4" xfId="10189" xr:uid="{F124434B-3857-4849-89F6-947F611C46FC}"/>
    <cellStyle name="Normal 4 2 2 4 6 5" xfId="18630" xr:uid="{CEB92464-CDB5-4003-93C9-A5428178C464}"/>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16965" xr:uid="{BEF400FA-F272-4AC2-B402-3F1D07350455}"/>
    <cellStyle name="Normal 4 2 2 4 7 2 2 3" xfId="25405" xr:uid="{4CDE4EA2-B5B6-43B8-96C5-9E7048455797}"/>
    <cellStyle name="Normal 4 2 2 4 7 2 3" xfId="12747" xr:uid="{AF6A1787-590A-441F-BD3A-5A2C56032045}"/>
    <cellStyle name="Normal 4 2 2 4 7 2 4" xfId="21188" xr:uid="{DC5A71E4-1189-4E93-AAB1-DAAE60D21CBD}"/>
    <cellStyle name="Normal 4 2 2 4 7 3" xfId="6378" xr:uid="{00000000-0005-0000-0000-0000DE120000}"/>
    <cellStyle name="Normal 4 2 2 4 7 3 2" xfId="14820" xr:uid="{93F92F28-B775-4D6C-BE23-88811F56810A}"/>
    <cellStyle name="Normal 4 2 2 4 7 3 3" xfId="23260" xr:uid="{AAC87482-F683-4ADA-B166-BFAAE6F7BC37}"/>
    <cellStyle name="Normal 4 2 2 4 7 4" xfId="10602" xr:uid="{C5A7E638-20C2-42B6-8E84-6CBBB9119513}"/>
    <cellStyle name="Normal 4 2 2 4 7 5" xfId="19043" xr:uid="{60C574AA-D994-4ADC-BEB4-07D7091D0D90}"/>
    <cellStyle name="Normal 4 2 2 4 8" xfId="2507" xr:uid="{00000000-0005-0000-0000-0000DF120000}"/>
    <cellStyle name="Normal 4 2 2 4 8 2" xfId="6791" xr:uid="{00000000-0005-0000-0000-0000E0120000}"/>
    <cellStyle name="Normal 4 2 2 4 8 2 2" xfId="15233" xr:uid="{4C8CB689-F699-4584-AA0E-E79B6916DC86}"/>
    <cellStyle name="Normal 4 2 2 4 8 2 3" xfId="23673" xr:uid="{24B2A441-C06B-4B6E-89E9-56A7F4017A5C}"/>
    <cellStyle name="Normal 4 2 2 4 8 3" xfId="11015" xr:uid="{C938499D-38E3-4A1F-9319-8B3B71474873}"/>
    <cellStyle name="Normal 4 2 2 4 8 4" xfId="19456" xr:uid="{587B7D4A-D690-4FAF-ACB9-879D13AAF3DA}"/>
    <cellStyle name="Normal 4 2 2 4 9" xfId="4726" xr:uid="{00000000-0005-0000-0000-0000E1120000}"/>
    <cellStyle name="Normal 4 2 2 4 9 2" xfId="13168" xr:uid="{EEEF494E-7706-46B7-A232-87B413CFF9BA}"/>
    <cellStyle name="Normal 4 2 2 4 9 3" xfId="21608" xr:uid="{01ACCF2B-BE68-4A81-9694-B023E5B484DF}"/>
    <cellStyle name="Normal 4 2 2 5" xfId="351" xr:uid="{00000000-0005-0000-0000-0000E2120000}"/>
    <cellStyle name="Normal 4 2 2 5 10" xfId="17395" xr:uid="{7E3F6DA9-D558-4428-914F-C0062D1F589D}"/>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15731" xr:uid="{EBA95CAD-9B7A-45EB-9B4B-88BAC81440E7}"/>
    <cellStyle name="Normal 4 2 2 5 2 2 2 2 3" xfId="24171" xr:uid="{FC648FF5-7954-4EA7-BB9B-D62609300A1D}"/>
    <cellStyle name="Normal 4 2 2 5 2 2 2 3" xfId="11513" xr:uid="{17734AA5-3A78-4334-B08D-B2EBC63182B1}"/>
    <cellStyle name="Normal 4 2 2 5 2 2 2 4" xfId="19954" xr:uid="{E15DCF5F-564C-4DE8-AE67-852B00915016}"/>
    <cellStyle name="Normal 4 2 2 5 2 2 3" xfId="5144" xr:uid="{00000000-0005-0000-0000-0000E7120000}"/>
    <cellStyle name="Normal 4 2 2 5 2 2 3 2" xfId="13586" xr:uid="{8C0BEC2E-8912-4955-B468-CE26BC0A8E33}"/>
    <cellStyle name="Normal 4 2 2 5 2 2 3 3" xfId="22026" xr:uid="{C49B93D0-8AE7-484F-80B9-87C08BF2A6AF}"/>
    <cellStyle name="Normal 4 2 2 5 2 2 4" xfId="9368" xr:uid="{5B1864A3-2497-411C-8E3B-223C401F691A}"/>
    <cellStyle name="Normal 4 2 2 5 2 2 5" xfId="17809" xr:uid="{85D2EE7C-0316-4189-8FE5-509FD69778BF}"/>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16144" xr:uid="{718C6746-3DF9-4AC7-952B-B52122F4540A}"/>
    <cellStyle name="Normal 4 2 2 5 2 3 2 2 3" xfId="24584" xr:uid="{B2A5B4F4-BFCA-4C3D-A1FB-C38A4D689EE8}"/>
    <cellStyle name="Normal 4 2 2 5 2 3 2 3" xfId="11926" xr:uid="{3FFD8A3F-6A5F-41FF-9F44-94E85D6BCC3B}"/>
    <cellStyle name="Normal 4 2 2 5 2 3 2 4" xfId="20367" xr:uid="{398F3A42-7F5E-4647-B0C8-D93E9A4F30BD}"/>
    <cellStyle name="Normal 4 2 2 5 2 3 3" xfId="5557" xr:uid="{00000000-0005-0000-0000-0000EB120000}"/>
    <cellStyle name="Normal 4 2 2 5 2 3 3 2" xfId="13999" xr:uid="{ACBC1BA4-983B-4244-8538-8EEA6856404F}"/>
    <cellStyle name="Normal 4 2 2 5 2 3 3 3" xfId="22439" xr:uid="{9F6F0B44-FFB6-4F42-8AB2-632583166B10}"/>
    <cellStyle name="Normal 4 2 2 5 2 3 4" xfId="9781" xr:uid="{271170EB-E3C4-4CB7-8AB5-D300DEF002D2}"/>
    <cellStyle name="Normal 4 2 2 5 2 3 5" xfId="18222" xr:uid="{7574BDC9-A6AF-4E83-8473-BFDF18EFC0D8}"/>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16557" xr:uid="{DA62CAE5-7B5E-43E0-A25E-8FCECBACFC2D}"/>
    <cellStyle name="Normal 4 2 2 5 2 4 2 2 3" xfId="24997" xr:uid="{8D0832D6-11FE-4BD8-8C8E-798CB32AE92D}"/>
    <cellStyle name="Normal 4 2 2 5 2 4 2 3" xfId="12339" xr:uid="{E827CA02-83B6-4D0D-91E9-8F687A26A429}"/>
    <cellStyle name="Normal 4 2 2 5 2 4 2 4" xfId="20780" xr:uid="{D427C017-D847-4BD4-9DAD-8D4CA5EF47B9}"/>
    <cellStyle name="Normal 4 2 2 5 2 4 3" xfId="5970" xr:uid="{00000000-0005-0000-0000-0000EF120000}"/>
    <cellStyle name="Normal 4 2 2 5 2 4 3 2" xfId="14412" xr:uid="{60D920DA-1E0B-4BDE-8114-FC4588802105}"/>
    <cellStyle name="Normal 4 2 2 5 2 4 3 3" xfId="22852" xr:uid="{6C072323-0B9A-4874-BAFC-34B27F5A6BC9}"/>
    <cellStyle name="Normal 4 2 2 5 2 4 4" xfId="10194" xr:uid="{FB5AA25E-71E6-4653-BA94-C041A467010E}"/>
    <cellStyle name="Normal 4 2 2 5 2 4 5" xfId="18635" xr:uid="{DED6B90D-6C9F-46B0-A5C8-7D935248F346}"/>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16970" xr:uid="{4A90F925-E7C3-4427-A0D4-1A72F59F514B}"/>
    <cellStyle name="Normal 4 2 2 5 2 5 2 2 3" xfId="25410" xr:uid="{AAB5628C-E95D-450A-AC73-9818E9E31772}"/>
    <cellStyle name="Normal 4 2 2 5 2 5 2 3" xfId="12752" xr:uid="{A6F36BCE-F08E-47B2-BD00-B6348FDF4C9D}"/>
    <cellStyle name="Normal 4 2 2 5 2 5 2 4" xfId="21193" xr:uid="{0A55E3D1-3F67-4AF3-B2A9-54EB09BC39A0}"/>
    <cellStyle name="Normal 4 2 2 5 2 5 3" xfId="6383" xr:uid="{00000000-0005-0000-0000-0000F3120000}"/>
    <cellStyle name="Normal 4 2 2 5 2 5 3 2" xfId="14825" xr:uid="{DD29EC10-5AB8-4623-A8F3-5F9E8C982885}"/>
    <cellStyle name="Normal 4 2 2 5 2 5 3 3" xfId="23265" xr:uid="{9672A48F-4859-47D6-95D1-0CB2CD4A3171}"/>
    <cellStyle name="Normal 4 2 2 5 2 5 4" xfId="10607" xr:uid="{72247054-7280-4E7B-A2D5-C251D0DF3B86}"/>
    <cellStyle name="Normal 4 2 2 5 2 5 5" xfId="19048" xr:uid="{C47272CA-7967-4222-AE8B-91F5D393011E}"/>
    <cellStyle name="Normal 4 2 2 5 2 6" xfId="2512" xr:uid="{00000000-0005-0000-0000-0000F4120000}"/>
    <cellStyle name="Normal 4 2 2 5 2 6 2" xfId="6796" xr:uid="{00000000-0005-0000-0000-0000F5120000}"/>
    <cellStyle name="Normal 4 2 2 5 2 6 2 2" xfId="15238" xr:uid="{B7244709-D37E-466C-B911-71B7B75D17FE}"/>
    <cellStyle name="Normal 4 2 2 5 2 6 2 3" xfId="23678" xr:uid="{12CB80E0-BE64-47DB-BD1A-596DEFAC8932}"/>
    <cellStyle name="Normal 4 2 2 5 2 6 3" xfId="11020" xr:uid="{8278F86F-E718-4E7F-BE41-AEEEA4B3CF8C}"/>
    <cellStyle name="Normal 4 2 2 5 2 6 4" xfId="19461" xr:uid="{4D6045F7-1126-404D-A97A-10628E14676D}"/>
    <cellStyle name="Normal 4 2 2 5 2 7" xfId="4731" xr:uid="{00000000-0005-0000-0000-0000F6120000}"/>
    <cellStyle name="Normal 4 2 2 5 2 7 2" xfId="13173" xr:uid="{CCF2A7D9-AE1B-4295-9AD1-3D564E123919}"/>
    <cellStyle name="Normal 4 2 2 5 2 7 3" xfId="21613" xr:uid="{BDFE9C80-D318-4035-8A83-24C5C8951A68}"/>
    <cellStyle name="Normal 4 2 2 5 2 8" xfId="8955" xr:uid="{B2791CC4-65D8-462E-BA4A-96B8E213119D}"/>
    <cellStyle name="Normal 4 2 2 5 2 9" xfId="17396" xr:uid="{9A4AF9E3-C7A9-4DF2-88DE-60AF36E34A19}"/>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15730" xr:uid="{2626F979-C7BE-4D56-941C-062E1E698D66}"/>
    <cellStyle name="Normal 4 2 2 5 3 2 2 3" xfId="24170" xr:uid="{8B09BD65-D398-47B1-B530-911F28AD66D1}"/>
    <cellStyle name="Normal 4 2 2 5 3 2 3" xfId="11512" xr:uid="{2B9D0E76-CCA4-440B-89CE-156020A1ACB9}"/>
    <cellStyle name="Normal 4 2 2 5 3 2 4" xfId="19953" xr:uid="{0F9DB31D-F906-4AA7-8026-EDCED91061F1}"/>
    <cellStyle name="Normal 4 2 2 5 3 3" xfId="5143" xr:uid="{00000000-0005-0000-0000-0000FA120000}"/>
    <cellStyle name="Normal 4 2 2 5 3 3 2" xfId="13585" xr:uid="{2E3EC105-B754-4ECF-A31B-14C5F78984EC}"/>
    <cellStyle name="Normal 4 2 2 5 3 3 3" xfId="22025" xr:uid="{F63DF7E9-B128-461A-A631-DC6F078041E1}"/>
    <cellStyle name="Normal 4 2 2 5 3 4" xfId="9367" xr:uid="{4E371A43-C714-4C88-91D0-011D5E498B6B}"/>
    <cellStyle name="Normal 4 2 2 5 3 5" xfId="17808" xr:uid="{52372206-92D7-480F-9423-E68484A3D916}"/>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16143" xr:uid="{2C44EF46-2B01-4DF4-9FA7-B4D70A1414D9}"/>
    <cellStyle name="Normal 4 2 2 5 4 2 2 3" xfId="24583" xr:uid="{2BE1C34B-5ABB-4A64-A8F3-CDF0A79F0C70}"/>
    <cellStyle name="Normal 4 2 2 5 4 2 3" xfId="11925" xr:uid="{7BABFD17-659C-4370-B4A3-280980946B31}"/>
    <cellStyle name="Normal 4 2 2 5 4 2 4" xfId="20366" xr:uid="{80912D6D-12F9-40A1-A3B0-AA54AE9B38B9}"/>
    <cellStyle name="Normal 4 2 2 5 4 3" xfId="5556" xr:uid="{00000000-0005-0000-0000-0000FE120000}"/>
    <cellStyle name="Normal 4 2 2 5 4 3 2" xfId="13998" xr:uid="{9797E505-0DBB-4CE0-AA7D-7F8CDD7B257E}"/>
    <cellStyle name="Normal 4 2 2 5 4 3 3" xfId="22438" xr:uid="{7B1877F2-9514-40BA-9532-141BACDBE00B}"/>
    <cellStyle name="Normal 4 2 2 5 4 4" xfId="9780" xr:uid="{DE65C500-AF84-4BFE-B7EE-66377813E020}"/>
    <cellStyle name="Normal 4 2 2 5 4 5" xfId="18221" xr:uid="{B4C854F4-5168-4BEC-8272-F85EB1E1A57A}"/>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16556" xr:uid="{C6A11B28-9131-43F7-85F3-5871D67AE4A1}"/>
    <cellStyle name="Normal 4 2 2 5 5 2 2 3" xfId="24996" xr:uid="{EAF0E232-3C57-4292-8CD9-E9FAB9A7D88F}"/>
    <cellStyle name="Normal 4 2 2 5 5 2 3" xfId="12338" xr:uid="{5912486D-B40F-400F-A82B-7AD5DA4D4327}"/>
    <cellStyle name="Normal 4 2 2 5 5 2 4" xfId="20779" xr:uid="{9C00B842-7647-4CF5-BD88-D2B4D9845EFC}"/>
    <cellStyle name="Normal 4 2 2 5 5 3" xfId="5969" xr:uid="{00000000-0005-0000-0000-000002130000}"/>
    <cellStyle name="Normal 4 2 2 5 5 3 2" xfId="14411" xr:uid="{E8DA48DA-B61C-4931-9457-AE06E4EBC4E3}"/>
    <cellStyle name="Normal 4 2 2 5 5 3 3" xfId="22851" xr:uid="{E79AD351-078E-4F2E-BAF1-F9CE5348FAC2}"/>
    <cellStyle name="Normal 4 2 2 5 5 4" xfId="10193" xr:uid="{B9763BA0-A972-4C52-9DF4-995DD9E11918}"/>
    <cellStyle name="Normal 4 2 2 5 5 5" xfId="18634" xr:uid="{5E4AF39B-E9ED-451F-94BB-32F925E64C77}"/>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16969" xr:uid="{A3008F45-FBCD-4E58-BCCA-E5C07217A6BC}"/>
    <cellStyle name="Normal 4 2 2 5 6 2 2 3" xfId="25409" xr:uid="{B0500BCC-D609-4116-B444-22C06562EA4F}"/>
    <cellStyle name="Normal 4 2 2 5 6 2 3" xfId="12751" xr:uid="{6847CB5C-E7EA-4F98-8619-3A8037331755}"/>
    <cellStyle name="Normal 4 2 2 5 6 2 4" xfId="21192" xr:uid="{49EAE6EE-C646-4AAE-9372-B54941B1A0B0}"/>
    <cellStyle name="Normal 4 2 2 5 6 3" xfId="6382" xr:uid="{00000000-0005-0000-0000-000006130000}"/>
    <cellStyle name="Normal 4 2 2 5 6 3 2" xfId="14824" xr:uid="{626692DE-7082-40CF-ADB5-7D4260DD37A5}"/>
    <cellStyle name="Normal 4 2 2 5 6 3 3" xfId="23264" xr:uid="{630E25A9-C961-49D4-9665-7F9E6BEAFCB5}"/>
    <cellStyle name="Normal 4 2 2 5 6 4" xfId="10606" xr:uid="{007D10B8-BA08-473C-B992-94138369407F}"/>
    <cellStyle name="Normal 4 2 2 5 6 5" xfId="19047" xr:uid="{E7BAA0E9-5423-4162-87B8-363826F53DE1}"/>
    <cellStyle name="Normal 4 2 2 5 7" xfId="2511" xr:uid="{00000000-0005-0000-0000-000007130000}"/>
    <cellStyle name="Normal 4 2 2 5 7 2" xfId="6795" xr:uid="{00000000-0005-0000-0000-000008130000}"/>
    <cellStyle name="Normal 4 2 2 5 7 2 2" xfId="15237" xr:uid="{E492153B-05DA-4336-93CC-C2C140F39E7B}"/>
    <cellStyle name="Normal 4 2 2 5 7 2 3" xfId="23677" xr:uid="{50C5A831-7A53-450C-88F8-C169AF61E15D}"/>
    <cellStyle name="Normal 4 2 2 5 7 3" xfId="11019" xr:uid="{97591A7D-2238-4AB1-80CA-C18B0081A37B}"/>
    <cellStyle name="Normal 4 2 2 5 7 4" xfId="19460" xr:uid="{4837352C-455C-4856-8DBF-CF3AB6470B26}"/>
    <cellStyle name="Normal 4 2 2 5 8" xfId="4730" xr:uid="{00000000-0005-0000-0000-000009130000}"/>
    <cellStyle name="Normal 4 2 2 5 8 2" xfId="13172" xr:uid="{B2E711FE-6C01-4100-939F-8817DC5947AD}"/>
    <cellStyle name="Normal 4 2 2 5 8 3" xfId="21612" xr:uid="{CB748272-8A5F-4F0D-ADBE-BF1790FCFA23}"/>
    <cellStyle name="Normal 4 2 2 5 9" xfId="8954" xr:uid="{977142DE-47F1-41AA-8E83-AF8B5B96A9C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15732" xr:uid="{E2E6E856-A0A4-42BA-BDDC-8ABCD18129F8}"/>
    <cellStyle name="Normal 4 2 2 6 2 2 2 3" xfId="24172" xr:uid="{6950B1FD-5343-4B46-86CE-0C87FA9B5EC1}"/>
    <cellStyle name="Normal 4 2 2 6 2 2 3" xfId="11514" xr:uid="{A5E816D0-DD13-444C-AF08-95E45C2112F3}"/>
    <cellStyle name="Normal 4 2 2 6 2 2 4" xfId="19955" xr:uid="{7481F6E1-9E70-47A1-B6BF-B83CB90857B8}"/>
    <cellStyle name="Normal 4 2 2 6 2 3" xfId="5145" xr:uid="{00000000-0005-0000-0000-00000E130000}"/>
    <cellStyle name="Normal 4 2 2 6 2 3 2" xfId="13587" xr:uid="{D695482B-7868-4ABB-AB12-F53EACCAE1D9}"/>
    <cellStyle name="Normal 4 2 2 6 2 3 3" xfId="22027" xr:uid="{D0526973-E224-41F0-A1FB-42B5A0CD2F3B}"/>
    <cellStyle name="Normal 4 2 2 6 2 4" xfId="9369" xr:uid="{8978DA4C-B46B-4ADB-BCCD-54EBFA16C2AB}"/>
    <cellStyle name="Normal 4 2 2 6 2 5" xfId="17810" xr:uid="{B7EABAE5-E5A5-4F6E-B47A-017DB502A92F}"/>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16145" xr:uid="{13F5563C-D8C2-4193-ACFB-521001AE4329}"/>
    <cellStyle name="Normal 4 2 2 6 3 2 2 3" xfId="24585" xr:uid="{E48C678D-8D0C-4966-98A6-71F0C1C0091C}"/>
    <cellStyle name="Normal 4 2 2 6 3 2 3" xfId="11927" xr:uid="{07228F55-ACAA-4D49-9C30-EFF3B04F4291}"/>
    <cellStyle name="Normal 4 2 2 6 3 2 4" xfId="20368" xr:uid="{16A70336-9C4E-490D-A764-91AA6DD2503B}"/>
    <cellStyle name="Normal 4 2 2 6 3 3" xfId="5558" xr:uid="{00000000-0005-0000-0000-000012130000}"/>
    <cellStyle name="Normal 4 2 2 6 3 3 2" xfId="14000" xr:uid="{E7DA8BBD-C9FA-4D53-8199-4EF31CEB3CDF}"/>
    <cellStyle name="Normal 4 2 2 6 3 3 3" xfId="22440" xr:uid="{4BF33AD5-68F0-46C0-9ECC-1AD330F36408}"/>
    <cellStyle name="Normal 4 2 2 6 3 4" xfId="9782" xr:uid="{6C2C9244-4AE4-4A78-AC15-D3DDA68E7E89}"/>
    <cellStyle name="Normal 4 2 2 6 3 5" xfId="18223" xr:uid="{DB158523-B2E0-4D0D-86D7-07CE593382F7}"/>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16558" xr:uid="{29519B69-351E-43A1-9FE1-0E8A4D8105C9}"/>
    <cellStyle name="Normal 4 2 2 6 4 2 2 3" xfId="24998" xr:uid="{EE2CB673-B899-425B-971A-5F54D047EE50}"/>
    <cellStyle name="Normal 4 2 2 6 4 2 3" xfId="12340" xr:uid="{8095CD4D-7711-4970-AF1D-64551B0C0BE7}"/>
    <cellStyle name="Normal 4 2 2 6 4 2 4" xfId="20781" xr:uid="{84D1781A-FC14-439F-B557-10A34CDA2381}"/>
    <cellStyle name="Normal 4 2 2 6 4 3" xfId="5971" xr:uid="{00000000-0005-0000-0000-000016130000}"/>
    <cellStyle name="Normal 4 2 2 6 4 3 2" xfId="14413" xr:uid="{0B981CC7-AE34-4461-B5FA-DE864138084B}"/>
    <cellStyle name="Normal 4 2 2 6 4 3 3" xfId="22853" xr:uid="{A715ED07-9464-4A4D-9800-5BB5C9356645}"/>
    <cellStyle name="Normal 4 2 2 6 4 4" xfId="10195" xr:uid="{40EEE37A-E04F-425F-85D4-ACF58529FFA8}"/>
    <cellStyle name="Normal 4 2 2 6 4 5" xfId="18636" xr:uid="{632E6AA2-1600-4F04-908D-11B19F85A47F}"/>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16971" xr:uid="{542A5AB1-5E3A-45A9-92A1-00214E3C855B}"/>
    <cellStyle name="Normal 4 2 2 6 5 2 2 3" xfId="25411" xr:uid="{3EA084CA-C515-4585-81E1-0D6AD0A6B3BC}"/>
    <cellStyle name="Normal 4 2 2 6 5 2 3" xfId="12753" xr:uid="{90F7699A-1FAE-4FFE-8FC6-745F030DB802}"/>
    <cellStyle name="Normal 4 2 2 6 5 2 4" xfId="21194" xr:uid="{EFD1E2E7-AB5A-47A9-9F11-0A65C448E57B}"/>
    <cellStyle name="Normal 4 2 2 6 5 3" xfId="6384" xr:uid="{00000000-0005-0000-0000-00001A130000}"/>
    <cellStyle name="Normal 4 2 2 6 5 3 2" xfId="14826" xr:uid="{33D3A907-06BA-45FC-852B-900CCDA685AD}"/>
    <cellStyle name="Normal 4 2 2 6 5 3 3" xfId="23266" xr:uid="{DF676E7D-BB79-4702-BAE5-A705D12833C8}"/>
    <cellStyle name="Normal 4 2 2 6 5 4" xfId="10608" xr:uid="{B73B671E-7074-418F-8700-ECB7CCB62449}"/>
    <cellStyle name="Normal 4 2 2 6 5 5" xfId="19049" xr:uid="{D7780619-D0CC-4D03-8ED8-762F1A704DA0}"/>
    <cellStyle name="Normal 4 2 2 6 6" xfId="2513" xr:uid="{00000000-0005-0000-0000-00001B130000}"/>
    <cellStyle name="Normal 4 2 2 6 6 2" xfId="6797" xr:uid="{00000000-0005-0000-0000-00001C130000}"/>
    <cellStyle name="Normal 4 2 2 6 6 2 2" xfId="15239" xr:uid="{10EA8EFD-B8DB-45CA-BF8D-447706FFF3D1}"/>
    <cellStyle name="Normal 4 2 2 6 6 2 3" xfId="23679" xr:uid="{2CEE795A-8097-4A53-852C-D04AD50EA6AF}"/>
    <cellStyle name="Normal 4 2 2 6 6 3" xfId="11021" xr:uid="{EDA65B0C-3EA7-4B60-9B6B-88769ACD41B4}"/>
    <cellStyle name="Normal 4 2 2 6 6 4" xfId="19462" xr:uid="{07C7668C-6CA1-491E-9D38-60A74045BE25}"/>
    <cellStyle name="Normal 4 2 2 6 7" xfId="4732" xr:uid="{00000000-0005-0000-0000-00001D130000}"/>
    <cellStyle name="Normal 4 2 2 6 7 2" xfId="13174" xr:uid="{CFB95913-F2A3-422B-8D06-907040ECD75C}"/>
    <cellStyle name="Normal 4 2 2 6 7 3" xfId="21614" xr:uid="{F4514E7B-3EA9-44F0-9E01-ECC5BA7885F7}"/>
    <cellStyle name="Normal 4 2 2 6 8" xfId="8956" xr:uid="{18240748-AB15-4506-82E6-9DEF8089F3D3}"/>
    <cellStyle name="Normal 4 2 2 6 9" xfId="17397" xr:uid="{B5258C44-C2BF-4839-96C8-1E9A051C4581}"/>
    <cellStyle name="Normal 4 2 2 7" xfId="815" xr:uid="{00000000-0005-0000-0000-00001E130000}"/>
    <cellStyle name="Normal 4 2 2 7 2" xfId="3052" xr:uid="{00000000-0005-0000-0000-00001F130000}"/>
    <cellStyle name="Normal 4 2 2 7 2 2" xfId="7275" xr:uid="{00000000-0005-0000-0000-000020130000}"/>
    <cellStyle name="Normal 4 2 2 7 2 2 2" xfId="15717" xr:uid="{8E8D6045-C5E8-4CD2-80E8-44CB4CC17C69}"/>
    <cellStyle name="Normal 4 2 2 7 2 2 3" xfId="24157" xr:uid="{4F44762E-5999-446C-B977-C933D9F25878}"/>
    <cellStyle name="Normal 4 2 2 7 2 3" xfId="11499" xr:uid="{82F6329B-6FBF-463A-93A4-607CA3965EE8}"/>
    <cellStyle name="Normal 4 2 2 7 2 4" xfId="19940" xr:uid="{606EF6C7-5EA8-4BBB-B163-C98CFAFAB3B7}"/>
    <cellStyle name="Normal 4 2 2 7 3" xfId="5130" xr:uid="{00000000-0005-0000-0000-000021130000}"/>
    <cellStyle name="Normal 4 2 2 7 3 2" xfId="13572" xr:uid="{C85D8789-90FA-4C3B-A051-DB506A448C50}"/>
    <cellStyle name="Normal 4 2 2 7 3 3" xfId="22012" xr:uid="{1829CDE8-85FF-4D4D-A7FB-C88D30C578F4}"/>
    <cellStyle name="Normal 4 2 2 7 4" xfId="9354" xr:uid="{990516F6-1C81-44CD-AD86-38D5F6367554}"/>
    <cellStyle name="Normal 4 2 2 7 5" xfId="17795" xr:uid="{30C679F9-338E-4342-9DA3-01B55D5C9B18}"/>
    <cellStyle name="Normal 4 2 2 8" xfId="1235" xr:uid="{00000000-0005-0000-0000-000022130000}"/>
    <cellStyle name="Normal 4 2 2 8 2" xfId="3465" xr:uid="{00000000-0005-0000-0000-000023130000}"/>
    <cellStyle name="Normal 4 2 2 8 2 2" xfId="7688" xr:uid="{00000000-0005-0000-0000-000024130000}"/>
    <cellStyle name="Normal 4 2 2 8 2 2 2" xfId="16130" xr:uid="{FF69C5D7-3ACC-4FCD-B631-5A3C9BD520E8}"/>
    <cellStyle name="Normal 4 2 2 8 2 2 3" xfId="24570" xr:uid="{E7C75A50-9D6B-457A-86FF-A7C2F9C76D2B}"/>
    <cellStyle name="Normal 4 2 2 8 2 3" xfId="11912" xr:uid="{5E5A0088-1D9F-4E93-A2D4-0658751F4CE2}"/>
    <cellStyle name="Normal 4 2 2 8 2 4" xfId="20353" xr:uid="{31362C01-0A0E-4A68-92AA-944B43D91493}"/>
    <cellStyle name="Normal 4 2 2 8 3" xfId="5543" xr:uid="{00000000-0005-0000-0000-000025130000}"/>
    <cellStyle name="Normal 4 2 2 8 3 2" xfId="13985" xr:uid="{0FA1CC95-6443-4138-BC5E-81BF85DFD11B}"/>
    <cellStyle name="Normal 4 2 2 8 3 3" xfId="22425" xr:uid="{6B79D016-9225-4D1B-B4F5-21F72E6BDAFD}"/>
    <cellStyle name="Normal 4 2 2 8 4" xfId="9767" xr:uid="{84DDB9B9-F108-4692-8955-3C5FFC7DDE60}"/>
    <cellStyle name="Normal 4 2 2 8 5" xfId="18208" xr:uid="{04E319E8-72CE-4ADA-A5D2-FE3A9F63931B}"/>
    <cellStyle name="Normal 4 2 2 9" xfId="1648" xr:uid="{00000000-0005-0000-0000-000026130000}"/>
    <cellStyle name="Normal 4 2 2 9 2" xfId="3878" xr:uid="{00000000-0005-0000-0000-000027130000}"/>
    <cellStyle name="Normal 4 2 2 9 2 2" xfId="8101" xr:uid="{00000000-0005-0000-0000-000028130000}"/>
    <cellStyle name="Normal 4 2 2 9 2 2 2" xfId="16543" xr:uid="{71215CCE-06BE-458D-9E42-A32F3E517573}"/>
    <cellStyle name="Normal 4 2 2 9 2 2 3" xfId="24983" xr:uid="{DF6D33E3-17BA-4C76-9455-1C4B5E27076F}"/>
    <cellStyle name="Normal 4 2 2 9 2 3" xfId="12325" xr:uid="{2753BCC1-8AE6-4C90-A497-E93FBA5D1F38}"/>
    <cellStyle name="Normal 4 2 2 9 2 4" xfId="20766" xr:uid="{A29B87EF-8879-4D22-A1DD-57BCF5348539}"/>
    <cellStyle name="Normal 4 2 2 9 3" xfId="5956" xr:uid="{00000000-0005-0000-0000-000029130000}"/>
    <cellStyle name="Normal 4 2 2 9 3 2" xfId="14398" xr:uid="{8955D97F-9611-4A6C-9C00-7A0C1A8C1DE2}"/>
    <cellStyle name="Normal 4 2 2 9 3 3" xfId="22838" xr:uid="{A0A31085-8FB7-4121-B5E1-032717E909C1}"/>
    <cellStyle name="Normal 4 2 2 9 4" xfId="10180" xr:uid="{D67CC0CC-5E62-4A20-B686-A358009F0BAB}"/>
    <cellStyle name="Normal 4 2 2 9 5" xfId="18621" xr:uid="{55772406-76B5-4792-99AD-D4F08975BA02}"/>
    <cellStyle name="Normal 4 2 3" xfId="354" xr:uid="{00000000-0005-0000-0000-00002A130000}"/>
    <cellStyle name="Normal 4 2 4" xfId="355" xr:uid="{00000000-0005-0000-0000-00002B130000}"/>
    <cellStyle name="Normal 4 2 4 10" xfId="4733" xr:uid="{00000000-0005-0000-0000-00002C130000}"/>
    <cellStyle name="Normal 4 2 4 10 2" xfId="13175" xr:uid="{4FCC4EE7-BA4A-403B-8754-E84FE7221A15}"/>
    <cellStyle name="Normal 4 2 4 10 3" xfId="21615" xr:uid="{94B2C8AE-A9DF-4C7C-82E0-F020F899072E}"/>
    <cellStyle name="Normal 4 2 4 11" xfId="8957" xr:uid="{ED8C4545-C4D7-4596-A26E-C26F9F14FC54}"/>
    <cellStyle name="Normal 4 2 4 12" xfId="17398" xr:uid="{A290A299-D456-4B4A-A63D-DC19D6DB2AF8}"/>
    <cellStyle name="Normal 4 2 4 2" xfId="356" xr:uid="{00000000-0005-0000-0000-00002D130000}"/>
    <cellStyle name="Normal 4 2 4 2 10" xfId="8958" xr:uid="{7C422034-F731-4785-8FB0-96F1B5F9614F}"/>
    <cellStyle name="Normal 4 2 4 2 11" xfId="17399" xr:uid="{5E961976-9A2A-41DD-BDC6-7BE5056BF38A}"/>
    <cellStyle name="Normal 4 2 4 2 2" xfId="357" xr:uid="{00000000-0005-0000-0000-00002E130000}"/>
    <cellStyle name="Normal 4 2 4 2 2 10" xfId="17400" xr:uid="{3EF2BC57-2D48-4724-8BD5-97D960385B08}"/>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15736" xr:uid="{33522E49-0260-436D-B258-A4EE53CFF588}"/>
    <cellStyle name="Normal 4 2 4 2 2 2 2 2 2 3" xfId="24176" xr:uid="{1F1A7E86-6B68-400C-9583-F26D84769919}"/>
    <cellStyle name="Normal 4 2 4 2 2 2 2 2 3" xfId="11518" xr:uid="{FDDFDCC1-C66A-4949-BC25-7A1CE337E62B}"/>
    <cellStyle name="Normal 4 2 4 2 2 2 2 2 4" xfId="19959" xr:uid="{8D4CAFC9-75A5-4268-9145-26177B3731E2}"/>
    <cellStyle name="Normal 4 2 4 2 2 2 2 3" xfId="5149" xr:uid="{00000000-0005-0000-0000-000033130000}"/>
    <cellStyle name="Normal 4 2 4 2 2 2 2 3 2" xfId="13591" xr:uid="{3B55162D-D1F7-4853-9C35-C99B8209EFFD}"/>
    <cellStyle name="Normal 4 2 4 2 2 2 2 3 3" xfId="22031" xr:uid="{1CBAC95F-56D1-42EE-B4B5-CC84A5316214}"/>
    <cellStyle name="Normal 4 2 4 2 2 2 2 4" xfId="9373" xr:uid="{340102E6-2058-47B5-B6A0-E61685DA9080}"/>
    <cellStyle name="Normal 4 2 4 2 2 2 2 5" xfId="17814" xr:uid="{1551A91C-6CCB-49AF-8627-454FD6BCE556}"/>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16149" xr:uid="{C3EB99FF-E5F5-4E06-816C-C2D4979B7F19}"/>
    <cellStyle name="Normal 4 2 4 2 2 2 3 2 2 3" xfId="24589" xr:uid="{9ED72173-3A1D-4C9D-972B-D507F46945AA}"/>
    <cellStyle name="Normal 4 2 4 2 2 2 3 2 3" xfId="11931" xr:uid="{078EE068-A1CB-41A4-BDE7-868FAC88925E}"/>
    <cellStyle name="Normal 4 2 4 2 2 2 3 2 4" xfId="20372" xr:uid="{C0B24325-F271-451D-851B-0DB4C9A0CEEE}"/>
    <cellStyle name="Normal 4 2 4 2 2 2 3 3" xfId="5562" xr:uid="{00000000-0005-0000-0000-000037130000}"/>
    <cellStyle name="Normal 4 2 4 2 2 2 3 3 2" xfId="14004" xr:uid="{85076ACA-2579-457E-85CF-5082FC07BA2E}"/>
    <cellStyle name="Normal 4 2 4 2 2 2 3 3 3" xfId="22444" xr:uid="{89A94568-BA2A-4255-A04E-D11BE1FFADE2}"/>
    <cellStyle name="Normal 4 2 4 2 2 2 3 4" xfId="9786" xr:uid="{B12AA545-4431-4FEB-A233-F46FD5F31E88}"/>
    <cellStyle name="Normal 4 2 4 2 2 2 3 5" xfId="18227" xr:uid="{E00A3AD5-14B2-41BA-BE3D-7F6935CA8F85}"/>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16562" xr:uid="{5398807F-43A8-41A8-ADE2-E26C2CE3815A}"/>
    <cellStyle name="Normal 4 2 4 2 2 2 4 2 2 3" xfId="25002" xr:uid="{25F35A8A-B547-49D1-A1FB-9C2B4C9154B8}"/>
    <cellStyle name="Normal 4 2 4 2 2 2 4 2 3" xfId="12344" xr:uid="{838A5406-144A-433A-B785-A7CE6AFEFF5A}"/>
    <cellStyle name="Normal 4 2 4 2 2 2 4 2 4" xfId="20785" xr:uid="{A3FF8702-2ED8-48B0-BC5A-83306CCE384A}"/>
    <cellStyle name="Normal 4 2 4 2 2 2 4 3" xfId="5975" xr:uid="{00000000-0005-0000-0000-00003B130000}"/>
    <cellStyle name="Normal 4 2 4 2 2 2 4 3 2" xfId="14417" xr:uid="{89A6C1EC-7AB8-447E-A02F-CC24069266CA}"/>
    <cellStyle name="Normal 4 2 4 2 2 2 4 3 3" xfId="22857" xr:uid="{EAB16F10-2C7F-443C-9CD3-CCE61F868150}"/>
    <cellStyle name="Normal 4 2 4 2 2 2 4 4" xfId="10199" xr:uid="{5A81C0E9-A0A8-46BB-8F27-D38E563732C0}"/>
    <cellStyle name="Normal 4 2 4 2 2 2 4 5" xfId="18640" xr:uid="{D3C5C0DB-A438-4656-9275-155F10159374}"/>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16975" xr:uid="{F5364358-E7D1-47CC-AEE8-7ABEED7EB10B}"/>
    <cellStyle name="Normal 4 2 4 2 2 2 5 2 2 3" xfId="25415" xr:uid="{7F504E04-8668-4769-A885-7D6E9D1D2057}"/>
    <cellStyle name="Normal 4 2 4 2 2 2 5 2 3" xfId="12757" xr:uid="{EFD09B18-B45C-44A7-9239-87AC8543EFD8}"/>
    <cellStyle name="Normal 4 2 4 2 2 2 5 2 4" xfId="21198" xr:uid="{E7280C0F-C01A-41E7-B691-5B37DF2B9F29}"/>
    <cellStyle name="Normal 4 2 4 2 2 2 5 3" xfId="6388" xr:uid="{00000000-0005-0000-0000-00003F130000}"/>
    <cellStyle name="Normal 4 2 4 2 2 2 5 3 2" xfId="14830" xr:uid="{9A62D151-4A27-47BE-871E-5F8709E916AC}"/>
    <cellStyle name="Normal 4 2 4 2 2 2 5 3 3" xfId="23270" xr:uid="{B6F18912-2D86-4305-9DDD-DF91600CBA67}"/>
    <cellStyle name="Normal 4 2 4 2 2 2 5 4" xfId="10612" xr:uid="{02C44268-E39C-49B2-937C-48BD98AD7E1D}"/>
    <cellStyle name="Normal 4 2 4 2 2 2 5 5" xfId="19053" xr:uid="{5B85A500-BF57-4749-B6E2-FFF72FE0E458}"/>
    <cellStyle name="Normal 4 2 4 2 2 2 6" xfId="2517" xr:uid="{00000000-0005-0000-0000-000040130000}"/>
    <cellStyle name="Normal 4 2 4 2 2 2 6 2" xfId="6801" xr:uid="{00000000-0005-0000-0000-000041130000}"/>
    <cellStyle name="Normal 4 2 4 2 2 2 6 2 2" xfId="15243" xr:uid="{EA722EA4-EA99-4B9E-A464-F97B602C25E4}"/>
    <cellStyle name="Normal 4 2 4 2 2 2 6 2 3" xfId="23683" xr:uid="{2E1FBBDC-93DD-4578-A353-A7D9571587B7}"/>
    <cellStyle name="Normal 4 2 4 2 2 2 6 3" xfId="11025" xr:uid="{A3C25926-704E-498A-AC70-AFBE33DAB3B8}"/>
    <cellStyle name="Normal 4 2 4 2 2 2 6 4" xfId="19466" xr:uid="{8381EF60-368C-42EC-86DC-0D4204205714}"/>
    <cellStyle name="Normal 4 2 4 2 2 2 7" xfId="4736" xr:uid="{00000000-0005-0000-0000-000042130000}"/>
    <cellStyle name="Normal 4 2 4 2 2 2 7 2" xfId="13178" xr:uid="{23A87EED-474E-4F69-BD9F-D612BC93EBB4}"/>
    <cellStyle name="Normal 4 2 4 2 2 2 7 3" xfId="21618" xr:uid="{9B8FDD0A-37B8-4845-A052-C2DC336772EF}"/>
    <cellStyle name="Normal 4 2 4 2 2 2 8" xfId="8960" xr:uid="{54A11768-E1D9-432F-9C32-6EF1559C288B}"/>
    <cellStyle name="Normal 4 2 4 2 2 2 9" xfId="17401" xr:uid="{7466FEB1-B38B-479B-AC11-D54F5A6220DC}"/>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15735" xr:uid="{B93DCD7C-3BA7-4899-9F7C-A56D4EAE816E}"/>
    <cellStyle name="Normal 4 2 4 2 2 3 2 2 3" xfId="24175" xr:uid="{352413C8-D3BD-456C-945C-14B746BD32BF}"/>
    <cellStyle name="Normal 4 2 4 2 2 3 2 3" xfId="11517" xr:uid="{D1F02FF2-695F-43EC-B45A-71A3C2722E6D}"/>
    <cellStyle name="Normal 4 2 4 2 2 3 2 4" xfId="19958" xr:uid="{61CC2B45-7AC6-48D7-8E8F-93E75D6C9DCC}"/>
    <cellStyle name="Normal 4 2 4 2 2 3 3" xfId="5148" xr:uid="{00000000-0005-0000-0000-000046130000}"/>
    <cellStyle name="Normal 4 2 4 2 2 3 3 2" xfId="13590" xr:uid="{A3DC753B-4D0C-42F8-80CB-C21C712F6524}"/>
    <cellStyle name="Normal 4 2 4 2 2 3 3 3" xfId="22030" xr:uid="{0D250A7B-CA4B-49AE-8B52-3A4ECC9D72D6}"/>
    <cellStyle name="Normal 4 2 4 2 2 3 4" xfId="9372" xr:uid="{7DADDFF2-069E-4FF5-9AB3-8F1C3F0B8F09}"/>
    <cellStyle name="Normal 4 2 4 2 2 3 5" xfId="17813" xr:uid="{A7C921E7-27E5-4C8A-95E5-1B6B387438F7}"/>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16148" xr:uid="{3FEEB1B7-5E8E-4675-8B00-FFE15EC644D3}"/>
    <cellStyle name="Normal 4 2 4 2 2 4 2 2 3" xfId="24588" xr:uid="{FB70B843-6B12-4C28-81B8-557ADC87F15C}"/>
    <cellStyle name="Normal 4 2 4 2 2 4 2 3" xfId="11930" xr:uid="{A7C00784-8C6B-441E-87F0-7D5D494706F3}"/>
    <cellStyle name="Normal 4 2 4 2 2 4 2 4" xfId="20371" xr:uid="{E5810173-2654-430C-888B-0B82A6EB2CA6}"/>
    <cellStyle name="Normal 4 2 4 2 2 4 3" xfId="5561" xr:uid="{00000000-0005-0000-0000-00004A130000}"/>
    <cellStyle name="Normal 4 2 4 2 2 4 3 2" xfId="14003" xr:uid="{47F5CDF1-E867-43C9-BE41-B4D46FFB446A}"/>
    <cellStyle name="Normal 4 2 4 2 2 4 3 3" xfId="22443" xr:uid="{1596E86D-3C44-4B7D-8376-CDF1149CF211}"/>
    <cellStyle name="Normal 4 2 4 2 2 4 4" xfId="9785" xr:uid="{3F4FBF00-3456-4E65-B1DB-38E072DE5DFF}"/>
    <cellStyle name="Normal 4 2 4 2 2 4 5" xfId="18226" xr:uid="{D5C88657-9DC6-417B-A939-50CDC9BE217D}"/>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16561" xr:uid="{63ECDBAB-3905-433E-BBB9-B754F6A3B15A}"/>
    <cellStyle name="Normal 4 2 4 2 2 5 2 2 3" xfId="25001" xr:uid="{67721A0F-E544-4F97-BDDA-ECA663E59CDF}"/>
    <cellStyle name="Normal 4 2 4 2 2 5 2 3" xfId="12343" xr:uid="{623B5D17-1084-49BB-A41D-541A0FC2094E}"/>
    <cellStyle name="Normal 4 2 4 2 2 5 2 4" xfId="20784" xr:uid="{FDCF8AAD-4561-47AE-A176-9B8F08E98F77}"/>
    <cellStyle name="Normal 4 2 4 2 2 5 3" xfId="5974" xr:uid="{00000000-0005-0000-0000-00004E130000}"/>
    <cellStyle name="Normal 4 2 4 2 2 5 3 2" xfId="14416" xr:uid="{BEE6E4F1-9D77-4FD0-B4B9-5BB9C631C058}"/>
    <cellStyle name="Normal 4 2 4 2 2 5 3 3" xfId="22856" xr:uid="{1435F562-4394-4345-A62E-1AF4199106CF}"/>
    <cellStyle name="Normal 4 2 4 2 2 5 4" xfId="10198" xr:uid="{A407961C-6078-42D9-8AEF-222E8061178B}"/>
    <cellStyle name="Normal 4 2 4 2 2 5 5" xfId="18639" xr:uid="{C5511083-5AEC-444B-9CEA-4BA35F3A85F2}"/>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16974" xr:uid="{F6CAEAC2-0D18-472B-83FE-F1683F4627CF}"/>
    <cellStyle name="Normal 4 2 4 2 2 6 2 2 3" xfId="25414" xr:uid="{BFEFD9A3-55BC-461A-91EF-4AA13D791859}"/>
    <cellStyle name="Normal 4 2 4 2 2 6 2 3" xfId="12756" xr:uid="{318A2519-CE37-4D1F-AD0E-24621E0EB613}"/>
    <cellStyle name="Normal 4 2 4 2 2 6 2 4" xfId="21197" xr:uid="{A9D1CF86-878B-4BE2-BC57-717286F8DB7C}"/>
    <cellStyle name="Normal 4 2 4 2 2 6 3" xfId="6387" xr:uid="{00000000-0005-0000-0000-000052130000}"/>
    <cellStyle name="Normal 4 2 4 2 2 6 3 2" xfId="14829" xr:uid="{7774DB80-9863-47B9-B31C-7FF59BBE1A54}"/>
    <cellStyle name="Normal 4 2 4 2 2 6 3 3" xfId="23269" xr:uid="{1BD07125-97A7-4104-A224-54C9E0C86C14}"/>
    <cellStyle name="Normal 4 2 4 2 2 6 4" xfId="10611" xr:uid="{5D9BA4BE-AEEC-42B8-9C18-194AB6AC8CB1}"/>
    <cellStyle name="Normal 4 2 4 2 2 6 5" xfId="19052" xr:uid="{AB09387F-0CED-4AB3-97CE-0812BC5E3044}"/>
    <cellStyle name="Normal 4 2 4 2 2 7" xfId="2516" xr:uid="{00000000-0005-0000-0000-000053130000}"/>
    <cellStyle name="Normal 4 2 4 2 2 7 2" xfId="6800" xr:uid="{00000000-0005-0000-0000-000054130000}"/>
    <cellStyle name="Normal 4 2 4 2 2 7 2 2" xfId="15242" xr:uid="{FC8B5426-C1D0-43E9-8DDF-5EDD6F748356}"/>
    <cellStyle name="Normal 4 2 4 2 2 7 2 3" xfId="23682" xr:uid="{38064320-D80A-4800-9CE7-C58E44234751}"/>
    <cellStyle name="Normal 4 2 4 2 2 7 3" xfId="11024" xr:uid="{360B296C-C6CE-4290-A60D-8264B807E50F}"/>
    <cellStyle name="Normal 4 2 4 2 2 7 4" xfId="19465" xr:uid="{BF864BE0-40BD-4251-A879-B2E6DB243745}"/>
    <cellStyle name="Normal 4 2 4 2 2 8" xfId="4735" xr:uid="{00000000-0005-0000-0000-000055130000}"/>
    <cellStyle name="Normal 4 2 4 2 2 8 2" xfId="13177" xr:uid="{3114D34B-9743-4A16-858F-CC615E6912E3}"/>
    <cellStyle name="Normal 4 2 4 2 2 8 3" xfId="21617" xr:uid="{EF7974EE-B083-48F3-8375-59C63BFC9FF6}"/>
    <cellStyle name="Normal 4 2 4 2 2 9" xfId="8959" xr:uid="{C42FD83C-C832-4D4C-AF94-EE8FD2673DD6}"/>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15737" xr:uid="{BD4CDBC5-E577-4612-B2EB-B2E32AC2A4C8}"/>
    <cellStyle name="Normal 4 2 4 2 3 2 2 2 3" xfId="24177" xr:uid="{763250EF-0C14-4531-BA9D-5B502541B6DE}"/>
    <cellStyle name="Normal 4 2 4 2 3 2 2 3" xfId="11519" xr:uid="{783AA09E-57AE-443B-A512-43D83E0E2AFD}"/>
    <cellStyle name="Normal 4 2 4 2 3 2 2 4" xfId="19960" xr:uid="{1C549049-C1E5-4E9C-9FC0-126BDC68A8C0}"/>
    <cellStyle name="Normal 4 2 4 2 3 2 3" xfId="5150" xr:uid="{00000000-0005-0000-0000-00005A130000}"/>
    <cellStyle name="Normal 4 2 4 2 3 2 3 2" xfId="13592" xr:uid="{86F2FAD3-FDE6-4575-BA90-E2600E9C9BD6}"/>
    <cellStyle name="Normal 4 2 4 2 3 2 3 3" xfId="22032" xr:uid="{FB6E98FF-F098-429F-B64D-AC6B63FC96FA}"/>
    <cellStyle name="Normal 4 2 4 2 3 2 4" xfId="9374" xr:uid="{7423CFA6-E68C-4AE6-8EC4-B6339C40E6E3}"/>
    <cellStyle name="Normal 4 2 4 2 3 2 5" xfId="17815" xr:uid="{C5629EE9-DF80-4A0F-953B-538E9184E012}"/>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16150" xr:uid="{CC1E917C-FC4B-4FF3-8A43-F03E14E7A653}"/>
    <cellStyle name="Normal 4 2 4 2 3 3 2 2 3" xfId="24590" xr:uid="{361BFB41-7E99-4AE8-8119-79DDA190671A}"/>
    <cellStyle name="Normal 4 2 4 2 3 3 2 3" xfId="11932" xr:uid="{1DD147C7-823F-4E4F-A581-C6D15345B308}"/>
    <cellStyle name="Normal 4 2 4 2 3 3 2 4" xfId="20373" xr:uid="{70F82CC8-DF47-4D37-A3F8-FA8EB6F7463C}"/>
    <cellStyle name="Normal 4 2 4 2 3 3 3" xfId="5563" xr:uid="{00000000-0005-0000-0000-00005E130000}"/>
    <cellStyle name="Normal 4 2 4 2 3 3 3 2" xfId="14005" xr:uid="{BEBB083C-18A6-490A-A324-FB09F2B1D405}"/>
    <cellStyle name="Normal 4 2 4 2 3 3 3 3" xfId="22445" xr:uid="{2F827621-49A5-4B5C-894B-96B73601CF85}"/>
    <cellStyle name="Normal 4 2 4 2 3 3 4" xfId="9787" xr:uid="{4716BE9C-15AF-4358-BF6F-AFAA4FA6EB36}"/>
    <cellStyle name="Normal 4 2 4 2 3 3 5" xfId="18228" xr:uid="{23B18A5B-4772-4E01-99B3-F13F60D535C7}"/>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16563" xr:uid="{398F8AA3-6968-4220-8250-E9E80D1857E1}"/>
    <cellStyle name="Normal 4 2 4 2 3 4 2 2 3" xfId="25003" xr:uid="{88890A94-CFA6-476D-9F13-3B92911D8B77}"/>
    <cellStyle name="Normal 4 2 4 2 3 4 2 3" xfId="12345" xr:uid="{9C3A51D9-E351-42BD-A2D8-7C502A93FA20}"/>
    <cellStyle name="Normal 4 2 4 2 3 4 2 4" xfId="20786" xr:uid="{0DD1AFD1-ABA2-4DE6-A5A3-671F0D43CCEA}"/>
    <cellStyle name="Normal 4 2 4 2 3 4 3" xfId="5976" xr:uid="{00000000-0005-0000-0000-000062130000}"/>
    <cellStyle name="Normal 4 2 4 2 3 4 3 2" xfId="14418" xr:uid="{F6591765-70E4-4EE5-9DF9-0D08CF14CC23}"/>
    <cellStyle name="Normal 4 2 4 2 3 4 3 3" xfId="22858" xr:uid="{CADA1394-955B-4C8A-BA71-82AA43EFC048}"/>
    <cellStyle name="Normal 4 2 4 2 3 4 4" xfId="10200" xr:uid="{2492AB31-9D3A-4024-870D-A3FFA4923D19}"/>
    <cellStyle name="Normal 4 2 4 2 3 4 5" xfId="18641" xr:uid="{5B9F2F7E-215D-4D80-82F8-B6E3ECAC2517}"/>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16976" xr:uid="{BF033089-E2D7-4739-B974-D4CE29EF51C3}"/>
    <cellStyle name="Normal 4 2 4 2 3 5 2 2 3" xfId="25416" xr:uid="{14B8E569-B64F-4312-A71E-C9780ADA4E4D}"/>
    <cellStyle name="Normal 4 2 4 2 3 5 2 3" xfId="12758" xr:uid="{DA8FE1D4-9F4E-4911-BAF3-F71E3BBF9D8B}"/>
    <cellStyle name="Normal 4 2 4 2 3 5 2 4" xfId="21199" xr:uid="{6DDB1DF9-8E93-4F16-9E7F-97D109E9212E}"/>
    <cellStyle name="Normal 4 2 4 2 3 5 3" xfId="6389" xr:uid="{00000000-0005-0000-0000-000066130000}"/>
    <cellStyle name="Normal 4 2 4 2 3 5 3 2" xfId="14831" xr:uid="{40ED9449-C35D-42FC-A63C-0A1FF57D2A4E}"/>
    <cellStyle name="Normal 4 2 4 2 3 5 3 3" xfId="23271" xr:uid="{139DF917-ACBA-456E-ACC3-F8DD65F5EF68}"/>
    <cellStyle name="Normal 4 2 4 2 3 5 4" xfId="10613" xr:uid="{D840D1E2-DFBA-4845-9019-45228B937875}"/>
    <cellStyle name="Normal 4 2 4 2 3 5 5" xfId="19054" xr:uid="{8F2703C0-75E0-4569-A7B7-3A639307CE19}"/>
    <cellStyle name="Normal 4 2 4 2 3 6" xfId="2518" xr:uid="{00000000-0005-0000-0000-000067130000}"/>
    <cellStyle name="Normal 4 2 4 2 3 6 2" xfId="6802" xr:uid="{00000000-0005-0000-0000-000068130000}"/>
    <cellStyle name="Normal 4 2 4 2 3 6 2 2" xfId="15244" xr:uid="{CB136AE9-83F0-4101-B830-48BC10602B81}"/>
    <cellStyle name="Normal 4 2 4 2 3 6 2 3" xfId="23684" xr:uid="{3A997AFF-93DA-411E-9093-88FEEF3FCAE0}"/>
    <cellStyle name="Normal 4 2 4 2 3 6 3" xfId="11026" xr:uid="{3EACF0B9-0AE4-42EF-9E92-D0C738FCDE37}"/>
    <cellStyle name="Normal 4 2 4 2 3 6 4" xfId="19467" xr:uid="{A300D5F9-C041-4A8C-9AC8-0EA2CB6269E1}"/>
    <cellStyle name="Normal 4 2 4 2 3 7" xfId="4737" xr:uid="{00000000-0005-0000-0000-000069130000}"/>
    <cellStyle name="Normal 4 2 4 2 3 7 2" xfId="13179" xr:uid="{8E08831D-2FDA-4F6F-951B-25AC09A6E594}"/>
    <cellStyle name="Normal 4 2 4 2 3 7 3" xfId="21619" xr:uid="{787B322B-BFAA-4C7B-BC3F-1ABBE98660B4}"/>
    <cellStyle name="Normal 4 2 4 2 3 8" xfId="8961" xr:uid="{7F1E9DF6-7F4E-48FF-A0F8-7C7824FD3DB7}"/>
    <cellStyle name="Normal 4 2 4 2 3 9" xfId="17402" xr:uid="{8C9F07E6-1638-4380-889C-0575C0019711}"/>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15734" xr:uid="{33DD2A48-4CF6-4B62-80CB-F729F540B053}"/>
    <cellStyle name="Normal 4 2 4 2 4 2 2 3" xfId="24174" xr:uid="{9C7FA358-3209-41E1-8702-0C98B8CD6394}"/>
    <cellStyle name="Normal 4 2 4 2 4 2 3" xfId="11516" xr:uid="{BBFB5950-F667-4307-BEA6-DEB78D9B3F09}"/>
    <cellStyle name="Normal 4 2 4 2 4 2 4" xfId="19957" xr:uid="{967B7A6F-35FB-4796-AE31-F4F481FE740F}"/>
    <cellStyle name="Normal 4 2 4 2 4 3" xfId="5147" xr:uid="{00000000-0005-0000-0000-00006D130000}"/>
    <cellStyle name="Normal 4 2 4 2 4 3 2" xfId="13589" xr:uid="{ED596631-C6F5-4C46-A82E-0F463EB67261}"/>
    <cellStyle name="Normal 4 2 4 2 4 3 3" xfId="22029" xr:uid="{666B6696-47CA-47D5-93F0-764E3EFAF93F}"/>
    <cellStyle name="Normal 4 2 4 2 4 4" xfId="9371" xr:uid="{2CF84589-BA84-4070-9546-0D39F45B6A0E}"/>
    <cellStyle name="Normal 4 2 4 2 4 5" xfId="17812" xr:uid="{6B04ADCB-55CA-4B80-B603-8B36A36AE77C}"/>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16147" xr:uid="{20B494B6-D130-4E2D-9740-E1B93A71029E}"/>
    <cellStyle name="Normal 4 2 4 2 5 2 2 3" xfId="24587" xr:uid="{BE2BE897-4E5F-4775-8FF8-37282A3954CD}"/>
    <cellStyle name="Normal 4 2 4 2 5 2 3" xfId="11929" xr:uid="{945C8515-9EC8-4A5C-9C58-C3CDC3843834}"/>
    <cellStyle name="Normal 4 2 4 2 5 2 4" xfId="20370" xr:uid="{25BAE1E5-4392-49AD-9623-3DA222187A63}"/>
    <cellStyle name="Normal 4 2 4 2 5 3" xfId="5560" xr:uid="{00000000-0005-0000-0000-000071130000}"/>
    <cellStyle name="Normal 4 2 4 2 5 3 2" xfId="14002" xr:uid="{6CB7540C-D633-4F91-BA44-14AFC353A44B}"/>
    <cellStyle name="Normal 4 2 4 2 5 3 3" xfId="22442" xr:uid="{5A1F7C0F-C2FE-43EF-AA2C-E68432200183}"/>
    <cellStyle name="Normal 4 2 4 2 5 4" xfId="9784" xr:uid="{97AD666B-054E-4AEC-B29D-CB1A7DDE54AE}"/>
    <cellStyle name="Normal 4 2 4 2 5 5" xfId="18225" xr:uid="{E891E5BB-C940-4805-B535-0A29446F2EC7}"/>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16560" xr:uid="{EEAD8465-4886-4423-97B8-EF5DD4C704DD}"/>
    <cellStyle name="Normal 4 2 4 2 6 2 2 3" xfId="25000" xr:uid="{6051922A-B024-43C6-AE4C-105521D5623B}"/>
    <cellStyle name="Normal 4 2 4 2 6 2 3" xfId="12342" xr:uid="{FE193FE9-B902-497A-BDD1-56C112DACC26}"/>
    <cellStyle name="Normal 4 2 4 2 6 2 4" xfId="20783" xr:uid="{63D887D4-3498-4CFE-8EB4-262F379C118D}"/>
    <cellStyle name="Normal 4 2 4 2 6 3" xfId="5973" xr:uid="{00000000-0005-0000-0000-000075130000}"/>
    <cellStyle name="Normal 4 2 4 2 6 3 2" xfId="14415" xr:uid="{477B8CF1-B33A-4DC0-A14E-5E387BF51E6E}"/>
    <cellStyle name="Normal 4 2 4 2 6 3 3" xfId="22855" xr:uid="{332B14C5-CCD7-4E69-B756-840BA59D5225}"/>
    <cellStyle name="Normal 4 2 4 2 6 4" xfId="10197" xr:uid="{BC91AE8F-CE67-4D3F-9248-681827F743DE}"/>
    <cellStyle name="Normal 4 2 4 2 6 5" xfId="18638" xr:uid="{0F476252-ACFD-49C5-8341-D4EDE6B537F1}"/>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16973" xr:uid="{7D2B768D-48AB-49A0-9D44-E91DFE11576F}"/>
    <cellStyle name="Normal 4 2 4 2 7 2 2 3" xfId="25413" xr:uid="{11699F38-BDFC-4D57-9E71-B0DDFC099C3C}"/>
    <cellStyle name="Normal 4 2 4 2 7 2 3" xfId="12755" xr:uid="{B2DE5D04-2C2B-4B9B-9C3F-6953DF828AA5}"/>
    <cellStyle name="Normal 4 2 4 2 7 2 4" xfId="21196" xr:uid="{9EBD712B-3CBE-4A21-B38F-8F581822242F}"/>
    <cellStyle name="Normal 4 2 4 2 7 3" xfId="6386" xr:uid="{00000000-0005-0000-0000-000079130000}"/>
    <cellStyle name="Normal 4 2 4 2 7 3 2" xfId="14828" xr:uid="{B63003FA-05D3-4AFF-BB31-E0F5C24A4980}"/>
    <cellStyle name="Normal 4 2 4 2 7 3 3" xfId="23268" xr:uid="{9F25A0DB-63F3-4879-862A-35CBD03A29C8}"/>
    <cellStyle name="Normal 4 2 4 2 7 4" xfId="10610" xr:uid="{DE0C33B0-F901-4796-9BC9-311582B66184}"/>
    <cellStyle name="Normal 4 2 4 2 7 5" xfId="19051" xr:uid="{49B3C861-7D54-4932-9B27-2803A45366C4}"/>
    <cellStyle name="Normal 4 2 4 2 8" xfId="2515" xr:uid="{00000000-0005-0000-0000-00007A130000}"/>
    <cellStyle name="Normal 4 2 4 2 8 2" xfId="6799" xr:uid="{00000000-0005-0000-0000-00007B130000}"/>
    <cellStyle name="Normal 4 2 4 2 8 2 2" xfId="15241" xr:uid="{D13475C3-E14F-4F77-87BE-838B0C0F460C}"/>
    <cellStyle name="Normal 4 2 4 2 8 2 3" xfId="23681" xr:uid="{8E3FDDF1-6120-428D-A566-829781636F7D}"/>
    <cellStyle name="Normal 4 2 4 2 8 3" xfId="11023" xr:uid="{C586F271-CD9F-40E6-9A54-A0BEB2D48F19}"/>
    <cellStyle name="Normal 4 2 4 2 8 4" xfId="19464" xr:uid="{EC61B1A2-5FF8-46FD-9C1A-BAF4E62ADC99}"/>
    <cellStyle name="Normal 4 2 4 2 9" xfId="4734" xr:uid="{00000000-0005-0000-0000-00007C130000}"/>
    <cellStyle name="Normal 4 2 4 2 9 2" xfId="13176" xr:uid="{07ACE9BF-EB05-46AF-8CD8-268ABA8CA729}"/>
    <cellStyle name="Normal 4 2 4 2 9 3" xfId="21616" xr:uid="{366D13D2-8F2D-4527-8049-29058624DA0B}"/>
    <cellStyle name="Normal 4 2 4 3" xfId="360" xr:uid="{00000000-0005-0000-0000-00007D130000}"/>
    <cellStyle name="Normal 4 2 4 3 10" xfId="17403" xr:uid="{5CEE1F21-787C-4D85-A1A0-0713DA64F825}"/>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15739" xr:uid="{3C9A8AF3-CD9A-406B-886C-F15593C84D98}"/>
    <cellStyle name="Normal 4 2 4 3 2 2 2 2 3" xfId="24179" xr:uid="{503E720E-FB67-42D2-A9B4-9343C3758E79}"/>
    <cellStyle name="Normal 4 2 4 3 2 2 2 3" xfId="11521" xr:uid="{21818248-63BB-40FC-8B98-192B5FD08AF0}"/>
    <cellStyle name="Normal 4 2 4 3 2 2 2 4" xfId="19962" xr:uid="{015BACA4-3A5D-4196-8F48-A5B8C22524E3}"/>
    <cellStyle name="Normal 4 2 4 3 2 2 3" xfId="5152" xr:uid="{00000000-0005-0000-0000-000082130000}"/>
    <cellStyle name="Normal 4 2 4 3 2 2 3 2" xfId="13594" xr:uid="{F3B74F23-62CB-4E18-8FF9-9EA0536B9853}"/>
    <cellStyle name="Normal 4 2 4 3 2 2 3 3" xfId="22034" xr:uid="{F2B23A7E-DCAD-4EC7-87B1-5ADF4215C4E8}"/>
    <cellStyle name="Normal 4 2 4 3 2 2 4" xfId="9376" xr:uid="{1D6A2E18-CE45-4057-BFBC-D68A01F093F7}"/>
    <cellStyle name="Normal 4 2 4 3 2 2 5" xfId="17817" xr:uid="{A839DC1B-AE21-4A1F-94D1-193FF251F449}"/>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16152" xr:uid="{D205C40C-48ED-4CCF-B7C5-BC6CDF82927E}"/>
    <cellStyle name="Normal 4 2 4 3 2 3 2 2 3" xfId="24592" xr:uid="{85531C96-D7F4-41C3-B8EB-FEBDACEFE82D}"/>
    <cellStyle name="Normal 4 2 4 3 2 3 2 3" xfId="11934" xr:uid="{2AF23127-D579-4E50-BD9F-4BB732A74479}"/>
    <cellStyle name="Normal 4 2 4 3 2 3 2 4" xfId="20375" xr:uid="{6588B28D-FA23-4281-B3A7-E2254BE0FC60}"/>
    <cellStyle name="Normal 4 2 4 3 2 3 3" xfId="5565" xr:uid="{00000000-0005-0000-0000-000086130000}"/>
    <cellStyle name="Normal 4 2 4 3 2 3 3 2" xfId="14007" xr:uid="{A1EEBED1-5C67-441D-BAB5-93B0C7E545E2}"/>
    <cellStyle name="Normal 4 2 4 3 2 3 3 3" xfId="22447" xr:uid="{4FC367A0-62DC-450A-A6FD-908A596675C5}"/>
    <cellStyle name="Normal 4 2 4 3 2 3 4" xfId="9789" xr:uid="{CBAA571D-C1A4-4BFB-9069-536DE7CBA426}"/>
    <cellStyle name="Normal 4 2 4 3 2 3 5" xfId="18230" xr:uid="{106C0D10-0D91-467B-9D50-A461A5A23965}"/>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16565" xr:uid="{EADB5723-9A2B-4E3D-A54C-39CF8B3A5783}"/>
    <cellStyle name="Normal 4 2 4 3 2 4 2 2 3" xfId="25005" xr:uid="{7DF3D365-BBCD-44B0-B604-A18AB8D6022F}"/>
    <cellStyle name="Normal 4 2 4 3 2 4 2 3" xfId="12347" xr:uid="{8EAB0361-31AB-44CA-BFD8-1328F9F96FC9}"/>
    <cellStyle name="Normal 4 2 4 3 2 4 2 4" xfId="20788" xr:uid="{3E6E2056-0A19-4F4D-8DEA-DD8EC04A06EB}"/>
    <cellStyle name="Normal 4 2 4 3 2 4 3" xfId="5978" xr:uid="{00000000-0005-0000-0000-00008A130000}"/>
    <cellStyle name="Normal 4 2 4 3 2 4 3 2" xfId="14420" xr:uid="{FE84976D-8831-4228-8FB9-10D2849C8410}"/>
    <cellStyle name="Normal 4 2 4 3 2 4 3 3" xfId="22860" xr:uid="{12B7CF25-88E6-4C57-AAA9-E3F2F82D0F3B}"/>
    <cellStyle name="Normal 4 2 4 3 2 4 4" xfId="10202" xr:uid="{406A4613-35BB-466D-8EDC-CD1A15B698AE}"/>
    <cellStyle name="Normal 4 2 4 3 2 4 5" xfId="18643" xr:uid="{61787250-4357-4D96-95A9-6241360890FE}"/>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16978" xr:uid="{321FAA22-1178-41CC-AE3B-455ECD2F83FE}"/>
    <cellStyle name="Normal 4 2 4 3 2 5 2 2 3" xfId="25418" xr:uid="{C3331864-E99F-43B2-886D-718EA1750947}"/>
    <cellStyle name="Normal 4 2 4 3 2 5 2 3" xfId="12760" xr:uid="{EF1C13F0-4492-4330-9DF9-4D897F92BB59}"/>
    <cellStyle name="Normal 4 2 4 3 2 5 2 4" xfId="21201" xr:uid="{9F5FB921-F669-4B54-B38B-4A59461E317D}"/>
    <cellStyle name="Normal 4 2 4 3 2 5 3" xfId="6391" xr:uid="{00000000-0005-0000-0000-00008E130000}"/>
    <cellStyle name="Normal 4 2 4 3 2 5 3 2" xfId="14833" xr:uid="{FC930F25-FBE1-4E35-A266-2E781C66BFA9}"/>
    <cellStyle name="Normal 4 2 4 3 2 5 3 3" xfId="23273" xr:uid="{472821AC-105A-4812-B892-4DCC91B8EDF1}"/>
    <cellStyle name="Normal 4 2 4 3 2 5 4" xfId="10615" xr:uid="{52401888-BEC6-41B3-8B5E-3B1DA9E81EC0}"/>
    <cellStyle name="Normal 4 2 4 3 2 5 5" xfId="19056" xr:uid="{77B9AF61-3CAA-4842-A4AB-5C74CCBCA54F}"/>
    <cellStyle name="Normal 4 2 4 3 2 6" xfId="2520" xr:uid="{00000000-0005-0000-0000-00008F130000}"/>
    <cellStyle name="Normal 4 2 4 3 2 6 2" xfId="6804" xr:uid="{00000000-0005-0000-0000-000090130000}"/>
    <cellStyle name="Normal 4 2 4 3 2 6 2 2" xfId="15246" xr:uid="{1928FD59-C8C1-45E0-B4E6-9A68EBD2E40A}"/>
    <cellStyle name="Normal 4 2 4 3 2 6 2 3" xfId="23686" xr:uid="{F8DD65F6-0968-4E3E-883E-E3D2C0117573}"/>
    <cellStyle name="Normal 4 2 4 3 2 6 3" xfId="11028" xr:uid="{8D24FF8F-A6F8-41ED-8FDE-21C7708D3787}"/>
    <cellStyle name="Normal 4 2 4 3 2 6 4" xfId="19469" xr:uid="{5094853E-2BCE-4ADB-A2F0-4F1033312D61}"/>
    <cellStyle name="Normal 4 2 4 3 2 7" xfId="4739" xr:uid="{00000000-0005-0000-0000-000091130000}"/>
    <cellStyle name="Normal 4 2 4 3 2 7 2" xfId="13181" xr:uid="{6CAF0F10-9FFE-4DBF-AA1D-7871C8E4E118}"/>
    <cellStyle name="Normal 4 2 4 3 2 7 3" xfId="21621" xr:uid="{CF25E964-FD33-42E5-ADB2-026190FC21C2}"/>
    <cellStyle name="Normal 4 2 4 3 2 8" xfId="8963" xr:uid="{936ED2CF-9794-4367-8B0E-AF28FD77CD13}"/>
    <cellStyle name="Normal 4 2 4 3 2 9" xfId="17404" xr:uid="{275640C6-D290-44AE-94AB-1BE0F3DA8C11}"/>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15738" xr:uid="{78A25B96-BB99-458C-A209-1C54F6467A37}"/>
    <cellStyle name="Normal 4 2 4 3 3 2 2 3" xfId="24178" xr:uid="{9DD58BD1-D492-4516-885F-8AF04306CF36}"/>
    <cellStyle name="Normal 4 2 4 3 3 2 3" xfId="11520" xr:uid="{EF072E09-86F7-4542-A046-636DD8BB10A6}"/>
    <cellStyle name="Normal 4 2 4 3 3 2 4" xfId="19961" xr:uid="{0B35A441-8E1E-4998-8BD3-5F82B6900432}"/>
    <cellStyle name="Normal 4 2 4 3 3 3" xfId="5151" xr:uid="{00000000-0005-0000-0000-000095130000}"/>
    <cellStyle name="Normal 4 2 4 3 3 3 2" xfId="13593" xr:uid="{CDBFE860-B59D-4C36-970A-672FF4F204AA}"/>
    <cellStyle name="Normal 4 2 4 3 3 3 3" xfId="22033" xr:uid="{36370C7F-8F7F-47BC-AEDE-ACE174E6BE1F}"/>
    <cellStyle name="Normal 4 2 4 3 3 4" xfId="9375" xr:uid="{C74602E2-A39F-47DB-BEF7-BFFDE2E15BF5}"/>
    <cellStyle name="Normal 4 2 4 3 3 5" xfId="17816" xr:uid="{C26FFF43-C765-49A5-B7CD-FC8C8BA471AD}"/>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16151" xr:uid="{B6C97102-BCC3-4E07-974F-4D7197903FE9}"/>
    <cellStyle name="Normal 4 2 4 3 4 2 2 3" xfId="24591" xr:uid="{DD6F296A-6FA5-4D3E-A6FA-B01940A83B09}"/>
    <cellStyle name="Normal 4 2 4 3 4 2 3" xfId="11933" xr:uid="{05BC1C39-EB89-4F89-B881-887B863CE7F1}"/>
    <cellStyle name="Normal 4 2 4 3 4 2 4" xfId="20374" xr:uid="{83693129-CBED-478F-9779-DEE41A875D41}"/>
    <cellStyle name="Normal 4 2 4 3 4 3" xfId="5564" xr:uid="{00000000-0005-0000-0000-000099130000}"/>
    <cellStyle name="Normal 4 2 4 3 4 3 2" xfId="14006" xr:uid="{BFAC825F-B1F9-42AC-AFED-E3F97EAFDAF5}"/>
    <cellStyle name="Normal 4 2 4 3 4 3 3" xfId="22446" xr:uid="{CD31E028-8BE5-4D32-8FA5-D5A0F94A59AA}"/>
    <cellStyle name="Normal 4 2 4 3 4 4" xfId="9788" xr:uid="{382B1A4C-665E-40AF-8D4C-375832B75DC0}"/>
    <cellStyle name="Normal 4 2 4 3 4 5" xfId="18229" xr:uid="{59CCC42C-FC4E-42CE-A9E4-2583D698BAB8}"/>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16564" xr:uid="{06B6F85F-73D6-47F9-9043-02B67F94706E}"/>
    <cellStyle name="Normal 4 2 4 3 5 2 2 3" xfId="25004" xr:uid="{B78FA00F-92D9-4663-9DEE-8A6204772228}"/>
    <cellStyle name="Normal 4 2 4 3 5 2 3" xfId="12346" xr:uid="{A24CD2B6-A604-4303-BF0E-6CE42FF404E9}"/>
    <cellStyle name="Normal 4 2 4 3 5 2 4" xfId="20787" xr:uid="{5CDC2ACF-86D3-4C04-82BE-FFFB8644CBCB}"/>
    <cellStyle name="Normal 4 2 4 3 5 3" xfId="5977" xr:uid="{00000000-0005-0000-0000-00009D130000}"/>
    <cellStyle name="Normal 4 2 4 3 5 3 2" xfId="14419" xr:uid="{E2DE7439-4641-405B-BCF0-D3E59E98643D}"/>
    <cellStyle name="Normal 4 2 4 3 5 3 3" xfId="22859" xr:uid="{522BE4EF-F70C-4EAD-98DF-66EBC5379CA8}"/>
    <cellStyle name="Normal 4 2 4 3 5 4" xfId="10201" xr:uid="{CBC01017-E153-4A72-B7A5-5F89D67F079B}"/>
    <cellStyle name="Normal 4 2 4 3 5 5" xfId="18642" xr:uid="{2CF8FCEC-93A4-4BD2-8AFE-A62B6960F869}"/>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16977" xr:uid="{36E07951-0520-4A66-AD07-787FB0D5B947}"/>
    <cellStyle name="Normal 4 2 4 3 6 2 2 3" xfId="25417" xr:uid="{AA19B22E-F517-4817-AD1F-93B5C358CC84}"/>
    <cellStyle name="Normal 4 2 4 3 6 2 3" xfId="12759" xr:uid="{C90488A3-C141-475E-9D81-09918FDC09A8}"/>
    <cellStyle name="Normal 4 2 4 3 6 2 4" xfId="21200" xr:uid="{341353F6-6AD5-433F-BA32-A42D0308F39C}"/>
    <cellStyle name="Normal 4 2 4 3 6 3" xfId="6390" xr:uid="{00000000-0005-0000-0000-0000A1130000}"/>
    <cellStyle name="Normal 4 2 4 3 6 3 2" xfId="14832" xr:uid="{055D0D5A-DD6B-49C6-9EE2-5DC0B4C3AEE3}"/>
    <cellStyle name="Normal 4 2 4 3 6 3 3" xfId="23272" xr:uid="{A06AD6D0-AB09-49D8-BB19-F08CBC26B349}"/>
    <cellStyle name="Normal 4 2 4 3 6 4" xfId="10614" xr:uid="{4C881A11-9028-46FE-AFD4-35DA69E9237C}"/>
    <cellStyle name="Normal 4 2 4 3 6 5" xfId="19055" xr:uid="{CBB651F5-A745-47BF-B248-0625D5BCF0D8}"/>
    <cellStyle name="Normal 4 2 4 3 7" xfId="2519" xr:uid="{00000000-0005-0000-0000-0000A2130000}"/>
    <cellStyle name="Normal 4 2 4 3 7 2" xfId="6803" xr:uid="{00000000-0005-0000-0000-0000A3130000}"/>
    <cellStyle name="Normal 4 2 4 3 7 2 2" xfId="15245" xr:uid="{28D5893C-3AB0-4CBC-B813-252654CF744E}"/>
    <cellStyle name="Normal 4 2 4 3 7 2 3" xfId="23685" xr:uid="{14F7F710-3CCC-4652-911B-73687DCEF6B6}"/>
    <cellStyle name="Normal 4 2 4 3 7 3" xfId="11027" xr:uid="{DCE77908-F396-4324-881D-603FF5B2D3C2}"/>
    <cellStyle name="Normal 4 2 4 3 7 4" xfId="19468" xr:uid="{F9FDC730-6917-4388-892D-0C138A47CA4A}"/>
    <cellStyle name="Normal 4 2 4 3 8" xfId="4738" xr:uid="{00000000-0005-0000-0000-0000A4130000}"/>
    <cellStyle name="Normal 4 2 4 3 8 2" xfId="13180" xr:uid="{429FD42C-0ADA-4600-9C9D-097834FDF16A}"/>
    <cellStyle name="Normal 4 2 4 3 8 3" xfId="21620" xr:uid="{71D76288-FFB4-4A5D-B5A9-6DBDFFC09AE0}"/>
    <cellStyle name="Normal 4 2 4 3 9" xfId="8962" xr:uid="{DC02752A-9728-4EB6-8F16-1B18EA08DFAB}"/>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15740" xr:uid="{48ED9ED6-DE12-429B-A1DF-B36CFDAD41C4}"/>
    <cellStyle name="Normal 4 2 4 4 2 2 2 3" xfId="24180" xr:uid="{36D86AFA-2B04-4D5D-A246-3A55F03EC0DF}"/>
    <cellStyle name="Normal 4 2 4 4 2 2 3" xfId="11522" xr:uid="{F95CA1D0-FB94-457F-8487-0838F40E2AB4}"/>
    <cellStyle name="Normal 4 2 4 4 2 2 4" xfId="19963" xr:uid="{71C7EA16-B90A-4AC5-883D-333735F2E637}"/>
    <cellStyle name="Normal 4 2 4 4 2 3" xfId="5153" xr:uid="{00000000-0005-0000-0000-0000A9130000}"/>
    <cellStyle name="Normal 4 2 4 4 2 3 2" xfId="13595" xr:uid="{9446EE37-086A-47B4-A4E8-CB25C695F268}"/>
    <cellStyle name="Normal 4 2 4 4 2 3 3" xfId="22035" xr:uid="{DE4E936C-F596-42FF-815A-0D68598145DE}"/>
    <cellStyle name="Normal 4 2 4 4 2 4" xfId="9377" xr:uid="{C06132EF-DF58-4B19-995F-4FF2FF69F84B}"/>
    <cellStyle name="Normal 4 2 4 4 2 5" xfId="17818" xr:uid="{BC7A5A00-B395-4E8F-A7E1-03DE60FC895D}"/>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16153" xr:uid="{F9C55B2C-3968-4D4A-A037-6669F0634003}"/>
    <cellStyle name="Normal 4 2 4 4 3 2 2 3" xfId="24593" xr:uid="{2AA901E7-BC9B-48B8-9C6B-190A1BF791B7}"/>
    <cellStyle name="Normal 4 2 4 4 3 2 3" xfId="11935" xr:uid="{32D92F35-9E99-4232-A523-5086A4358A7B}"/>
    <cellStyle name="Normal 4 2 4 4 3 2 4" xfId="20376" xr:uid="{79C97205-CCB8-4AC6-B3D7-F6A7A748C9F7}"/>
    <cellStyle name="Normal 4 2 4 4 3 3" xfId="5566" xr:uid="{00000000-0005-0000-0000-0000AD130000}"/>
    <cellStyle name="Normal 4 2 4 4 3 3 2" xfId="14008" xr:uid="{CF43FA9E-4726-452D-A529-4F97AED0733B}"/>
    <cellStyle name="Normal 4 2 4 4 3 3 3" xfId="22448" xr:uid="{69BCA228-31AA-4196-ACF6-485B9F3C161D}"/>
    <cellStyle name="Normal 4 2 4 4 3 4" xfId="9790" xr:uid="{2CE676D4-E1AC-4CF0-A55A-E6BE5F90266C}"/>
    <cellStyle name="Normal 4 2 4 4 3 5" xfId="18231" xr:uid="{8757D5C0-E9B3-4F8B-BA70-CC47AA651CF5}"/>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16566" xr:uid="{4290D3C6-AA42-4CBB-BBDA-E31CCA857B74}"/>
    <cellStyle name="Normal 4 2 4 4 4 2 2 3" xfId="25006" xr:uid="{5F1B22E6-116D-40B1-9C44-800C164894E8}"/>
    <cellStyle name="Normal 4 2 4 4 4 2 3" xfId="12348" xr:uid="{EAFCBFC8-791B-4B70-A5B6-4FF2E28519AA}"/>
    <cellStyle name="Normal 4 2 4 4 4 2 4" xfId="20789" xr:uid="{6EEA1310-C8E3-49DB-8494-B18B3185B024}"/>
    <cellStyle name="Normal 4 2 4 4 4 3" xfId="5979" xr:uid="{00000000-0005-0000-0000-0000B1130000}"/>
    <cellStyle name="Normal 4 2 4 4 4 3 2" xfId="14421" xr:uid="{8BB7C45C-B1BB-418E-AD4F-D261D103A0B1}"/>
    <cellStyle name="Normal 4 2 4 4 4 3 3" xfId="22861" xr:uid="{D10CE994-4D2E-485B-89A2-44B6233193FF}"/>
    <cellStyle name="Normal 4 2 4 4 4 4" xfId="10203" xr:uid="{2CC6DB80-CA53-4BC9-BA34-51A5125963D0}"/>
    <cellStyle name="Normal 4 2 4 4 4 5" xfId="18644" xr:uid="{A88113B6-0903-4082-9F1B-6CD634657EF7}"/>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16979" xr:uid="{E1CA9CD1-6292-4A8A-8BBF-59E0F279010A}"/>
    <cellStyle name="Normal 4 2 4 4 5 2 2 3" xfId="25419" xr:uid="{01970CAD-F0AF-46C4-90F5-EE62F6631358}"/>
    <cellStyle name="Normal 4 2 4 4 5 2 3" xfId="12761" xr:uid="{C47E9768-F1D7-4B17-8CEC-37D0388C864D}"/>
    <cellStyle name="Normal 4 2 4 4 5 2 4" xfId="21202" xr:uid="{F50EBBD3-5F0C-472F-8B1C-5E3E58F8FCDC}"/>
    <cellStyle name="Normal 4 2 4 4 5 3" xfId="6392" xr:uid="{00000000-0005-0000-0000-0000B5130000}"/>
    <cellStyle name="Normal 4 2 4 4 5 3 2" xfId="14834" xr:uid="{57E123A2-BF16-431C-8739-A53AD818C832}"/>
    <cellStyle name="Normal 4 2 4 4 5 3 3" xfId="23274" xr:uid="{C6C0B90E-7756-49DB-B9A9-40F301626249}"/>
    <cellStyle name="Normal 4 2 4 4 5 4" xfId="10616" xr:uid="{9FC1E46B-B23A-4A10-90C7-AC794F4D058E}"/>
    <cellStyle name="Normal 4 2 4 4 5 5" xfId="19057" xr:uid="{A8734284-689F-41DA-A6E6-DF45EB280148}"/>
    <cellStyle name="Normal 4 2 4 4 6" xfId="2521" xr:uid="{00000000-0005-0000-0000-0000B6130000}"/>
    <cellStyle name="Normal 4 2 4 4 6 2" xfId="6805" xr:uid="{00000000-0005-0000-0000-0000B7130000}"/>
    <cellStyle name="Normal 4 2 4 4 6 2 2" xfId="15247" xr:uid="{E411AD91-D54F-4CBE-9503-2DC9703AA49F}"/>
    <cellStyle name="Normal 4 2 4 4 6 2 3" xfId="23687" xr:uid="{3A164BEA-4B33-45FC-AA2F-AD5632058B50}"/>
    <cellStyle name="Normal 4 2 4 4 6 3" xfId="11029" xr:uid="{C9104B98-1953-4412-ACF0-F88B33B2BF69}"/>
    <cellStyle name="Normal 4 2 4 4 6 4" xfId="19470" xr:uid="{F0F309A0-B493-4D54-8C28-2B71EC40A9E1}"/>
    <cellStyle name="Normal 4 2 4 4 7" xfId="4740" xr:uid="{00000000-0005-0000-0000-0000B8130000}"/>
    <cellStyle name="Normal 4 2 4 4 7 2" xfId="13182" xr:uid="{08B7842B-4F8D-4A70-BFBC-E94D0C11B2E9}"/>
    <cellStyle name="Normal 4 2 4 4 7 3" xfId="21622" xr:uid="{90451B1D-1B64-41F6-A6F9-C2A4E15BCD72}"/>
    <cellStyle name="Normal 4 2 4 4 8" xfId="8964" xr:uid="{FDFD6184-AE44-4E21-B125-BD47854528D5}"/>
    <cellStyle name="Normal 4 2 4 4 9" xfId="17405" xr:uid="{37C7A0E0-2A16-4F03-8FED-CCA24472E96C}"/>
    <cellStyle name="Normal 4 2 4 5" xfId="831" xr:uid="{00000000-0005-0000-0000-0000B9130000}"/>
    <cellStyle name="Normal 4 2 4 5 2" xfId="3068" xr:uid="{00000000-0005-0000-0000-0000BA130000}"/>
    <cellStyle name="Normal 4 2 4 5 2 2" xfId="7291" xr:uid="{00000000-0005-0000-0000-0000BB130000}"/>
    <cellStyle name="Normal 4 2 4 5 2 2 2" xfId="15733" xr:uid="{C11871A4-F0C7-4AAE-BF8A-18B3BE68312F}"/>
    <cellStyle name="Normal 4 2 4 5 2 2 3" xfId="24173" xr:uid="{D6F5BB7D-6748-453B-8961-E366FBA95ACA}"/>
    <cellStyle name="Normal 4 2 4 5 2 3" xfId="11515" xr:uid="{FEA117A0-144B-4EF6-8B17-ADBCB9498B6E}"/>
    <cellStyle name="Normal 4 2 4 5 2 4" xfId="19956" xr:uid="{6CF726CD-A7FF-41C8-AAA1-B3B043DE1225}"/>
    <cellStyle name="Normal 4 2 4 5 3" xfId="5146" xr:uid="{00000000-0005-0000-0000-0000BC130000}"/>
    <cellStyle name="Normal 4 2 4 5 3 2" xfId="13588" xr:uid="{03CB209A-D072-48DE-9CAE-85CE38D9BA87}"/>
    <cellStyle name="Normal 4 2 4 5 3 3" xfId="22028" xr:uid="{903F711D-A7D2-4523-8568-A8248D9DE72E}"/>
    <cellStyle name="Normal 4 2 4 5 4" xfId="9370" xr:uid="{37D4B43E-D27A-460E-860A-45EB5D3ADA67}"/>
    <cellStyle name="Normal 4 2 4 5 5" xfId="17811" xr:uid="{FEE50DA7-35E4-4961-BC7B-543468384D47}"/>
    <cellStyle name="Normal 4 2 4 6" xfId="1251" xr:uid="{00000000-0005-0000-0000-0000BD130000}"/>
    <cellStyle name="Normal 4 2 4 6 2" xfId="3481" xr:uid="{00000000-0005-0000-0000-0000BE130000}"/>
    <cellStyle name="Normal 4 2 4 6 2 2" xfId="7704" xr:uid="{00000000-0005-0000-0000-0000BF130000}"/>
    <cellStyle name="Normal 4 2 4 6 2 2 2" xfId="16146" xr:uid="{9A54806A-5580-4E7F-A818-DA3D4EA27E80}"/>
    <cellStyle name="Normal 4 2 4 6 2 2 3" xfId="24586" xr:uid="{03B472EB-CB8A-4657-8064-418232666A2E}"/>
    <cellStyle name="Normal 4 2 4 6 2 3" xfId="11928" xr:uid="{0E81D3AB-55A2-4EDA-B00C-127527AB0FE6}"/>
    <cellStyle name="Normal 4 2 4 6 2 4" xfId="20369" xr:uid="{1CD988D2-2F7F-4513-B108-EDE05691BE6B}"/>
    <cellStyle name="Normal 4 2 4 6 3" xfId="5559" xr:uid="{00000000-0005-0000-0000-0000C0130000}"/>
    <cellStyle name="Normal 4 2 4 6 3 2" xfId="14001" xr:uid="{5FB20CDD-B9C2-4584-985D-23C341FA9630}"/>
    <cellStyle name="Normal 4 2 4 6 3 3" xfId="22441" xr:uid="{CE64B62F-8E04-46C7-A60B-E5C8C87D1FE9}"/>
    <cellStyle name="Normal 4 2 4 6 4" xfId="9783" xr:uid="{ACB00BF6-D68C-4334-8CB0-071CC9FDA564}"/>
    <cellStyle name="Normal 4 2 4 6 5" xfId="18224" xr:uid="{92ACE69D-E9A6-4F72-9EE1-311C62FC8218}"/>
    <cellStyle name="Normal 4 2 4 7" xfId="1664" xr:uid="{00000000-0005-0000-0000-0000C1130000}"/>
    <cellStyle name="Normal 4 2 4 7 2" xfId="3894" xr:uid="{00000000-0005-0000-0000-0000C2130000}"/>
    <cellStyle name="Normal 4 2 4 7 2 2" xfId="8117" xr:uid="{00000000-0005-0000-0000-0000C3130000}"/>
    <cellStyle name="Normal 4 2 4 7 2 2 2" xfId="16559" xr:uid="{31586601-F6B4-4FAC-A5ED-EDD35FE6F529}"/>
    <cellStyle name="Normal 4 2 4 7 2 2 3" xfId="24999" xr:uid="{FC44B708-2B77-415B-915E-19A8135CDD2D}"/>
    <cellStyle name="Normal 4 2 4 7 2 3" xfId="12341" xr:uid="{1DA1ED09-A4BD-4B3D-9D5B-CE01E419CB10}"/>
    <cellStyle name="Normal 4 2 4 7 2 4" xfId="20782" xr:uid="{D6C8A4FA-4221-4B91-9A76-D76C59E4E9CE}"/>
    <cellStyle name="Normal 4 2 4 7 3" xfId="5972" xr:uid="{00000000-0005-0000-0000-0000C4130000}"/>
    <cellStyle name="Normal 4 2 4 7 3 2" xfId="14414" xr:uid="{99243BD3-9769-4E17-A382-9ECE9FCDC612}"/>
    <cellStyle name="Normal 4 2 4 7 3 3" xfId="22854" xr:uid="{10E1A291-AB1A-45EE-988F-5911E73E9B97}"/>
    <cellStyle name="Normal 4 2 4 7 4" xfId="10196" xr:uid="{4802BC30-AD1A-40BF-A9CD-B0181DDAB4E4}"/>
    <cellStyle name="Normal 4 2 4 7 5" xfId="18637" xr:uid="{9465A6F2-6995-4B0F-AF29-1B7CA2FEF257}"/>
    <cellStyle name="Normal 4 2 4 8" xfId="2078" xr:uid="{00000000-0005-0000-0000-0000C5130000}"/>
    <cellStyle name="Normal 4 2 4 8 2" xfId="4307" xr:uid="{00000000-0005-0000-0000-0000C6130000}"/>
    <cellStyle name="Normal 4 2 4 8 2 2" xfId="8530" xr:uid="{00000000-0005-0000-0000-0000C7130000}"/>
    <cellStyle name="Normal 4 2 4 8 2 2 2" xfId="16972" xr:uid="{3EDBF584-B2CB-4196-847D-554E16DFC04D}"/>
    <cellStyle name="Normal 4 2 4 8 2 2 3" xfId="25412" xr:uid="{D8164BE0-BA54-4EC8-98BD-3353C03478B3}"/>
    <cellStyle name="Normal 4 2 4 8 2 3" xfId="12754" xr:uid="{E748916E-966C-43FA-9918-65D48A4267E8}"/>
    <cellStyle name="Normal 4 2 4 8 2 4" xfId="21195" xr:uid="{5123478A-AC65-4A41-8C7D-B2FA01B06627}"/>
    <cellStyle name="Normal 4 2 4 8 3" xfId="6385" xr:uid="{00000000-0005-0000-0000-0000C8130000}"/>
    <cellStyle name="Normal 4 2 4 8 3 2" xfId="14827" xr:uid="{8DB5885D-38A6-441E-89AD-644321D680AE}"/>
    <cellStyle name="Normal 4 2 4 8 3 3" xfId="23267" xr:uid="{AF6D0B86-C3AB-49CF-8019-EEB53D6F11E5}"/>
    <cellStyle name="Normal 4 2 4 8 4" xfId="10609" xr:uid="{04D99FA4-EF46-447B-BB81-DEC05F5AA95D}"/>
    <cellStyle name="Normal 4 2 4 8 5" xfId="19050" xr:uid="{BE4428C9-61C8-43A8-89B2-41646A7A5794}"/>
    <cellStyle name="Normal 4 2 4 9" xfId="2514" xr:uid="{00000000-0005-0000-0000-0000C9130000}"/>
    <cellStyle name="Normal 4 2 4 9 2" xfId="6798" xr:uid="{00000000-0005-0000-0000-0000CA130000}"/>
    <cellStyle name="Normal 4 2 4 9 2 2" xfId="15240" xr:uid="{EF0E1892-57BA-47D1-BAED-5F7D428D6FA9}"/>
    <cellStyle name="Normal 4 2 4 9 2 3" xfId="23680" xr:uid="{B26E2D5B-414B-4DCC-8959-6C8E2A53FEF4}"/>
    <cellStyle name="Normal 4 2 4 9 3" xfId="11022" xr:uid="{93727368-4F4C-47C8-B22B-F21D1B4EBAF2}"/>
    <cellStyle name="Normal 4 2 4 9 4" xfId="19463" xr:uid="{A0EE6469-5EBB-4E50-A95D-AB46A0E10821}"/>
    <cellStyle name="Normal 4 2 5" xfId="363" xr:uid="{00000000-0005-0000-0000-0000CB130000}"/>
    <cellStyle name="Normal 4 2 5 10" xfId="17406" xr:uid="{5A55C4F3-03DD-4622-807E-76D192897A2B}"/>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15742" xr:uid="{D37DC98A-98B9-4377-9AD8-C0B6BB7CFE9A}"/>
    <cellStyle name="Normal 4 2 5 2 2 2 2 3" xfId="24182" xr:uid="{4816283D-1421-4919-A955-3C35728CA07B}"/>
    <cellStyle name="Normal 4 2 5 2 2 2 3" xfId="11524" xr:uid="{37D04397-4194-4CD1-B011-C8C865024CBA}"/>
    <cellStyle name="Normal 4 2 5 2 2 2 4" xfId="19965" xr:uid="{1BA28407-FE79-4EB9-9FC0-D9F5ACFE311E}"/>
    <cellStyle name="Normal 4 2 5 2 2 3" xfId="5155" xr:uid="{00000000-0005-0000-0000-0000D0130000}"/>
    <cellStyle name="Normal 4 2 5 2 2 3 2" xfId="13597" xr:uid="{F9E9ADB9-624C-4F3D-978A-8FE44129FD45}"/>
    <cellStyle name="Normal 4 2 5 2 2 3 3" xfId="22037" xr:uid="{07CAA433-0A16-4B03-9599-9B3B4969E204}"/>
    <cellStyle name="Normal 4 2 5 2 2 4" xfId="9379" xr:uid="{A915DC1E-4537-4FD6-B219-9AE81F9F8148}"/>
    <cellStyle name="Normal 4 2 5 2 2 5" xfId="17820" xr:uid="{9600FB7E-AE8F-4C76-A53E-8940DE130D24}"/>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16155" xr:uid="{F04937CD-6684-46C4-AD93-DD8E6DD8EC89}"/>
    <cellStyle name="Normal 4 2 5 2 3 2 2 3" xfId="24595" xr:uid="{31C945F6-2542-424F-8107-3C2D074B95DC}"/>
    <cellStyle name="Normal 4 2 5 2 3 2 3" xfId="11937" xr:uid="{E6BC5C72-46F2-465F-B8F6-E2BEFE87E1E0}"/>
    <cellStyle name="Normal 4 2 5 2 3 2 4" xfId="20378" xr:uid="{8380EF39-B837-4FEE-9FC7-B5005AADC0DC}"/>
    <cellStyle name="Normal 4 2 5 2 3 3" xfId="5568" xr:uid="{00000000-0005-0000-0000-0000D4130000}"/>
    <cellStyle name="Normal 4 2 5 2 3 3 2" xfId="14010" xr:uid="{7D94969F-92A6-43B5-BADA-1D5ADF271A4B}"/>
    <cellStyle name="Normal 4 2 5 2 3 3 3" xfId="22450" xr:uid="{A860B19A-534C-45D2-BE72-FC52777E6F16}"/>
    <cellStyle name="Normal 4 2 5 2 3 4" xfId="9792" xr:uid="{3F77B72E-1F3F-4ECF-B9A1-CD81E393C417}"/>
    <cellStyle name="Normal 4 2 5 2 3 5" xfId="18233" xr:uid="{F1EF52F2-BACC-4B0D-85BC-92E2ABFBB6AB}"/>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16568" xr:uid="{64910909-5DBF-4B80-B5D6-FA3DAAEC3399}"/>
    <cellStyle name="Normal 4 2 5 2 4 2 2 3" xfId="25008" xr:uid="{098E603A-72F6-4925-9748-586B90CCE714}"/>
    <cellStyle name="Normal 4 2 5 2 4 2 3" xfId="12350" xr:uid="{E304BE49-6343-4C52-BEE5-D9ED73368FA7}"/>
    <cellStyle name="Normal 4 2 5 2 4 2 4" xfId="20791" xr:uid="{01A3BE01-CBCF-4EFF-848D-A58DAC83ACCD}"/>
    <cellStyle name="Normal 4 2 5 2 4 3" xfId="5981" xr:uid="{00000000-0005-0000-0000-0000D8130000}"/>
    <cellStyle name="Normal 4 2 5 2 4 3 2" xfId="14423" xr:uid="{E48FD852-7357-4550-BAA7-FB24557A16DC}"/>
    <cellStyle name="Normal 4 2 5 2 4 3 3" xfId="22863" xr:uid="{A304BB19-B507-4DA2-A2F1-0159B1A87D23}"/>
    <cellStyle name="Normal 4 2 5 2 4 4" xfId="10205" xr:uid="{66C16978-5197-415A-8A1B-51DCDCC57D93}"/>
    <cellStyle name="Normal 4 2 5 2 4 5" xfId="18646" xr:uid="{6FEB51D0-EE86-4A37-AE2E-DA47103D0B5C}"/>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16981" xr:uid="{F491C824-0456-4237-AD22-5AE3111B39FA}"/>
    <cellStyle name="Normal 4 2 5 2 5 2 2 3" xfId="25421" xr:uid="{3A6A78DB-2308-4AFB-BADB-BDCBD5301140}"/>
    <cellStyle name="Normal 4 2 5 2 5 2 3" xfId="12763" xr:uid="{84163AC9-98EC-4F45-ADB3-39D574CE1FD4}"/>
    <cellStyle name="Normal 4 2 5 2 5 2 4" xfId="21204" xr:uid="{6187C204-7C2A-45E6-944D-F2713D162D6A}"/>
    <cellStyle name="Normal 4 2 5 2 5 3" xfId="6394" xr:uid="{00000000-0005-0000-0000-0000DC130000}"/>
    <cellStyle name="Normal 4 2 5 2 5 3 2" xfId="14836" xr:uid="{FAF5BE74-E2DF-462A-8252-2EFDF287704C}"/>
    <cellStyle name="Normal 4 2 5 2 5 3 3" xfId="23276" xr:uid="{DA0269A8-1A58-4805-8C3E-D6AB11F8B101}"/>
    <cellStyle name="Normal 4 2 5 2 5 4" xfId="10618" xr:uid="{EB752237-3DE9-485D-A3F1-146C9E4A2C09}"/>
    <cellStyle name="Normal 4 2 5 2 5 5" xfId="19059" xr:uid="{A8AE1223-8690-4F17-900E-599FF71BDE97}"/>
    <cellStyle name="Normal 4 2 5 2 6" xfId="2523" xr:uid="{00000000-0005-0000-0000-0000DD130000}"/>
    <cellStyle name="Normal 4 2 5 2 6 2" xfId="6807" xr:uid="{00000000-0005-0000-0000-0000DE130000}"/>
    <cellStyle name="Normal 4 2 5 2 6 2 2" xfId="15249" xr:uid="{407A42B8-EA5B-4C93-B3C3-29755E14ECD8}"/>
    <cellStyle name="Normal 4 2 5 2 6 2 3" xfId="23689" xr:uid="{D7763894-B55F-4CDB-8D75-ADCB9912496F}"/>
    <cellStyle name="Normal 4 2 5 2 6 3" xfId="11031" xr:uid="{AF1ED69D-3949-4D7E-8089-C34293A315CB}"/>
    <cellStyle name="Normal 4 2 5 2 6 4" xfId="19472" xr:uid="{BC1157B0-F1C2-4A0B-8292-3BE2F08BA3D7}"/>
    <cellStyle name="Normal 4 2 5 2 7" xfId="4742" xr:uid="{00000000-0005-0000-0000-0000DF130000}"/>
    <cellStyle name="Normal 4 2 5 2 7 2" xfId="13184" xr:uid="{27B4F397-CE8D-4A3D-937E-1067E78F336A}"/>
    <cellStyle name="Normal 4 2 5 2 7 3" xfId="21624" xr:uid="{46573B05-17BD-467A-9FF8-3DF7A998B62A}"/>
    <cellStyle name="Normal 4 2 5 2 8" xfId="8966" xr:uid="{00E1B212-588C-4825-AF1E-11BB75C71F58}"/>
    <cellStyle name="Normal 4 2 5 2 9" xfId="17407" xr:uid="{B0F28DF5-22DD-4C64-8CB8-647279C3290B}"/>
    <cellStyle name="Normal 4 2 5 3" xfId="839" xr:uid="{00000000-0005-0000-0000-0000E0130000}"/>
    <cellStyle name="Normal 4 2 5 3 2" xfId="3076" xr:uid="{00000000-0005-0000-0000-0000E1130000}"/>
    <cellStyle name="Normal 4 2 5 3 2 2" xfId="7299" xr:uid="{00000000-0005-0000-0000-0000E2130000}"/>
    <cellStyle name="Normal 4 2 5 3 2 2 2" xfId="15741" xr:uid="{D4D88096-8F6E-4532-98D7-F6B7338FAE38}"/>
    <cellStyle name="Normal 4 2 5 3 2 2 3" xfId="24181" xr:uid="{5BC726D8-8399-4FA2-ABFF-0D1C1CA68803}"/>
    <cellStyle name="Normal 4 2 5 3 2 3" xfId="11523" xr:uid="{198F7A93-F3FF-4394-9892-F6F89364919D}"/>
    <cellStyle name="Normal 4 2 5 3 2 4" xfId="19964" xr:uid="{D6F270AD-B5F1-4F74-9B64-673718335C9A}"/>
    <cellStyle name="Normal 4 2 5 3 3" xfId="5154" xr:uid="{00000000-0005-0000-0000-0000E3130000}"/>
    <cellStyle name="Normal 4 2 5 3 3 2" xfId="13596" xr:uid="{139E3739-2A76-4EF0-8C39-26791B216DF8}"/>
    <cellStyle name="Normal 4 2 5 3 3 3" xfId="22036" xr:uid="{A0E20AE3-F218-48D3-925C-5880EA77A943}"/>
    <cellStyle name="Normal 4 2 5 3 4" xfId="9378" xr:uid="{2BFA7281-FD76-4CEF-8464-EAF2CB704302}"/>
    <cellStyle name="Normal 4 2 5 3 5" xfId="17819" xr:uid="{0A1533D4-7A84-49B3-867C-8132086551D6}"/>
    <cellStyle name="Normal 4 2 5 4" xfId="1259" xr:uid="{00000000-0005-0000-0000-0000E4130000}"/>
    <cellStyle name="Normal 4 2 5 4 2" xfId="3489" xr:uid="{00000000-0005-0000-0000-0000E5130000}"/>
    <cellStyle name="Normal 4 2 5 4 2 2" xfId="7712" xr:uid="{00000000-0005-0000-0000-0000E6130000}"/>
    <cellStyle name="Normal 4 2 5 4 2 2 2" xfId="16154" xr:uid="{CA1057B3-F8AB-4850-BCA8-B5A6FDD2B886}"/>
    <cellStyle name="Normal 4 2 5 4 2 2 3" xfId="24594" xr:uid="{8BC774D9-DD25-4646-8890-7FC5DC3B164C}"/>
    <cellStyle name="Normal 4 2 5 4 2 3" xfId="11936" xr:uid="{690479FC-D84B-4A44-9BD3-38FD9D32AFBF}"/>
    <cellStyle name="Normal 4 2 5 4 2 4" xfId="20377" xr:uid="{C8331590-41F2-4D37-AAC6-225A3F8D48ED}"/>
    <cellStyle name="Normal 4 2 5 4 3" xfId="5567" xr:uid="{00000000-0005-0000-0000-0000E7130000}"/>
    <cellStyle name="Normal 4 2 5 4 3 2" xfId="14009" xr:uid="{E87FD11A-655D-4CFB-A224-92936D678A78}"/>
    <cellStyle name="Normal 4 2 5 4 3 3" xfId="22449" xr:uid="{294C6B65-1BE7-497F-BE64-503BD58A20B7}"/>
    <cellStyle name="Normal 4 2 5 4 4" xfId="9791" xr:uid="{3FC28968-4247-47A9-A399-0EE20474B06E}"/>
    <cellStyle name="Normal 4 2 5 4 5" xfId="18232" xr:uid="{E7033A46-A1F4-48CC-B8E1-274662C9AAFD}"/>
    <cellStyle name="Normal 4 2 5 5" xfId="1672" xr:uid="{00000000-0005-0000-0000-0000E8130000}"/>
    <cellStyle name="Normal 4 2 5 5 2" xfId="3902" xr:uid="{00000000-0005-0000-0000-0000E9130000}"/>
    <cellStyle name="Normal 4 2 5 5 2 2" xfId="8125" xr:uid="{00000000-0005-0000-0000-0000EA130000}"/>
    <cellStyle name="Normal 4 2 5 5 2 2 2" xfId="16567" xr:uid="{10A6029C-FD9D-4A60-B553-85148697BFEE}"/>
    <cellStyle name="Normal 4 2 5 5 2 2 3" xfId="25007" xr:uid="{D740317B-5835-48B8-A49A-3DDE64772454}"/>
    <cellStyle name="Normal 4 2 5 5 2 3" xfId="12349" xr:uid="{B5B07F15-ADB8-407E-A54F-E2EABD96D106}"/>
    <cellStyle name="Normal 4 2 5 5 2 4" xfId="20790" xr:uid="{80883526-82AB-44CE-A445-7734BDE91E58}"/>
    <cellStyle name="Normal 4 2 5 5 3" xfId="5980" xr:uid="{00000000-0005-0000-0000-0000EB130000}"/>
    <cellStyle name="Normal 4 2 5 5 3 2" xfId="14422" xr:uid="{F824DA8A-8E22-4578-9891-0A41454A7E37}"/>
    <cellStyle name="Normal 4 2 5 5 3 3" xfId="22862" xr:uid="{054F6EBF-200F-4E7F-855B-3C45CDDF903F}"/>
    <cellStyle name="Normal 4 2 5 5 4" xfId="10204" xr:uid="{57321A61-8E64-41F8-A665-9F70ECEEA466}"/>
    <cellStyle name="Normal 4 2 5 5 5" xfId="18645" xr:uid="{FC4322EF-8DAA-4511-A6A3-3AB7C13E31A2}"/>
    <cellStyle name="Normal 4 2 5 6" xfId="2086" xr:uid="{00000000-0005-0000-0000-0000EC130000}"/>
    <cellStyle name="Normal 4 2 5 6 2" xfId="4315" xr:uid="{00000000-0005-0000-0000-0000ED130000}"/>
    <cellStyle name="Normal 4 2 5 6 2 2" xfId="8538" xr:uid="{00000000-0005-0000-0000-0000EE130000}"/>
    <cellStyle name="Normal 4 2 5 6 2 2 2" xfId="16980" xr:uid="{7BC1A068-2511-40BA-B19F-3A736632289F}"/>
    <cellStyle name="Normal 4 2 5 6 2 2 3" xfId="25420" xr:uid="{04C4E80C-EE54-4281-8789-1427ECC15257}"/>
    <cellStyle name="Normal 4 2 5 6 2 3" xfId="12762" xr:uid="{8FBF280A-3DA2-40DD-B23C-ECB837F49492}"/>
    <cellStyle name="Normal 4 2 5 6 2 4" xfId="21203" xr:uid="{4E091029-5788-42AB-A908-38D4CA1C1633}"/>
    <cellStyle name="Normal 4 2 5 6 3" xfId="6393" xr:uid="{00000000-0005-0000-0000-0000EF130000}"/>
    <cellStyle name="Normal 4 2 5 6 3 2" xfId="14835" xr:uid="{C7493228-DA4D-4D37-828B-B2E95A165140}"/>
    <cellStyle name="Normal 4 2 5 6 3 3" xfId="23275" xr:uid="{D5E1A3A8-7F99-4641-8C6C-33DD7427A762}"/>
    <cellStyle name="Normal 4 2 5 6 4" xfId="10617" xr:uid="{1D3AAAB0-728E-40E7-9713-17ECE85D4BAA}"/>
    <cellStyle name="Normal 4 2 5 6 5" xfId="19058" xr:uid="{39F87FC3-C99B-49C2-BA7B-38309A0F96C0}"/>
    <cellStyle name="Normal 4 2 5 7" xfId="2522" xr:uid="{00000000-0005-0000-0000-0000F0130000}"/>
    <cellStyle name="Normal 4 2 5 7 2" xfId="6806" xr:uid="{00000000-0005-0000-0000-0000F1130000}"/>
    <cellStyle name="Normal 4 2 5 7 2 2" xfId="15248" xr:uid="{95E5408C-7081-457E-89A3-0031257BA963}"/>
    <cellStyle name="Normal 4 2 5 7 2 3" xfId="23688" xr:uid="{A25D44C5-CBCD-4445-8E6B-4445B038C569}"/>
    <cellStyle name="Normal 4 2 5 7 3" xfId="11030" xr:uid="{9AF6398C-F2CD-4D60-AC0A-6B1F18B75CAF}"/>
    <cellStyle name="Normal 4 2 5 7 4" xfId="19471" xr:uid="{A0E22515-F343-4039-8C79-7169408A0F51}"/>
    <cellStyle name="Normal 4 2 5 8" xfId="4741" xr:uid="{00000000-0005-0000-0000-0000F2130000}"/>
    <cellStyle name="Normal 4 2 5 8 2" xfId="13183" xr:uid="{44CD1CBE-833C-4E5B-8068-488441F9B194}"/>
    <cellStyle name="Normal 4 2 5 8 3" xfId="21623" xr:uid="{8C3CC338-585F-49E7-A959-134ED360AA0B}"/>
    <cellStyle name="Normal 4 2 5 9" xfId="8965" xr:uid="{2F715B15-D86F-4338-8E90-C256A3EC5DF9}"/>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2 2 2" xfId="15743" xr:uid="{A4E7EB0A-8F59-4C08-A319-60187A97854C}"/>
    <cellStyle name="Normal 4 2 6 2 2 2 3" xfId="24183" xr:uid="{BF02E54F-AFF8-4197-B2B0-9EAF167BB3F4}"/>
    <cellStyle name="Normal 4 2 6 2 2 3" xfId="11525" xr:uid="{C7A75CA4-25A3-4387-A6A9-169C54A92EF6}"/>
    <cellStyle name="Normal 4 2 6 2 2 4" xfId="19966" xr:uid="{ADC42787-D175-466E-8A22-C74B7D27972C}"/>
    <cellStyle name="Normal 4 2 6 2 3" xfId="5156" xr:uid="{00000000-0005-0000-0000-0000F7130000}"/>
    <cellStyle name="Normal 4 2 6 2 3 2" xfId="13598" xr:uid="{2B1C5492-4D18-4198-9939-AA60199B5C88}"/>
    <cellStyle name="Normal 4 2 6 2 3 3" xfId="22038" xr:uid="{D5E92064-2A25-4E30-93FD-3036B1A3CF0D}"/>
    <cellStyle name="Normal 4 2 6 2 4" xfId="9380" xr:uid="{4CE526A3-960C-4780-AB3A-5197321A7DF5}"/>
    <cellStyle name="Normal 4 2 6 2 5" xfId="17821" xr:uid="{2E5AF9F7-2273-47CA-97BF-86756A78DBA3}"/>
    <cellStyle name="Normal 4 2 6 3" xfId="1261" xr:uid="{00000000-0005-0000-0000-0000F8130000}"/>
    <cellStyle name="Normal 4 2 6 3 2" xfId="3491" xr:uid="{00000000-0005-0000-0000-0000F9130000}"/>
    <cellStyle name="Normal 4 2 6 3 2 2" xfId="7714" xr:uid="{00000000-0005-0000-0000-0000FA130000}"/>
    <cellStyle name="Normal 4 2 6 3 2 2 2" xfId="16156" xr:uid="{FBAAD1ED-09CE-432D-8A01-E69D372E4CB9}"/>
    <cellStyle name="Normal 4 2 6 3 2 2 3" xfId="24596" xr:uid="{AB238954-85E0-482D-9C2A-4B3EC41C9820}"/>
    <cellStyle name="Normal 4 2 6 3 2 3" xfId="11938" xr:uid="{D4DF5BD6-FFE3-4E8C-AF8C-96736F8E1BA6}"/>
    <cellStyle name="Normal 4 2 6 3 2 4" xfId="20379" xr:uid="{02D544F4-B1A9-410F-9127-9352D58CA13A}"/>
    <cellStyle name="Normal 4 2 6 3 3" xfId="5569" xr:uid="{00000000-0005-0000-0000-0000FB130000}"/>
    <cellStyle name="Normal 4 2 6 3 3 2" xfId="14011" xr:uid="{1BF85916-4C2C-443A-B960-11A5AB2D8A21}"/>
    <cellStyle name="Normal 4 2 6 3 3 3" xfId="22451" xr:uid="{4E013EDA-5C04-49D9-AF33-44C0C8D6BEC4}"/>
    <cellStyle name="Normal 4 2 6 3 4" xfId="9793" xr:uid="{8AF7D986-3E43-4387-8E9F-A9F9D3A10EF7}"/>
    <cellStyle name="Normal 4 2 6 3 5" xfId="18234" xr:uid="{D0D18598-2B19-46B8-870F-403920A7634E}"/>
    <cellStyle name="Normal 4 2 6 4" xfId="1674" xr:uid="{00000000-0005-0000-0000-0000FC130000}"/>
    <cellStyle name="Normal 4 2 6 4 2" xfId="3904" xr:uid="{00000000-0005-0000-0000-0000FD130000}"/>
    <cellStyle name="Normal 4 2 6 4 2 2" xfId="8127" xr:uid="{00000000-0005-0000-0000-0000FE130000}"/>
    <cellStyle name="Normal 4 2 6 4 2 2 2" xfId="16569" xr:uid="{B50ABC83-2584-442C-B40D-8C9341B25E6C}"/>
    <cellStyle name="Normal 4 2 6 4 2 2 3" xfId="25009" xr:uid="{F695B4AF-4187-4750-AFFE-4CFED1455A24}"/>
    <cellStyle name="Normal 4 2 6 4 2 3" xfId="12351" xr:uid="{B3D023AA-605C-4991-B7DC-80CE9118DBC5}"/>
    <cellStyle name="Normal 4 2 6 4 2 4" xfId="20792" xr:uid="{61C09475-DE9D-4230-B5E7-CD7FCCE400E1}"/>
    <cellStyle name="Normal 4 2 6 4 3" xfId="5982" xr:uid="{00000000-0005-0000-0000-0000FF130000}"/>
    <cellStyle name="Normal 4 2 6 4 3 2" xfId="14424" xr:uid="{80747974-EE52-435C-9346-FE048335ABDF}"/>
    <cellStyle name="Normal 4 2 6 4 3 3" xfId="22864" xr:uid="{6A33604E-E1EB-4092-917B-93B5658F5E65}"/>
    <cellStyle name="Normal 4 2 6 4 4" xfId="10206" xr:uid="{D7685826-E261-4F4F-88FA-490F5E451425}"/>
    <cellStyle name="Normal 4 2 6 4 5" xfId="18647" xr:uid="{4AB43825-B808-4548-A0EC-971A6C44318F}"/>
    <cellStyle name="Normal 4 2 6 5" xfId="2088" xr:uid="{00000000-0005-0000-0000-000000140000}"/>
    <cellStyle name="Normal 4 2 6 5 2" xfId="4317" xr:uid="{00000000-0005-0000-0000-000001140000}"/>
    <cellStyle name="Normal 4 2 6 5 2 2" xfId="8540" xr:uid="{00000000-0005-0000-0000-000002140000}"/>
    <cellStyle name="Normal 4 2 6 5 2 2 2" xfId="16982" xr:uid="{EF4F4551-9303-46FE-865E-3251BC3BF4B5}"/>
    <cellStyle name="Normal 4 2 6 5 2 2 3" xfId="25422" xr:uid="{9E1C791D-6ABD-4B75-A0E5-CF8A5FFDEB87}"/>
    <cellStyle name="Normal 4 2 6 5 2 3" xfId="12764" xr:uid="{B1A6C910-240A-4C0D-B4FF-63B0206B8D77}"/>
    <cellStyle name="Normal 4 2 6 5 2 4" xfId="21205" xr:uid="{AE7760A5-8782-4585-B40C-6CDD9488479A}"/>
    <cellStyle name="Normal 4 2 6 5 3" xfId="6395" xr:uid="{00000000-0005-0000-0000-000003140000}"/>
    <cellStyle name="Normal 4 2 6 5 3 2" xfId="14837" xr:uid="{B50C2594-5A6F-4CD1-AA0C-43E749F23629}"/>
    <cellStyle name="Normal 4 2 6 5 3 3" xfId="23277" xr:uid="{1B2876B3-720D-41D6-B5AF-63FA436BD7D8}"/>
    <cellStyle name="Normal 4 2 6 5 4" xfId="10619" xr:uid="{86B8483D-13AE-44C3-AAD6-01D657F22929}"/>
    <cellStyle name="Normal 4 2 6 5 5" xfId="19060" xr:uid="{CCA34834-347F-4EF5-A2CA-F73A1629C7D5}"/>
    <cellStyle name="Normal 4 2 6 6" xfId="2524" xr:uid="{00000000-0005-0000-0000-000004140000}"/>
    <cellStyle name="Normal 4 2 6 6 2" xfId="6808" xr:uid="{00000000-0005-0000-0000-000005140000}"/>
    <cellStyle name="Normal 4 2 6 6 2 2" xfId="15250" xr:uid="{29F98213-9AAE-4D1E-8232-BDBCAA4D2EB5}"/>
    <cellStyle name="Normal 4 2 6 6 2 3" xfId="23690" xr:uid="{DE66F650-471E-4DCB-B0BE-8440CD4BA290}"/>
    <cellStyle name="Normal 4 2 6 6 3" xfId="11032" xr:uid="{701D1AD1-94F0-493A-B5D8-208B1FE76917}"/>
    <cellStyle name="Normal 4 2 6 6 4" xfId="19473" xr:uid="{BF16AB23-FBBE-41E0-ADCF-C61B2F85BE0F}"/>
    <cellStyle name="Normal 4 2 6 7" xfId="4743" xr:uid="{00000000-0005-0000-0000-000006140000}"/>
    <cellStyle name="Normal 4 2 6 7 2" xfId="13185" xr:uid="{D923C1F8-AD68-4863-A251-09EDE1991493}"/>
    <cellStyle name="Normal 4 2 6 7 3" xfId="21625" xr:uid="{E49C3DAD-3CA5-4385-A77E-0A571D8CBE3E}"/>
    <cellStyle name="Normal 4 2 6 8" xfId="8967" xr:uid="{3E7D15E4-ED73-48B7-A23D-35E3C3ED1FD1}"/>
    <cellStyle name="Normal 4 2 6 9" xfId="17408" xr:uid="{C52F74E7-6B55-4D70-B0E2-3927B9527899}"/>
    <cellStyle name="Normal 4 3" xfId="366" xr:uid="{00000000-0005-0000-0000-000007140000}"/>
    <cellStyle name="Normal 4 3 10" xfId="8968" xr:uid="{B23426F1-4D99-4023-8CBA-D29D242127E4}"/>
    <cellStyle name="Normal 4 3 11" xfId="17409" xr:uid="{4B2095D1-94CB-408A-8C4C-C7A18951BE96}"/>
    <cellStyle name="Normal 4 3 2" xfId="367" xr:uid="{00000000-0005-0000-0000-000008140000}"/>
    <cellStyle name="Normal 4 3 2 2" xfId="368" xr:uid="{00000000-0005-0000-0000-000009140000}"/>
    <cellStyle name="Normal 4 3 2 2 2" xfId="369" xr:uid="{00000000-0005-0000-0000-00000A140000}"/>
    <cellStyle name="Normal 4 3 2 2 2 10" xfId="8969" xr:uid="{8AC9FD1F-0CC0-41A0-AF28-5F88EB424418}"/>
    <cellStyle name="Normal 4 3 2 2 2 11" xfId="17410" xr:uid="{29F13328-06B0-462A-9522-0F70800488DD}"/>
    <cellStyle name="Normal 4 3 2 2 2 2" xfId="370" xr:uid="{00000000-0005-0000-0000-00000B140000}"/>
    <cellStyle name="Normal 4 3 2 2 2 2 10" xfId="17411" xr:uid="{5E962ED9-530C-4EE8-822F-77DC2C0943C9}"/>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15747" xr:uid="{3FA78497-A5E6-4769-8363-D80E8238CFB3}"/>
    <cellStyle name="Normal 4 3 2 2 2 2 2 2 2 2 3" xfId="24187" xr:uid="{CD5D7484-F2C0-46B8-9998-EA57F4CA52ED}"/>
    <cellStyle name="Normal 4 3 2 2 2 2 2 2 2 3" xfId="11529" xr:uid="{DB76DC22-A48D-4483-98F9-069274273208}"/>
    <cellStyle name="Normal 4 3 2 2 2 2 2 2 2 4" xfId="19970" xr:uid="{A8CB0C37-F0AB-4C7C-AB17-D9E45EEC0EF6}"/>
    <cellStyle name="Normal 4 3 2 2 2 2 2 2 3" xfId="5160" xr:uid="{00000000-0005-0000-0000-000010140000}"/>
    <cellStyle name="Normal 4 3 2 2 2 2 2 2 3 2" xfId="13602" xr:uid="{70076E2B-2BA5-4334-988F-149B0CC75DB7}"/>
    <cellStyle name="Normal 4 3 2 2 2 2 2 2 3 3" xfId="22042" xr:uid="{8D32BDE5-7999-41E8-98D9-531D50FA8FC3}"/>
    <cellStyle name="Normal 4 3 2 2 2 2 2 2 4" xfId="9384" xr:uid="{571CB02C-A7E7-4D5D-959D-BCB4D642DE37}"/>
    <cellStyle name="Normal 4 3 2 2 2 2 2 2 5" xfId="17825" xr:uid="{C5793F8A-461B-4015-A0B6-6AC94C316789}"/>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16160" xr:uid="{622326F4-89B6-4376-8AA6-C769D376B889}"/>
    <cellStyle name="Normal 4 3 2 2 2 2 2 3 2 2 3" xfId="24600" xr:uid="{B02B58EA-AAF4-4070-8233-622DB2792C1B}"/>
    <cellStyle name="Normal 4 3 2 2 2 2 2 3 2 3" xfId="11942" xr:uid="{0716F03C-CF68-4CA8-B01F-1E44913F9D2C}"/>
    <cellStyle name="Normal 4 3 2 2 2 2 2 3 2 4" xfId="20383" xr:uid="{2573C2F4-A665-4366-8DDF-D04930A792A7}"/>
    <cellStyle name="Normal 4 3 2 2 2 2 2 3 3" xfId="5573" xr:uid="{00000000-0005-0000-0000-000014140000}"/>
    <cellStyle name="Normal 4 3 2 2 2 2 2 3 3 2" xfId="14015" xr:uid="{1AF52834-179B-46BD-AB15-03F99DADCE70}"/>
    <cellStyle name="Normal 4 3 2 2 2 2 2 3 3 3" xfId="22455" xr:uid="{6ECD70EA-E895-457C-855B-DAE21DEB22F1}"/>
    <cellStyle name="Normal 4 3 2 2 2 2 2 3 4" xfId="9797" xr:uid="{97C0ACB9-8C9B-43A1-86C7-AD004604DCCF}"/>
    <cellStyle name="Normal 4 3 2 2 2 2 2 3 5" xfId="18238" xr:uid="{C935ABBD-EC99-4162-9DD4-4ACA056DD204}"/>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16573" xr:uid="{A97A3A5D-D7B3-497E-A736-340C07055D36}"/>
    <cellStyle name="Normal 4 3 2 2 2 2 2 4 2 2 3" xfId="25013" xr:uid="{0C6AB2E7-75D1-4446-BD89-586D2DBBCE47}"/>
    <cellStyle name="Normal 4 3 2 2 2 2 2 4 2 3" xfId="12355" xr:uid="{ED1733A2-785F-4430-A255-5AF2EA1B2E20}"/>
    <cellStyle name="Normal 4 3 2 2 2 2 2 4 2 4" xfId="20796" xr:uid="{0759A062-84AB-4E91-BA79-C08B34FBD89C}"/>
    <cellStyle name="Normal 4 3 2 2 2 2 2 4 3" xfId="5986" xr:uid="{00000000-0005-0000-0000-000018140000}"/>
    <cellStyle name="Normal 4 3 2 2 2 2 2 4 3 2" xfId="14428" xr:uid="{255FC510-CE11-445B-BA5A-1B9AE2704D08}"/>
    <cellStyle name="Normal 4 3 2 2 2 2 2 4 3 3" xfId="22868" xr:uid="{F86FA7D1-A9A9-4C91-812C-71DA39C04709}"/>
    <cellStyle name="Normal 4 3 2 2 2 2 2 4 4" xfId="10210" xr:uid="{47A33007-138E-4C0F-95E7-48451A945B99}"/>
    <cellStyle name="Normal 4 3 2 2 2 2 2 4 5" xfId="18651" xr:uid="{60D37684-6B7F-43EF-86E5-F51DF5A85D17}"/>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16986" xr:uid="{B87A3D13-928E-45E8-A07E-FC2C660CF880}"/>
    <cellStyle name="Normal 4 3 2 2 2 2 2 5 2 2 3" xfId="25426" xr:uid="{D7754B34-D569-4218-80CC-A903A80EB35C}"/>
    <cellStyle name="Normal 4 3 2 2 2 2 2 5 2 3" xfId="12768" xr:uid="{3CE99C8E-5D33-41F1-81F3-4485A6444155}"/>
    <cellStyle name="Normal 4 3 2 2 2 2 2 5 2 4" xfId="21209" xr:uid="{842727E1-8CC7-404D-940A-69E2112E7D54}"/>
    <cellStyle name="Normal 4 3 2 2 2 2 2 5 3" xfId="6399" xr:uid="{00000000-0005-0000-0000-00001C140000}"/>
    <cellStyle name="Normal 4 3 2 2 2 2 2 5 3 2" xfId="14841" xr:uid="{1549CF15-CF8C-4C85-AB6D-2CC953A20568}"/>
    <cellStyle name="Normal 4 3 2 2 2 2 2 5 3 3" xfId="23281" xr:uid="{0BEC62A5-D474-4679-884B-135A83BE87FD}"/>
    <cellStyle name="Normal 4 3 2 2 2 2 2 5 4" xfId="10623" xr:uid="{D6C5B460-EF34-4907-B494-EBA4EEC18A47}"/>
    <cellStyle name="Normal 4 3 2 2 2 2 2 5 5" xfId="19064" xr:uid="{B0252DAC-898C-4E9C-871D-853E12BB2EDA}"/>
    <cellStyle name="Normal 4 3 2 2 2 2 2 6" xfId="2528" xr:uid="{00000000-0005-0000-0000-00001D140000}"/>
    <cellStyle name="Normal 4 3 2 2 2 2 2 6 2" xfId="6812" xr:uid="{00000000-0005-0000-0000-00001E140000}"/>
    <cellStyle name="Normal 4 3 2 2 2 2 2 6 2 2" xfId="15254" xr:uid="{CF1F3D9F-3B58-495A-AAB5-1917C7518EB2}"/>
    <cellStyle name="Normal 4 3 2 2 2 2 2 6 2 3" xfId="23694" xr:uid="{2245FF13-14FA-475A-BAD8-27D64B344B73}"/>
    <cellStyle name="Normal 4 3 2 2 2 2 2 6 3" xfId="11036" xr:uid="{A0CC06C7-18E2-496C-82CD-D748ADA80248}"/>
    <cellStyle name="Normal 4 3 2 2 2 2 2 6 4" xfId="19477" xr:uid="{D22FD95E-54CE-4093-9A7A-BC472E837A90}"/>
    <cellStyle name="Normal 4 3 2 2 2 2 2 7" xfId="4747" xr:uid="{00000000-0005-0000-0000-00001F140000}"/>
    <cellStyle name="Normal 4 3 2 2 2 2 2 7 2" xfId="13189" xr:uid="{81F2FC68-166C-4195-A2B6-D4DD9707F227}"/>
    <cellStyle name="Normal 4 3 2 2 2 2 2 7 3" xfId="21629" xr:uid="{A3F07F25-2472-4978-927C-77A0D4E3341C}"/>
    <cellStyle name="Normal 4 3 2 2 2 2 2 8" xfId="8971" xr:uid="{87D1DCC7-4758-4242-A950-7D12F4CD1DF0}"/>
    <cellStyle name="Normal 4 3 2 2 2 2 2 9" xfId="17412" xr:uid="{B5F5A5D3-65FE-4363-B7E3-101261F29FBA}"/>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15746" xr:uid="{E15C2F8F-03DC-4DDD-98C4-6BFD288B9E41}"/>
    <cellStyle name="Normal 4 3 2 2 2 2 3 2 2 3" xfId="24186" xr:uid="{10EE3104-132E-404B-B78B-2DCB3F82FBFD}"/>
    <cellStyle name="Normal 4 3 2 2 2 2 3 2 3" xfId="11528" xr:uid="{29347F64-7874-4FD7-81B9-D3C877B3407A}"/>
    <cellStyle name="Normal 4 3 2 2 2 2 3 2 4" xfId="19969" xr:uid="{21286160-5E98-4466-AAFB-DD74B9C679BE}"/>
    <cellStyle name="Normal 4 3 2 2 2 2 3 3" xfId="5159" xr:uid="{00000000-0005-0000-0000-000023140000}"/>
    <cellStyle name="Normal 4 3 2 2 2 2 3 3 2" xfId="13601" xr:uid="{955B2141-62F5-4159-A20C-2B041DA241A6}"/>
    <cellStyle name="Normal 4 3 2 2 2 2 3 3 3" xfId="22041" xr:uid="{BEA1EACF-6071-409E-9CF7-5AF1C946A6A3}"/>
    <cellStyle name="Normal 4 3 2 2 2 2 3 4" xfId="9383" xr:uid="{55363FBC-FB5B-4904-A3F5-207411663A2C}"/>
    <cellStyle name="Normal 4 3 2 2 2 2 3 5" xfId="17824" xr:uid="{53709EAA-8522-4E70-B3AE-77165B0699FF}"/>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16159" xr:uid="{C40AD51A-EABC-4993-8CEC-92A47A697BBF}"/>
    <cellStyle name="Normal 4 3 2 2 2 2 4 2 2 3" xfId="24599" xr:uid="{92164428-43B0-4689-B57B-E6668FF5B73E}"/>
    <cellStyle name="Normal 4 3 2 2 2 2 4 2 3" xfId="11941" xr:uid="{674DBE80-8FCB-4E1E-ABAD-6B4150AE5681}"/>
    <cellStyle name="Normal 4 3 2 2 2 2 4 2 4" xfId="20382" xr:uid="{6DAD521E-0A34-4366-8738-18D265A81C56}"/>
    <cellStyle name="Normal 4 3 2 2 2 2 4 3" xfId="5572" xr:uid="{00000000-0005-0000-0000-000027140000}"/>
    <cellStyle name="Normal 4 3 2 2 2 2 4 3 2" xfId="14014" xr:uid="{AAA590D9-59D6-4C62-AF40-0F5CD56F81DD}"/>
    <cellStyle name="Normal 4 3 2 2 2 2 4 3 3" xfId="22454" xr:uid="{425F8E72-D638-4B99-AB17-CC9D80050053}"/>
    <cellStyle name="Normal 4 3 2 2 2 2 4 4" xfId="9796" xr:uid="{845F7D69-1CC3-4D9E-A6F4-B41805539940}"/>
    <cellStyle name="Normal 4 3 2 2 2 2 4 5" xfId="18237" xr:uid="{577B91E5-10E5-4BEB-91E1-D7B3BA60441A}"/>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16572" xr:uid="{CC600C54-5174-42FC-9D06-6F71C4A6B413}"/>
    <cellStyle name="Normal 4 3 2 2 2 2 5 2 2 3" xfId="25012" xr:uid="{B9161E89-4592-4C89-8670-D6672D88345E}"/>
    <cellStyle name="Normal 4 3 2 2 2 2 5 2 3" xfId="12354" xr:uid="{2C59E2CF-7C56-41A0-9283-758C841EC854}"/>
    <cellStyle name="Normal 4 3 2 2 2 2 5 2 4" xfId="20795" xr:uid="{097661DB-4B56-4C59-93F1-421E8E48F29C}"/>
    <cellStyle name="Normal 4 3 2 2 2 2 5 3" xfId="5985" xr:uid="{00000000-0005-0000-0000-00002B140000}"/>
    <cellStyle name="Normal 4 3 2 2 2 2 5 3 2" xfId="14427" xr:uid="{9BD209C5-61A8-4B26-9025-18F93307DC62}"/>
    <cellStyle name="Normal 4 3 2 2 2 2 5 3 3" xfId="22867" xr:uid="{328944BC-BEAA-4C5D-8E7D-D2E7D69DEF56}"/>
    <cellStyle name="Normal 4 3 2 2 2 2 5 4" xfId="10209" xr:uid="{E1564213-1828-4A73-B050-6F1D610CE83B}"/>
    <cellStyle name="Normal 4 3 2 2 2 2 5 5" xfId="18650" xr:uid="{EDAD981D-A8BE-4719-BB57-52AC5396E908}"/>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16985" xr:uid="{C950501D-5754-45A2-BD0B-102CC1B5804E}"/>
    <cellStyle name="Normal 4 3 2 2 2 2 6 2 2 3" xfId="25425" xr:uid="{3686C8EC-5DE9-468A-A623-5C55655DA4E6}"/>
    <cellStyle name="Normal 4 3 2 2 2 2 6 2 3" xfId="12767" xr:uid="{7B383EC5-7764-43FE-A51D-5352D741D20C}"/>
    <cellStyle name="Normal 4 3 2 2 2 2 6 2 4" xfId="21208" xr:uid="{15726741-ECF4-4973-B4F3-3DCB4A8BFA74}"/>
    <cellStyle name="Normal 4 3 2 2 2 2 6 3" xfId="6398" xr:uid="{00000000-0005-0000-0000-00002F140000}"/>
    <cellStyle name="Normal 4 3 2 2 2 2 6 3 2" xfId="14840" xr:uid="{6BE091DF-2254-4282-B851-C8194DC55A6D}"/>
    <cellStyle name="Normal 4 3 2 2 2 2 6 3 3" xfId="23280" xr:uid="{BA6F5C7E-5F47-4672-8197-A634C3D023DA}"/>
    <cellStyle name="Normal 4 3 2 2 2 2 6 4" xfId="10622" xr:uid="{2739035B-3CAC-4545-9C9C-704DB2330C66}"/>
    <cellStyle name="Normal 4 3 2 2 2 2 6 5" xfId="19063" xr:uid="{E8AF0066-1D2E-45F2-BF55-E6E8F11A5846}"/>
    <cellStyle name="Normal 4 3 2 2 2 2 7" xfId="2527" xr:uid="{00000000-0005-0000-0000-000030140000}"/>
    <cellStyle name="Normal 4 3 2 2 2 2 7 2" xfId="6811" xr:uid="{00000000-0005-0000-0000-000031140000}"/>
    <cellStyle name="Normal 4 3 2 2 2 2 7 2 2" xfId="15253" xr:uid="{EB60520F-ADB8-4EDB-88CB-2841B07CDD95}"/>
    <cellStyle name="Normal 4 3 2 2 2 2 7 2 3" xfId="23693" xr:uid="{6B32E1E9-65F6-4881-B3E6-05DC2384DB73}"/>
    <cellStyle name="Normal 4 3 2 2 2 2 7 3" xfId="11035" xr:uid="{597EA2BD-53E7-4638-9565-743C49DB610B}"/>
    <cellStyle name="Normal 4 3 2 2 2 2 7 4" xfId="19476" xr:uid="{0CE4E4BF-42C5-47DC-A8D9-E383D2078167}"/>
    <cellStyle name="Normal 4 3 2 2 2 2 8" xfId="4746" xr:uid="{00000000-0005-0000-0000-000032140000}"/>
    <cellStyle name="Normal 4 3 2 2 2 2 8 2" xfId="13188" xr:uid="{81FB3B31-6629-419B-BB9E-3C678E344012}"/>
    <cellStyle name="Normal 4 3 2 2 2 2 8 3" xfId="21628" xr:uid="{170EC7FB-9BC8-4D5C-B779-3F81CE60583D}"/>
    <cellStyle name="Normal 4 3 2 2 2 2 9" xfId="8970" xr:uid="{68428D19-5A2C-4B09-AE34-309DCB89E8C5}"/>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15748" xr:uid="{95D9730D-9E7C-46A7-A34A-AD1B7D78E558}"/>
    <cellStyle name="Normal 4 3 2 2 2 3 2 2 2 3" xfId="24188" xr:uid="{295ACF0F-CEA2-4EBA-BB0A-CCEE9F5D1193}"/>
    <cellStyle name="Normal 4 3 2 2 2 3 2 2 3" xfId="11530" xr:uid="{AC483A62-32F0-47A0-93CC-E07CD89B89F1}"/>
    <cellStyle name="Normal 4 3 2 2 2 3 2 2 4" xfId="19971" xr:uid="{431D8405-AA20-4341-A8A5-DA203AA79C87}"/>
    <cellStyle name="Normal 4 3 2 2 2 3 2 3" xfId="5161" xr:uid="{00000000-0005-0000-0000-000037140000}"/>
    <cellStyle name="Normal 4 3 2 2 2 3 2 3 2" xfId="13603" xr:uid="{56E1774A-88A0-4FAF-9179-38332538CBA8}"/>
    <cellStyle name="Normal 4 3 2 2 2 3 2 3 3" xfId="22043" xr:uid="{0E9D1D93-5FF6-47B7-897D-5CA68B2BA3AF}"/>
    <cellStyle name="Normal 4 3 2 2 2 3 2 4" xfId="9385" xr:uid="{D5704070-4EBA-4270-B1D7-E813443DCEEF}"/>
    <cellStyle name="Normal 4 3 2 2 2 3 2 5" xfId="17826" xr:uid="{1E08707F-A1A9-4781-ACD4-E4EB7EEE739C}"/>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16161" xr:uid="{F961A0B5-CF37-42F2-A72A-D6BDC94A693E}"/>
    <cellStyle name="Normal 4 3 2 2 2 3 3 2 2 3" xfId="24601" xr:uid="{F479FE5A-053F-4576-A061-10CF6EA5BD11}"/>
    <cellStyle name="Normal 4 3 2 2 2 3 3 2 3" xfId="11943" xr:uid="{D422DE66-A47A-46A7-8EEB-950F48B14CFA}"/>
    <cellStyle name="Normal 4 3 2 2 2 3 3 2 4" xfId="20384" xr:uid="{F0E70E4E-608A-44A4-A345-66F0E854DC13}"/>
    <cellStyle name="Normal 4 3 2 2 2 3 3 3" xfId="5574" xr:uid="{00000000-0005-0000-0000-00003B140000}"/>
    <cellStyle name="Normal 4 3 2 2 2 3 3 3 2" xfId="14016" xr:uid="{59390A61-8A76-41D6-BDAB-30A9C32DE67A}"/>
    <cellStyle name="Normal 4 3 2 2 2 3 3 3 3" xfId="22456" xr:uid="{0B264DF9-BE2D-4A79-8E60-7AD9BCB043E5}"/>
    <cellStyle name="Normal 4 3 2 2 2 3 3 4" xfId="9798" xr:uid="{0FA4F7D7-FD3E-489B-A36E-46ACCEE94952}"/>
    <cellStyle name="Normal 4 3 2 2 2 3 3 5" xfId="18239" xr:uid="{99FBADDF-4519-480B-A6B7-36F21360E7E2}"/>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16574" xr:uid="{B02C8998-0CC8-468A-8896-22B840628763}"/>
    <cellStyle name="Normal 4 3 2 2 2 3 4 2 2 3" xfId="25014" xr:uid="{A555DFF0-4807-4C86-973B-5F2C9FA8742B}"/>
    <cellStyle name="Normal 4 3 2 2 2 3 4 2 3" xfId="12356" xr:uid="{733008F8-A7E8-42D9-B52F-14DF891E5061}"/>
    <cellStyle name="Normal 4 3 2 2 2 3 4 2 4" xfId="20797" xr:uid="{09B0F973-BDF7-424B-8082-53EE4476E26A}"/>
    <cellStyle name="Normal 4 3 2 2 2 3 4 3" xfId="5987" xr:uid="{00000000-0005-0000-0000-00003F140000}"/>
    <cellStyle name="Normal 4 3 2 2 2 3 4 3 2" xfId="14429" xr:uid="{0931D04B-F3FF-4599-BF3D-6E41FA1AE4D8}"/>
    <cellStyle name="Normal 4 3 2 2 2 3 4 3 3" xfId="22869" xr:uid="{8906EB07-8653-4577-BD25-A260F4F91605}"/>
    <cellStyle name="Normal 4 3 2 2 2 3 4 4" xfId="10211" xr:uid="{2C4203AC-A7C3-4065-B783-F07005DA6B85}"/>
    <cellStyle name="Normal 4 3 2 2 2 3 4 5" xfId="18652" xr:uid="{C2AEBB7E-8EF5-4C6D-8BF1-F55E9185431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16987" xr:uid="{67F347F9-B9EB-4644-80CE-C5E7FAA2A4D2}"/>
    <cellStyle name="Normal 4 3 2 2 2 3 5 2 2 3" xfId="25427" xr:uid="{D802CF24-FDC2-4D67-BD3B-2FC808278943}"/>
    <cellStyle name="Normal 4 3 2 2 2 3 5 2 3" xfId="12769" xr:uid="{B7EBDAAF-C9C2-4EA1-8BF5-25724475DC77}"/>
    <cellStyle name="Normal 4 3 2 2 2 3 5 2 4" xfId="21210" xr:uid="{F3098422-3958-4B4C-B58F-426C2CA895DE}"/>
    <cellStyle name="Normal 4 3 2 2 2 3 5 3" xfId="6400" xr:uid="{00000000-0005-0000-0000-000043140000}"/>
    <cellStyle name="Normal 4 3 2 2 2 3 5 3 2" xfId="14842" xr:uid="{5AD315A1-FB8B-4615-A63B-9BF92EB858DE}"/>
    <cellStyle name="Normal 4 3 2 2 2 3 5 3 3" xfId="23282" xr:uid="{A9E30112-1BB8-4F38-8C12-830D1BA1CF12}"/>
    <cellStyle name="Normal 4 3 2 2 2 3 5 4" xfId="10624" xr:uid="{38EF2350-354C-441A-BFB2-A4526EBD653C}"/>
    <cellStyle name="Normal 4 3 2 2 2 3 5 5" xfId="19065" xr:uid="{4C9C39F0-4FA7-4E91-8203-CFF30023BDF6}"/>
    <cellStyle name="Normal 4 3 2 2 2 3 6" xfId="2529" xr:uid="{00000000-0005-0000-0000-000044140000}"/>
    <cellStyle name="Normal 4 3 2 2 2 3 6 2" xfId="6813" xr:uid="{00000000-0005-0000-0000-000045140000}"/>
    <cellStyle name="Normal 4 3 2 2 2 3 6 2 2" xfId="15255" xr:uid="{A3CC74C4-684E-4D72-968B-84AF4E9F19CF}"/>
    <cellStyle name="Normal 4 3 2 2 2 3 6 2 3" xfId="23695" xr:uid="{87F8EC85-0A7D-4049-BF26-E93692116F9A}"/>
    <cellStyle name="Normal 4 3 2 2 2 3 6 3" xfId="11037" xr:uid="{7DEA05A2-897D-4F78-9F1C-A5A5B3C751AF}"/>
    <cellStyle name="Normal 4 3 2 2 2 3 6 4" xfId="19478" xr:uid="{A207C7E6-B6E2-4A30-B3E0-49F7BB9E4DB9}"/>
    <cellStyle name="Normal 4 3 2 2 2 3 7" xfId="4748" xr:uid="{00000000-0005-0000-0000-000046140000}"/>
    <cellStyle name="Normal 4 3 2 2 2 3 7 2" xfId="13190" xr:uid="{9DBBD7D6-CE9C-4EF8-93E8-07F617F97493}"/>
    <cellStyle name="Normal 4 3 2 2 2 3 7 3" xfId="21630" xr:uid="{C918DB59-28F3-4580-B078-E85CEE885F09}"/>
    <cellStyle name="Normal 4 3 2 2 2 3 8" xfId="8972" xr:uid="{80B74C01-4A94-4ACA-AC16-C35DF50A8B34}"/>
    <cellStyle name="Normal 4 3 2 2 2 3 9" xfId="17413" xr:uid="{1A01B1E6-816A-4145-8837-8583941BF769}"/>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15745" xr:uid="{3B8A5CB3-37B3-4812-B12E-63632C9F2DB8}"/>
    <cellStyle name="Normal 4 3 2 2 2 4 2 2 3" xfId="24185" xr:uid="{708595AA-B907-4114-9B4B-14A80C25D7E0}"/>
    <cellStyle name="Normal 4 3 2 2 2 4 2 3" xfId="11527" xr:uid="{518B479C-60D1-4D00-97FF-1094325AFB45}"/>
    <cellStyle name="Normal 4 3 2 2 2 4 2 4" xfId="19968" xr:uid="{3EC687DB-274E-4559-A225-F657FDF193BC}"/>
    <cellStyle name="Normal 4 3 2 2 2 4 3" xfId="5158" xr:uid="{00000000-0005-0000-0000-00004A140000}"/>
    <cellStyle name="Normal 4 3 2 2 2 4 3 2" xfId="13600" xr:uid="{DB4FE78D-BDED-4C9A-9903-75C3B3DF43C1}"/>
    <cellStyle name="Normal 4 3 2 2 2 4 3 3" xfId="22040" xr:uid="{A918AFA0-8320-4DC0-9D35-5246A05F4AD4}"/>
    <cellStyle name="Normal 4 3 2 2 2 4 4" xfId="9382" xr:uid="{55ABD75C-B129-4458-ADC3-856C42906A56}"/>
    <cellStyle name="Normal 4 3 2 2 2 4 5" xfId="17823" xr:uid="{95CC2BE3-AE8D-416F-B1C2-C1D62DEBFC9E}"/>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16158" xr:uid="{69DD540A-09EC-46C4-AABB-F0A0A4C8C646}"/>
    <cellStyle name="Normal 4 3 2 2 2 5 2 2 3" xfId="24598" xr:uid="{D0F74AE3-EF8C-454A-A6AF-3606E5325798}"/>
    <cellStyle name="Normal 4 3 2 2 2 5 2 3" xfId="11940" xr:uid="{36F346D6-2B03-472A-9C09-5C2CDA0CAB06}"/>
    <cellStyle name="Normal 4 3 2 2 2 5 2 4" xfId="20381" xr:uid="{C0357013-C637-426D-9AC4-1CFA01A74D31}"/>
    <cellStyle name="Normal 4 3 2 2 2 5 3" xfId="5571" xr:uid="{00000000-0005-0000-0000-00004E140000}"/>
    <cellStyle name="Normal 4 3 2 2 2 5 3 2" xfId="14013" xr:uid="{D7066295-984B-493B-9350-427632DE8254}"/>
    <cellStyle name="Normal 4 3 2 2 2 5 3 3" xfId="22453" xr:uid="{18FA8597-0612-4134-AF71-60A795A38145}"/>
    <cellStyle name="Normal 4 3 2 2 2 5 4" xfId="9795" xr:uid="{C190077E-CD98-493F-8B4C-B3448B7702F6}"/>
    <cellStyle name="Normal 4 3 2 2 2 5 5" xfId="18236" xr:uid="{5775F6F3-32F3-4A4C-A2F4-67CA21C304FD}"/>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16571" xr:uid="{8C89CF70-A8B1-4D66-A869-ACFC4E19380C}"/>
    <cellStyle name="Normal 4 3 2 2 2 6 2 2 3" xfId="25011" xr:uid="{8F9724FA-0A87-495D-95C9-B351069B7E48}"/>
    <cellStyle name="Normal 4 3 2 2 2 6 2 3" xfId="12353" xr:uid="{F3B99A2D-3DBA-447D-8738-D28FB9807352}"/>
    <cellStyle name="Normal 4 3 2 2 2 6 2 4" xfId="20794" xr:uid="{03C81813-A05E-464C-A98D-F94CF31794B7}"/>
    <cellStyle name="Normal 4 3 2 2 2 6 3" xfId="5984" xr:uid="{00000000-0005-0000-0000-000052140000}"/>
    <cellStyle name="Normal 4 3 2 2 2 6 3 2" xfId="14426" xr:uid="{3BCC6A06-7246-402D-8BC6-437B871B1D75}"/>
    <cellStyle name="Normal 4 3 2 2 2 6 3 3" xfId="22866" xr:uid="{E29BAE56-3E6F-4051-B140-3689254CE738}"/>
    <cellStyle name="Normal 4 3 2 2 2 6 4" xfId="10208" xr:uid="{FCE4146B-26EC-4605-97E1-CC94FC575E64}"/>
    <cellStyle name="Normal 4 3 2 2 2 6 5" xfId="18649" xr:uid="{6E5D73C3-2023-4036-B542-89279C1E3ED1}"/>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16984" xr:uid="{1401025E-E087-4606-9489-98820DF5B8BD}"/>
    <cellStyle name="Normal 4 3 2 2 2 7 2 2 3" xfId="25424" xr:uid="{64EFAFFE-1087-436C-8B48-70AD368BAB52}"/>
    <cellStyle name="Normal 4 3 2 2 2 7 2 3" xfId="12766" xr:uid="{4B0FA500-18AA-4FAF-9484-B6F3E3BBA490}"/>
    <cellStyle name="Normal 4 3 2 2 2 7 2 4" xfId="21207" xr:uid="{D874612B-03B7-4B00-B726-AD1240AD0C43}"/>
    <cellStyle name="Normal 4 3 2 2 2 7 3" xfId="6397" xr:uid="{00000000-0005-0000-0000-000056140000}"/>
    <cellStyle name="Normal 4 3 2 2 2 7 3 2" xfId="14839" xr:uid="{0973F96A-B7C8-490F-BB73-6EEB6CB2F584}"/>
    <cellStyle name="Normal 4 3 2 2 2 7 3 3" xfId="23279" xr:uid="{2765082B-C2E3-48D6-944D-5EC45D886B3D}"/>
    <cellStyle name="Normal 4 3 2 2 2 7 4" xfId="10621" xr:uid="{E116A27C-1397-4A4C-B03C-6F70E1666FB5}"/>
    <cellStyle name="Normal 4 3 2 2 2 7 5" xfId="19062" xr:uid="{C59997B3-E759-49D6-9B20-40D1BA13FF90}"/>
    <cellStyle name="Normal 4 3 2 2 2 8" xfId="2526" xr:uid="{00000000-0005-0000-0000-000057140000}"/>
    <cellStyle name="Normal 4 3 2 2 2 8 2" xfId="6810" xr:uid="{00000000-0005-0000-0000-000058140000}"/>
    <cellStyle name="Normal 4 3 2 2 2 8 2 2" xfId="15252" xr:uid="{BAA14141-CC76-4A13-A4BB-C744D1D361AF}"/>
    <cellStyle name="Normal 4 3 2 2 2 8 2 3" xfId="23692" xr:uid="{D159CC7B-213F-4A9B-B3AE-255DE5B70D91}"/>
    <cellStyle name="Normal 4 3 2 2 2 8 3" xfId="11034" xr:uid="{3400937A-6CD2-4ECA-A098-B8859A4D36B4}"/>
    <cellStyle name="Normal 4 3 2 2 2 8 4" xfId="19475" xr:uid="{36AFD514-2E89-46C6-A0F3-8253F46549D7}"/>
    <cellStyle name="Normal 4 3 2 2 2 9" xfId="4745" xr:uid="{00000000-0005-0000-0000-000059140000}"/>
    <cellStyle name="Normal 4 3 2 2 2 9 2" xfId="13187" xr:uid="{4440C59B-63D6-4CCC-A7AC-E35B44D474D4}"/>
    <cellStyle name="Normal 4 3 2 2 2 9 3" xfId="21627" xr:uid="{78695C7D-2BC0-43A1-979B-62E7BA09E9BA}"/>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3" xr:uid="{44A6EE53-B37E-47D0-92C3-7FF7F930E2D2}"/>
    <cellStyle name="Normal 4 3 3 11" xfId="17414" xr:uid="{7EFF2AFE-96DF-4727-A0DA-4D5FF2512481}"/>
    <cellStyle name="Normal 4 3 3 2" xfId="375" xr:uid="{00000000-0005-0000-0000-00005E140000}"/>
    <cellStyle name="Normal 4 3 3 2 10" xfId="17415" xr:uid="{4DFD64F9-D26E-4C2B-B331-61BBB47DD803}"/>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15751" xr:uid="{DDA83630-C0C5-41D2-9A33-3CD17D556350}"/>
    <cellStyle name="Normal 4 3 3 2 2 2 2 2 3" xfId="24191" xr:uid="{9BE13A00-8812-48B9-9DC4-ECE9188390C4}"/>
    <cellStyle name="Normal 4 3 3 2 2 2 2 3" xfId="11533" xr:uid="{F3D3E4E0-C1BA-42DF-B9B7-B3A83DFDB1B1}"/>
    <cellStyle name="Normal 4 3 3 2 2 2 2 4" xfId="19974" xr:uid="{D429794F-FE03-42B3-9A46-BF761BE18074}"/>
    <cellStyle name="Normal 4 3 3 2 2 2 3" xfId="5164" xr:uid="{00000000-0005-0000-0000-000063140000}"/>
    <cellStyle name="Normal 4 3 3 2 2 2 3 2" xfId="13606" xr:uid="{5F99FF13-1800-49A7-984F-0A69B5E131B8}"/>
    <cellStyle name="Normal 4 3 3 2 2 2 3 3" xfId="22046" xr:uid="{2E402CA0-607A-4326-B2EE-D0B8A91E35C5}"/>
    <cellStyle name="Normal 4 3 3 2 2 2 4" xfId="9388" xr:uid="{A5B67098-67FC-4EB4-86C2-4727BE0687EB}"/>
    <cellStyle name="Normal 4 3 3 2 2 2 5" xfId="17829" xr:uid="{36A6298C-0BA8-4BB8-A684-7DAD72D2FBCF}"/>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16164" xr:uid="{3E42F47E-7085-417B-B2C2-EC0765A5FAAE}"/>
    <cellStyle name="Normal 4 3 3 2 2 3 2 2 3" xfId="24604" xr:uid="{7B6CA01F-A12B-4FC3-BA72-6339B63AD4AE}"/>
    <cellStyle name="Normal 4 3 3 2 2 3 2 3" xfId="11946" xr:uid="{AA9A8A7A-859B-4F88-95EE-C0709466FB1D}"/>
    <cellStyle name="Normal 4 3 3 2 2 3 2 4" xfId="20387" xr:uid="{1E75DC1A-5C0B-40AD-8425-73B8CC9C93A4}"/>
    <cellStyle name="Normal 4 3 3 2 2 3 3" xfId="5577" xr:uid="{00000000-0005-0000-0000-000067140000}"/>
    <cellStyle name="Normal 4 3 3 2 2 3 3 2" xfId="14019" xr:uid="{2A2D502D-1F5A-489D-945F-A0C169EFD73F}"/>
    <cellStyle name="Normal 4 3 3 2 2 3 3 3" xfId="22459" xr:uid="{3875DF14-15D1-4049-A718-D4382E1E1E16}"/>
    <cellStyle name="Normal 4 3 3 2 2 3 4" xfId="9801" xr:uid="{D88266E5-FF9A-40F8-8943-4CCAA6128EEE}"/>
    <cellStyle name="Normal 4 3 3 2 2 3 5" xfId="18242" xr:uid="{E2B2FE42-C250-410B-87F2-2D7D0B4FE537}"/>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16577" xr:uid="{E5567DCC-5E4F-4833-A540-714BD4B885E7}"/>
    <cellStyle name="Normal 4 3 3 2 2 4 2 2 3" xfId="25017" xr:uid="{F09D85A5-CED8-4BD1-B19B-062E73110268}"/>
    <cellStyle name="Normal 4 3 3 2 2 4 2 3" xfId="12359" xr:uid="{5E001F98-71B4-491F-93CF-A6E9455DE854}"/>
    <cellStyle name="Normal 4 3 3 2 2 4 2 4" xfId="20800" xr:uid="{86D2A94A-EC69-4D8F-9AF4-FA86B95B37A4}"/>
    <cellStyle name="Normal 4 3 3 2 2 4 3" xfId="5990" xr:uid="{00000000-0005-0000-0000-00006B140000}"/>
    <cellStyle name="Normal 4 3 3 2 2 4 3 2" xfId="14432" xr:uid="{B77E81BA-E388-48FF-8BA1-33809ACA0CAB}"/>
    <cellStyle name="Normal 4 3 3 2 2 4 3 3" xfId="22872" xr:uid="{7F642A99-F346-4F40-8FF8-5FCE84991AFD}"/>
    <cellStyle name="Normal 4 3 3 2 2 4 4" xfId="10214" xr:uid="{3F6FB6E6-DC36-4133-AA63-2465937264D8}"/>
    <cellStyle name="Normal 4 3 3 2 2 4 5" xfId="18655" xr:uid="{E596F611-1ACF-48DF-AA1D-83077BA12D3F}"/>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16990" xr:uid="{84FE36B2-96AC-4065-B919-07BD35589E81}"/>
    <cellStyle name="Normal 4 3 3 2 2 5 2 2 3" xfId="25430" xr:uid="{16929CC2-7BA8-4A99-8943-250D21BC5551}"/>
    <cellStyle name="Normal 4 3 3 2 2 5 2 3" xfId="12772" xr:uid="{54B2C59F-E7CA-429E-B726-945F5CCD8890}"/>
    <cellStyle name="Normal 4 3 3 2 2 5 2 4" xfId="21213" xr:uid="{03512661-F90C-4CDC-A995-E583CB65C5E9}"/>
    <cellStyle name="Normal 4 3 3 2 2 5 3" xfId="6403" xr:uid="{00000000-0005-0000-0000-00006F140000}"/>
    <cellStyle name="Normal 4 3 3 2 2 5 3 2" xfId="14845" xr:uid="{218D4BC5-A5C4-4C0B-B6A9-CB93D54DCB79}"/>
    <cellStyle name="Normal 4 3 3 2 2 5 3 3" xfId="23285" xr:uid="{5AC3A69C-5CCA-4B0C-9C88-E237F34CCFB1}"/>
    <cellStyle name="Normal 4 3 3 2 2 5 4" xfId="10627" xr:uid="{E859E9FE-B3EE-4CC6-A88B-D47B76AB4BB7}"/>
    <cellStyle name="Normal 4 3 3 2 2 5 5" xfId="19068" xr:uid="{323C873A-857F-4693-9AE6-9918842A64DD}"/>
    <cellStyle name="Normal 4 3 3 2 2 6" xfId="2532" xr:uid="{00000000-0005-0000-0000-000070140000}"/>
    <cellStyle name="Normal 4 3 3 2 2 6 2" xfId="6816" xr:uid="{00000000-0005-0000-0000-000071140000}"/>
    <cellStyle name="Normal 4 3 3 2 2 6 2 2" xfId="15258" xr:uid="{93C4F0FA-DDDB-4EBB-B210-734EC0F56A92}"/>
    <cellStyle name="Normal 4 3 3 2 2 6 2 3" xfId="23698" xr:uid="{B9A5136E-0BBE-4794-A9BF-295CE4B28DCE}"/>
    <cellStyle name="Normal 4 3 3 2 2 6 3" xfId="11040" xr:uid="{FF50E671-4C70-499D-B776-13081D1656D8}"/>
    <cellStyle name="Normal 4 3 3 2 2 6 4" xfId="19481" xr:uid="{0D5FE382-6D67-4D6D-BD98-D8D7260821C8}"/>
    <cellStyle name="Normal 4 3 3 2 2 7" xfId="4751" xr:uid="{00000000-0005-0000-0000-000072140000}"/>
    <cellStyle name="Normal 4 3 3 2 2 7 2" xfId="13193" xr:uid="{886B127D-AA77-475E-A19E-1DE9141861A1}"/>
    <cellStyle name="Normal 4 3 3 2 2 7 3" xfId="21633" xr:uid="{F220ACBD-2596-439C-9589-858C08A59D6F}"/>
    <cellStyle name="Normal 4 3 3 2 2 8" xfId="8975" xr:uid="{286D9F00-9BB5-49B4-8FA5-A2D55218A5DD}"/>
    <cellStyle name="Normal 4 3 3 2 2 9" xfId="17416" xr:uid="{C40918A7-9CD3-4DB3-B5F7-73EB998C1D39}"/>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15750" xr:uid="{806C4D71-D515-4AD7-9BE7-C20E95249161}"/>
    <cellStyle name="Normal 4 3 3 2 3 2 2 3" xfId="24190" xr:uid="{47AAF271-A9AC-46B0-9FF9-AD1EE2E5D2FF}"/>
    <cellStyle name="Normal 4 3 3 2 3 2 3" xfId="11532" xr:uid="{506337B7-2B15-4B83-8AD1-EC640FE23654}"/>
    <cellStyle name="Normal 4 3 3 2 3 2 4" xfId="19973" xr:uid="{37F1FD32-73CA-4B92-90A3-1F5FD737A56C}"/>
    <cellStyle name="Normal 4 3 3 2 3 3" xfId="5163" xr:uid="{00000000-0005-0000-0000-000076140000}"/>
    <cellStyle name="Normal 4 3 3 2 3 3 2" xfId="13605" xr:uid="{1BF126F6-72DA-4919-B7C6-5CAC57DF9721}"/>
    <cellStyle name="Normal 4 3 3 2 3 3 3" xfId="22045" xr:uid="{CDDBF884-DD5E-4F3D-9DEB-1901EF2F3002}"/>
    <cellStyle name="Normal 4 3 3 2 3 4" xfId="9387" xr:uid="{509C239E-173A-4063-AF72-D1195FA8D494}"/>
    <cellStyle name="Normal 4 3 3 2 3 5" xfId="17828" xr:uid="{0FA634A5-4363-4882-B1E2-E08B565D7695}"/>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16163" xr:uid="{35AF302E-7F76-4B50-8098-E8ABE2D3298F}"/>
    <cellStyle name="Normal 4 3 3 2 4 2 2 3" xfId="24603" xr:uid="{CA5D3604-EB90-41CF-A13E-08EB088C3020}"/>
    <cellStyle name="Normal 4 3 3 2 4 2 3" xfId="11945" xr:uid="{E8D102F6-74EF-4C76-B777-FDAA7265DD2A}"/>
    <cellStyle name="Normal 4 3 3 2 4 2 4" xfId="20386" xr:uid="{9AD78162-BAC5-4B1A-B300-9064782A3010}"/>
    <cellStyle name="Normal 4 3 3 2 4 3" xfId="5576" xr:uid="{00000000-0005-0000-0000-00007A140000}"/>
    <cellStyle name="Normal 4 3 3 2 4 3 2" xfId="14018" xr:uid="{D4213673-0FE5-48E5-8F89-9801BBC6DC5E}"/>
    <cellStyle name="Normal 4 3 3 2 4 3 3" xfId="22458" xr:uid="{976BD1BF-B6B3-4029-9A71-F41D447ADCC2}"/>
    <cellStyle name="Normal 4 3 3 2 4 4" xfId="9800" xr:uid="{EE5FC075-D918-42F6-8D9F-FC9C370DA5BA}"/>
    <cellStyle name="Normal 4 3 3 2 4 5" xfId="18241" xr:uid="{56E0E940-C2F8-4709-92A9-6461667992AE}"/>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16576" xr:uid="{43E6049F-DABA-41EC-9DAC-CC6CB31C1BFB}"/>
    <cellStyle name="Normal 4 3 3 2 5 2 2 3" xfId="25016" xr:uid="{502613E6-48B1-4D1E-A717-A783B3F0A3F1}"/>
    <cellStyle name="Normal 4 3 3 2 5 2 3" xfId="12358" xr:uid="{8EAAB775-03D3-411A-BE88-B089767B7BE4}"/>
    <cellStyle name="Normal 4 3 3 2 5 2 4" xfId="20799" xr:uid="{05EEED0D-86F2-4F13-8C2C-31F66EE789B9}"/>
    <cellStyle name="Normal 4 3 3 2 5 3" xfId="5989" xr:uid="{00000000-0005-0000-0000-00007E140000}"/>
    <cellStyle name="Normal 4 3 3 2 5 3 2" xfId="14431" xr:uid="{A2F1F61A-78FD-42DA-9569-436CFF5333B0}"/>
    <cellStyle name="Normal 4 3 3 2 5 3 3" xfId="22871" xr:uid="{CB7ADE9F-C5D6-461A-B129-B2C8981CE697}"/>
    <cellStyle name="Normal 4 3 3 2 5 4" xfId="10213" xr:uid="{7102519A-2567-466C-AC84-0394BB151484}"/>
    <cellStyle name="Normal 4 3 3 2 5 5" xfId="18654" xr:uid="{952B9121-6FEE-467E-8D21-8B938DD5110F}"/>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16989" xr:uid="{453A674B-B55D-476A-87BB-A34DAB9550A4}"/>
    <cellStyle name="Normal 4 3 3 2 6 2 2 3" xfId="25429" xr:uid="{31B7BAB1-EEB5-4E92-AF16-0D79A350F523}"/>
    <cellStyle name="Normal 4 3 3 2 6 2 3" xfId="12771" xr:uid="{92A0651B-DEB6-4CBF-805F-91BCFB5C37EF}"/>
    <cellStyle name="Normal 4 3 3 2 6 2 4" xfId="21212" xr:uid="{DEF333CD-4A6F-4026-B5A2-3C0797111D5E}"/>
    <cellStyle name="Normal 4 3 3 2 6 3" xfId="6402" xr:uid="{00000000-0005-0000-0000-000082140000}"/>
    <cellStyle name="Normal 4 3 3 2 6 3 2" xfId="14844" xr:uid="{FFED76C2-D7ED-4FC5-B165-938964676A7E}"/>
    <cellStyle name="Normal 4 3 3 2 6 3 3" xfId="23284" xr:uid="{F2900DC7-3D03-4DCE-8558-F8CEFDDA247B}"/>
    <cellStyle name="Normal 4 3 3 2 6 4" xfId="10626" xr:uid="{1816D3CE-6A28-4264-B1A1-BA6A0973102F}"/>
    <cellStyle name="Normal 4 3 3 2 6 5" xfId="19067" xr:uid="{A5ABFDD3-67E5-44E4-B8F7-17DFE6BDFBDA}"/>
    <cellStyle name="Normal 4 3 3 2 7" xfId="2531" xr:uid="{00000000-0005-0000-0000-000083140000}"/>
    <cellStyle name="Normal 4 3 3 2 7 2" xfId="6815" xr:uid="{00000000-0005-0000-0000-000084140000}"/>
    <cellStyle name="Normal 4 3 3 2 7 2 2" xfId="15257" xr:uid="{FCFB5215-3FD1-4DE3-A8E3-4E95472E0D09}"/>
    <cellStyle name="Normal 4 3 3 2 7 2 3" xfId="23697" xr:uid="{93EC81E5-8FA3-45FB-8120-2C93B2C4C502}"/>
    <cellStyle name="Normal 4 3 3 2 7 3" xfId="11039" xr:uid="{5439CD4D-9F30-409B-A249-C7ED7700D4CF}"/>
    <cellStyle name="Normal 4 3 3 2 7 4" xfId="19480" xr:uid="{7A43719E-BD81-4763-8790-97D0CED6BD2E}"/>
    <cellStyle name="Normal 4 3 3 2 8" xfId="4750" xr:uid="{00000000-0005-0000-0000-000085140000}"/>
    <cellStyle name="Normal 4 3 3 2 8 2" xfId="13192" xr:uid="{124E8FD8-A308-44BC-AE14-AB829E941E10}"/>
    <cellStyle name="Normal 4 3 3 2 8 3" xfId="21632" xr:uid="{D017800C-2788-4BA7-B0D5-C6962F423879}"/>
    <cellStyle name="Normal 4 3 3 2 9" xfId="8974" xr:uid="{100BDCAE-C1D4-4DBC-AC75-C2004E9508DA}"/>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15752" xr:uid="{91F25FF1-CF9C-4AE5-A1FB-3150DDB782B1}"/>
    <cellStyle name="Normal 4 3 3 3 2 2 2 3" xfId="24192" xr:uid="{AD9A51EE-1256-4EEF-85A3-12EEBA1F21C8}"/>
    <cellStyle name="Normal 4 3 3 3 2 2 3" xfId="11534" xr:uid="{F8DCDD04-B199-4A73-93C5-D302EBEE1B61}"/>
    <cellStyle name="Normal 4 3 3 3 2 2 4" xfId="19975" xr:uid="{D02AE0D4-3F45-4ED0-BA73-5726B66827FC}"/>
    <cellStyle name="Normal 4 3 3 3 2 3" xfId="5165" xr:uid="{00000000-0005-0000-0000-00008A140000}"/>
    <cellStyle name="Normal 4 3 3 3 2 3 2" xfId="13607" xr:uid="{3EBA0473-E645-4363-84E6-08E065AB2017}"/>
    <cellStyle name="Normal 4 3 3 3 2 3 3" xfId="22047" xr:uid="{8595B605-E366-445A-AF3D-B8C14FD32665}"/>
    <cellStyle name="Normal 4 3 3 3 2 4" xfId="9389" xr:uid="{D82B30CE-B344-47B0-8336-050D234CED5B}"/>
    <cellStyle name="Normal 4 3 3 3 2 5" xfId="17830" xr:uid="{18D44AA6-75A4-4502-A1CE-C6C25CD2154E}"/>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16165" xr:uid="{B03CEB2F-FDAD-43F9-8998-60F5B30DFB15}"/>
    <cellStyle name="Normal 4 3 3 3 3 2 2 3" xfId="24605" xr:uid="{BCDD7B5E-848C-4FED-9EDC-C5A6FDCF4465}"/>
    <cellStyle name="Normal 4 3 3 3 3 2 3" xfId="11947" xr:uid="{56F95EC5-4420-42DC-83A7-DD6A4AAA17FE}"/>
    <cellStyle name="Normal 4 3 3 3 3 2 4" xfId="20388" xr:uid="{26E8FC90-96DA-45E6-B87A-66291C3A15D6}"/>
    <cellStyle name="Normal 4 3 3 3 3 3" xfId="5578" xr:uid="{00000000-0005-0000-0000-00008E140000}"/>
    <cellStyle name="Normal 4 3 3 3 3 3 2" xfId="14020" xr:uid="{76E3CA78-1E5A-4C1D-9735-0A27A2CD28B4}"/>
    <cellStyle name="Normal 4 3 3 3 3 3 3" xfId="22460" xr:uid="{05A93C2A-CF6B-4EC6-BFB6-40084A49954F}"/>
    <cellStyle name="Normal 4 3 3 3 3 4" xfId="9802" xr:uid="{E63FB307-C81C-4078-A530-499EC90A8700}"/>
    <cellStyle name="Normal 4 3 3 3 3 5" xfId="18243" xr:uid="{34D5BB1E-B177-46FF-A973-857BFD376297}"/>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16578" xr:uid="{B59FE1B1-19D8-4845-9D3E-0F1FAFAF6AAA}"/>
    <cellStyle name="Normal 4 3 3 3 4 2 2 3" xfId="25018" xr:uid="{C2FE1F15-34DD-44FE-B509-B1C5E3FB6E78}"/>
    <cellStyle name="Normal 4 3 3 3 4 2 3" xfId="12360" xr:uid="{B8812208-1371-4FAA-ACB8-9D7F398801F6}"/>
    <cellStyle name="Normal 4 3 3 3 4 2 4" xfId="20801" xr:uid="{92EB9174-18BC-4562-8025-575158C2EA99}"/>
    <cellStyle name="Normal 4 3 3 3 4 3" xfId="5991" xr:uid="{00000000-0005-0000-0000-000092140000}"/>
    <cellStyle name="Normal 4 3 3 3 4 3 2" xfId="14433" xr:uid="{775FC8E2-F8B6-4F95-B991-CB6CF1022437}"/>
    <cellStyle name="Normal 4 3 3 3 4 3 3" xfId="22873" xr:uid="{F883B2A8-F92A-42DA-89AC-9C5FB2CCACB2}"/>
    <cellStyle name="Normal 4 3 3 3 4 4" xfId="10215" xr:uid="{CF032695-0E0B-4EE0-BC00-51C26956CF89}"/>
    <cellStyle name="Normal 4 3 3 3 4 5" xfId="18656" xr:uid="{20301295-034C-4857-9631-F9C72A82AE8B}"/>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16991" xr:uid="{4876269B-FD19-4BB5-9AAB-C4A10BF47882}"/>
    <cellStyle name="Normal 4 3 3 3 5 2 2 3" xfId="25431" xr:uid="{11A1F252-C0DD-4307-A50D-1738DC4C9345}"/>
    <cellStyle name="Normal 4 3 3 3 5 2 3" xfId="12773" xr:uid="{87559FE9-9F77-4F23-9AB2-9C084C14AC73}"/>
    <cellStyle name="Normal 4 3 3 3 5 2 4" xfId="21214" xr:uid="{F9ED5848-A74A-43C3-A241-5EDE42C31CD1}"/>
    <cellStyle name="Normal 4 3 3 3 5 3" xfId="6404" xr:uid="{00000000-0005-0000-0000-000096140000}"/>
    <cellStyle name="Normal 4 3 3 3 5 3 2" xfId="14846" xr:uid="{17F5AE2E-D21D-411B-93D0-BA65F76B045B}"/>
    <cellStyle name="Normal 4 3 3 3 5 3 3" xfId="23286" xr:uid="{9898BD19-D5E8-4A41-91CD-D63CA89456F5}"/>
    <cellStyle name="Normal 4 3 3 3 5 4" xfId="10628" xr:uid="{75E34E07-1A36-4094-908B-C21FAE240AB0}"/>
    <cellStyle name="Normal 4 3 3 3 5 5" xfId="19069" xr:uid="{2A351B1D-D878-4D4B-A0AA-A3712B98059B}"/>
    <cellStyle name="Normal 4 3 3 3 6" xfId="2533" xr:uid="{00000000-0005-0000-0000-000097140000}"/>
    <cellStyle name="Normal 4 3 3 3 6 2" xfId="6817" xr:uid="{00000000-0005-0000-0000-000098140000}"/>
    <cellStyle name="Normal 4 3 3 3 6 2 2" xfId="15259" xr:uid="{8D9FFEE0-69F0-4416-A2DD-B4C9D5E18741}"/>
    <cellStyle name="Normal 4 3 3 3 6 2 3" xfId="23699" xr:uid="{4B96C69F-EB99-47B0-A124-1B9E96E16C54}"/>
    <cellStyle name="Normal 4 3 3 3 6 3" xfId="11041" xr:uid="{55AFC664-CC54-4B6E-8A0A-378B0750202D}"/>
    <cellStyle name="Normal 4 3 3 3 6 4" xfId="19482" xr:uid="{014DE034-C5A0-4D0A-BC86-8817DCD38634}"/>
    <cellStyle name="Normal 4 3 3 3 7" xfId="4752" xr:uid="{00000000-0005-0000-0000-000099140000}"/>
    <cellStyle name="Normal 4 3 3 3 7 2" xfId="13194" xr:uid="{A7B25F92-02C3-47CE-B12B-1395AF0BB3A8}"/>
    <cellStyle name="Normal 4 3 3 3 7 3" xfId="21634" xr:uid="{7B5B9FF1-CB8D-429D-B236-82C961053D95}"/>
    <cellStyle name="Normal 4 3 3 3 8" xfId="8976" xr:uid="{DE19143C-D5A5-46CB-8D59-FB25B87CBEF9}"/>
    <cellStyle name="Normal 4 3 3 3 9" xfId="17417" xr:uid="{09691879-11A0-4021-ABE3-4595BA5E3C2B}"/>
    <cellStyle name="Normal 4 3 3 4" xfId="849" xr:uid="{00000000-0005-0000-0000-00009A140000}"/>
    <cellStyle name="Normal 4 3 3 4 2" xfId="3084" xr:uid="{00000000-0005-0000-0000-00009B140000}"/>
    <cellStyle name="Normal 4 3 3 4 2 2" xfId="7307" xr:uid="{00000000-0005-0000-0000-00009C140000}"/>
    <cellStyle name="Normal 4 3 3 4 2 2 2" xfId="15749" xr:uid="{25B4CA00-819C-438A-9289-D07210C42D0C}"/>
    <cellStyle name="Normal 4 3 3 4 2 2 3" xfId="24189" xr:uid="{AC754C1A-2BA7-4038-A17C-0A11FC90B22F}"/>
    <cellStyle name="Normal 4 3 3 4 2 3" xfId="11531" xr:uid="{249DF0FD-D4A1-4584-9F09-18234975A101}"/>
    <cellStyle name="Normal 4 3 3 4 2 4" xfId="19972" xr:uid="{46BA1672-EC01-4EEC-9FA2-41FF477B4685}"/>
    <cellStyle name="Normal 4 3 3 4 3" xfId="5162" xr:uid="{00000000-0005-0000-0000-00009D140000}"/>
    <cellStyle name="Normal 4 3 3 4 3 2" xfId="13604" xr:uid="{401E1F7C-68AA-4475-A1DB-2971B2EC910A}"/>
    <cellStyle name="Normal 4 3 3 4 3 3" xfId="22044" xr:uid="{C063C1E4-738E-4A1B-BB3B-1640227C1F5B}"/>
    <cellStyle name="Normal 4 3 3 4 4" xfId="9386" xr:uid="{15AF1481-E7A2-4163-A39F-99C32A2A090C}"/>
    <cellStyle name="Normal 4 3 3 4 5" xfId="17827" xr:uid="{3F866713-3419-4327-83AA-8721B49B0710}"/>
    <cellStyle name="Normal 4 3 3 5" xfId="1267" xr:uid="{00000000-0005-0000-0000-00009E140000}"/>
    <cellStyle name="Normal 4 3 3 5 2" xfId="3497" xr:uid="{00000000-0005-0000-0000-00009F140000}"/>
    <cellStyle name="Normal 4 3 3 5 2 2" xfId="7720" xr:uid="{00000000-0005-0000-0000-0000A0140000}"/>
    <cellStyle name="Normal 4 3 3 5 2 2 2" xfId="16162" xr:uid="{EF8E3261-3C28-4237-9CCE-EF6BB0F77C3B}"/>
    <cellStyle name="Normal 4 3 3 5 2 2 3" xfId="24602" xr:uid="{508D678A-4D53-443F-A501-A19E74211C9E}"/>
    <cellStyle name="Normal 4 3 3 5 2 3" xfId="11944" xr:uid="{2CC9F63B-E541-482C-A50B-5464C553D33A}"/>
    <cellStyle name="Normal 4 3 3 5 2 4" xfId="20385" xr:uid="{33049D2C-519C-43EA-ACF1-A0705D8614F2}"/>
    <cellStyle name="Normal 4 3 3 5 3" xfId="5575" xr:uid="{00000000-0005-0000-0000-0000A1140000}"/>
    <cellStyle name="Normal 4 3 3 5 3 2" xfId="14017" xr:uid="{67FB918D-CC9A-403C-9699-1974AFB7BB86}"/>
    <cellStyle name="Normal 4 3 3 5 3 3" xfId="22457" xr:uid="{3D641082-92B8-4A92-BF5D-DD611AF544F0}"/>
    <cellStyle name="Normal 4 3 3 5 4" xfId="9799" xr:uid="{487A30EB-CE3A-4441-AF9A-B8864084B1D6}"/>
    <cellStyle name="Normal 4 3 3 5 5" xfId="18240" xr:uid="{8E104A4F-F73D-4C14-87A2-B8F57B2D7642}"/>
    <cellStyle name="Normal 4 3 3 6" xfId="1680" xr:uid="{00000000-0005-0000-0000-0000A2140000}"/>
    <cellStyle name="Normal 4 3 3 6 2" xfId="3910" xr:uid="{00000000-0005-0000-0000-0000A3140000}"/>
    <cellStyle name="Normal 4 3 3 6 2 2" xfId="8133" xr:uid="{00000000-0005-0000-0000-0000A4140000}"/>
    <cellStyle name="Normal 4 3 3 6 2 2 2" xfId="16575" xr:uid="{88B8AD8C-F10E-4150-AE10-954604A3E288}"/>
    <cellStyle name="Normal 4 3 3 6 2 2 3" xfId="25015" xr:uid="{3A041BEE-3B5A-468A-A0FE-52E2B78476A9}"/>
    <cellStyle name="Normal 4 3 3 6 2 3" xfId="12357" xr:uid="{96D02D8A-55CB-4ABB-929D-6698BDE7139D}"/>
    <cellStyle name="Normal 4 3 3 6 2 4" xfId="20798" xr:uid="{78B9EF51-391A-4E63-8D7C-3CBC915B65B6}"/>
    <cellStyle name="Normal 4 3 3 6 3" xfId="5988" xr:uid="{00000000-0005-0000-0000-0000A5140000}"/>
    <cellStyle name="Normal 4 3 3 6 3 2" xfId="14430" xr:uid="{42819B8D-1B58-4CE8-B69D-2599C1B8B603}"/>
    <cellStyle name="Normal 4 3 3 6 3 3" xfId="22870" xr:uid="{74556686-1F54-4821-B963-40626AC23261}"/>
    <cellStyle name="Normal 4 3 3 6 4" xfId="10212" xr:uid="{ABC8C7B8-9EF2-4DEC-B0E0-D7DEB517DBD3}"/>
    <cellStyle name="Normal 4 3 3 6 5" xfId="18653" xr:uid="{3DDD75E3-1B24-4E7C-94C5-34C2C5D6F0C0}"/>
    <cellStyle name="Normal 4 3 3 7" xfId="2094" xr:uid="{00000000-0005-0000-0000-0000A6140000}"/>
    <cellStyle name="Normal 4 3 3 7 2" xfId="4323" xr:uid="{00000000-0005-0000-0000-0000A7140000}"/>
    <cellStyle name="Normal 4 3 3 7 2 2" xfId="8546" xr:uid="{00000000-0005-0000-0000-0000A8140000}"/>
    <cellStyle name="Normal 4 3 3 7 2 2 2" xfId="16988" xr:uid="{833EE688-63D3-4312-B0A9-FD516C098B3D}"/>
    <cellStyle name="Normal 4 3 3 7 2 2 3" xfId="25428" xr:uid="{F60172B7-A00D-4600-9246-9BD58A97F132}"/>
    <cellStyle name="Normal 4 3 3 7 2 3" xfId="12770" xr:uid="{4FC78645-EDEE-4B28-B044-EC5A9A0EF84C}"/>
    <cellStyle name="Normal 4 3 3 7 2 4" xfId="21211" xr:uid="{F3D20552-0A23-40B4-840B-3E488BE1EA5E}"/>
    <cellStyle name="Normal 4 3 3 7 3" xfId="6401" xr:uid="{00000000-0005-0000-0000-0000A9140000}"/>
    <cellStyle name="Normal 4 3 3 7 3 2" xfId="14843" xr:uid="{CB99CC41-3667-4144-B592-EB74071EF8F8}"/>
    <cellStyle name="Normal 4 3 3 7 3 3" xfId="23283" xr:uid="{D3E8D018-FF0A-4F39-85F4-2B5B042782A2}"/>
    <cellStyle name="Normal 4 3 3 7 4" xfId="10625" xr:uid="{AFB9F110-EE7C-4585-A260-7E0CB2BFF0F9}"/>
    <cellStyle name="Normal 4 3 3 7 5" xfId="19066" xr:uid="{9A6A60A2-052B-46B6-8073-BF885FA5434E}"/>
    <cellStyle name="Normal 4 3 3 8" xfId="2530" xr:uid="{00000000-0005-0000-0000-0000AA140000}"/>
    <cellStyle name="Normal 4 3 3 8 2" xfId="6814" xr:uid="{00000000-0005-0000-0000-0000AB140000}"/>
    <cellStyle name="Normal 4 3 3 8 2 2" xfId="15256" xr:uid="{E283073D-7DA5-4F2B-94E3-D21A964A163D}"/>
    <cellStyle name="Normal 4 3 3 8 2 3" xfId="23696" xr:uid="{1DEF1584-EA25-428C-A3B3-82219B36FF28}"/>
    <cellStyle name="Normal 4 3 3 8 3" xfId="11038" xr:uid="{CA7C23FD-2521-47CA-BBAC-C62964F58A1C}"/>
    <cellStyle name="Normal 4 3 3 8 4" xfId="19479" xr:uid="{23E94717-2EB9-4566-A91B-A48E2753DFB5}"/>
    <cellStyle name="Normal 4 3 3 9" xfId="4749" xr:uid="{00000000-0005-0000-0000-0000AC140000}"/>
    <cellStyle name="Normal 4 3 3 9 2" xfId="13191" xr:uid="{C10B854D-6C95-418E-8D84-29306E5F0AA0}"/>
    <cellStyle name="Normal 4 3 3 9 3" xfId="21631" xr:uid="{A6371678-5FF5-44A2-A48F-253A9CE4CB5D}"/>
    <cellStyle name="Normal 4 3 4" xfId="842" xr:uid="{00000000-0005-0000-0000-0000AD140000}"/>
    <cellStyle name="Normal 4 3 4 2" xfId="3079" xr:uid="{00000000-0005-0000-0000-0000AE140000}"/>
    <cellStyle name="Normal 4 3 4 2 2" xfId="7302" xr:uid="{00000000-0005-0000-0000-0000AF140000}"/>
    <cellStyle name="Normal 4 3 4 2 2 2" xfId="15744" xr:uid="{40096572-2517-4BAA-A8CC-5310AA3DB785}"/>
    <cellStyle name="Normal 4 3 4 2 2 3" xfId="24184" xr:uid="{B91C9902-91C3-44B3-8C46-D874E1BD7E34}"/>
    <cellStyle name="Normal 4 3 4 2 3" xfId="11526" xr:uid="{F38AE8AC-004F-471C-9BE4-569AA0901471}"/>
    <cellStyle name="Normal 4 3 4 2 4" xfId="19967" xr:uid="{813DF32D-263A-4695-8AB5-A832F055BAC7}"/>
    <cellStyle name="Normal 4 3 4 3" xfId="5157" xr:uid="{00000000-0005-0000-0000-0000B0140000}"/>
    <cellStyle name="Normal 4 3 4 3 2" xfId="13599" xr:uid="{DE0795F3-A774-4C57-8F36-3956C5ED11E1}"/>
    <cellStyle name="Normal 4 3 4 3 3" xfId="22039" xr:uid="{7EB622AF-5F8F-44A3-9F0D-25F50571A5A4}"/>
    <cellStyle name="Normal 4 3 4 4" xfId="9381" xr:uid="{DE74CDB3-6573-4626-B2B0-ABA2FBA6F431}"/>
    <cellStyle name="Normal 4 3 4 5" xfId="17822" xr:uid="{3663305A-7E5C-4F5D-A688-D1EB94827783}"/>
    <cellStyle name="Normal 4 3 5" xfId="1262" xr:uid="{00000000-0005-0000-0000-0000B1140000}"/>
    <cellStyle name="Normal 4 3 5 2" xfId="3492" xr:uid="{00000000-0005-0000-0000-0000B2140000}"/>
    <cellStyle name="Normal 4 3 5 2 2" xfId="7715" xr:uid="{00000000-0005-0000-0000-0000B3140000}"/>
    <cellStyle name="Normal 4 3 5 2 2 2" xfId="16157" xr:uid="{627CFF79-7087-4C00-9F8D-8434424A4C57}"/>
    <cellStyle name="Normal 4 3 5 2 2 3" xfId="24597" xr:uid="{17385053-E91A-48EB-A2F5-3CAF9FF1B39C}"/>
    <cellStyle name="Normal 4 3 5 2 3" xfId="11939" xr:uid="{56F13D93-6B81-4D40-9D49-522624007600}"/>
    <cellStyle name="Normal 4 3 5 2 4" xfId="20380" xr:uid="{9F42F93F-790A-415C-8151-304F44FFA80F}"/>
    <cellStyle name="Normal 4 3 5 3" xfId="5570" xr:uid="{00000000-0005-0000-0000-0000B4140000}"/>
    <cellStyle name="Normal 4 3 5 3 2" xfId="14012" xr:uid="{996ED0C1-6E3E-43D9-A168-54F6614D57DE}"/>
    <cellStyle name="Normal 4 3 5 3 3" xfId="22452" xr:uid="{0DD2EC1F-9595-4B12-8FBE-5DBAA4AFB4D6}"/>
    <cellStyle name="Normal 4 3 5 4" xfId="9794" xr:uid="{A800315B-69D2-45C1-AC1D-42A8FD61BC7D}"/>
    <cellStyle name="Normal 4 3 5 5" xfId="18235" xr:uid="{8CB0BB98-DAE9-4BD6-92D5-A56C3E58FB5C}"/>
    <cellStyle name="Normal 4 3 6" xfId="1675" xr:uid="{00000000-0005-0000-0000-0000B5140000}"/>
    <cellStyle name="Normal 4 3 6 2" xfId="3905" xr:uid="{00000000-0005-0000-0000-0000B6140000}"/>
    <cellStyle name="Normal 4 3 6 2 2" xfId="8128" xr:uid="{00000000-0005-0000-0000-0000B7140000}"/>
    <cellStyle name="Normal 4 3 6 2 2 2" xfId="16570" xr:uid="{6A2125DC-4943-4B04-87B2-6E2903726FE0}"/>
    <cellStyle name="Normal 4 3 6 2 2 3" xfId="25010" xr:uid="{1BD6470C-B727-46CC-AFF0-C8E0449EEB75}"/>
    <cellStyle name="Normal 4 3 6 2 3" xfId="12352" xr:uid="{D7F2B1CC-1342-4992-86F3-A09A1C8C8D5C}"/>
    <cellStyle name="Normal 4 3 6 2 4" xfId="20793" xr:uid="{349012DB-B1B3-4C82-B9DB-A527735F6B57}"/>
    <cellStyle name="Normal 4 3 6 3" xfId="5983" xr:uid="{00000000-0005-0000-0000-0000B8140000}"/>
    <cellStyle name="Normal 4 3 6 3 2" xfId="14425" xr:uid="{519190D5-16CB-4509-AE88-FEC1F978000A}"/>
    <cellStyle name="Normal 4 3 6 3 3" xfId="22865" xr:uid="{3C0E2AE9-7113-4A2B-B154-A1EA71CC1224}"/>
    <cellStyle name="Normal 4 3 6 4" xfId="10207" xr:uid="{668ACFD3-3CFC-40E9-AAA3-C0F4FDCF9203}"/>
    <cellStyle name="Normal 4 3 6 5" xfId="18648" xr:uid="{DC0076E5-F123-445E-B8CC-290E897A9D41}"/>
    <cellStyle name="Normal 4 3 7" xfId="2089" xr:uid="{00000000-0005-0000-0000-0000B9140000}"/>
    <cellStyle name="Normal 4 3 7 2" xfId="4318" xr:uid="{00000000-0005-0000-0000-0000BA140000}"/>
    <cellStyle name="Normal 4 3 7 2 2" xfId="8541" xr:uid="{00000000-0005-0000-0000-0000BB140000}"/>
    <cellStyle name="Normal 4 3 7 2 2 2" xfId="16983" xr:uid="{4B74F50C-A7D6-48AA-B049-316C8F5D130B}"/>
    <cellStyle name="Normal 4 3 7 2 2 3" xfId="25423" xr:uid="{9938DBAC-97E1-4709-BC51-0A413BFBDA94}"/>
    <cellStyle name="Normal 4 3 7 2 3" xfId="12765" xr:uid="{16992485-3979-40A3-8C81-BE1ADA670B2D}"/>
    <cellStyle name="Normal 4 3 7 2 4" xfId="21206" xr:uid="{4E9CC71D-2A9D-4FBB-9AC3-AFA11392F53E}"/>
    <cellStyle name="Normal 4 3 7 3" xfId="6396" xr:uid="{00000000-0005-0000-0000-0000BC140000}"/>
    <cellStyle name="Normal 4 3 7 3 2" xfId="14838" xr:uid="{84C5C499-E39C-4694-83BE-FFA5B1218531}"/>
    <cellStyle name="Normal 4 3 7 3 3" xfId="23278" xr:uid="{512C41CC-2361-4B27-BB66-D2A8ED69D629}"/>
    <cellStyle name="Normal 4 3 7 4" xfId="10620" xr:uid="{5F9541BA-B5A8-4971-89F4-C24B3E430EC6}"/>
    <cellStyle name="Normal 4 3 7 5" xfId="19061" xr:uid="{15F48FB8-1A41-45EE-8866-EF141311DCBC}"/>
    <cellStyle name="Normal 4 3 8" xfId="2525" xr:uid="{00000000-0005-0000-0000-0000BD140000}"/>
    <cellStyle name="Normal 4 3 8 2" xfId="6809" xr:uid="{00000000-0005-0000-0000-0000BE140000}"/>
    <cellStyle name="Normal 4 3 8 2 2" xfId="15251" xr:uid="{F86A1BBC-874B-44EC-8024-480F6D814B5D}"/>
    <cellStyle name="Normal 4 3 8 2 3" xfId="23691" xr:uid="{76D57349-AFA1-4FDF-AE87-ED154258EDFD}"/>
    <cellStyle name="Normal 4 3 8 3" xfId="11033" xr:uid="{13095FDC-B797-4492-BEDE-88A6EA3E77BB}"/>
    <cellStyle name="Normal 4 3 8 4" xfId="19474" xr:uid="{75541468-7156-443A-BF71-2E4E46AFDF32}"/>
    <cellStyle name="Normal 4 3 9" xfId="4744" xr:uid="{00000000-0005-0000-0000-0000BF140000}"/>
    <cellStyle name="Normal 4 3 9 2" xfId="13186" xr:uid="{9CE606B4-322E-4F95-B567-E767B8254E11}"/>
    <cellStyle name="Normal 4 3 9 3" xfId="21626" xr:uid="{3FF9F79E-4167-44C2-9D56-AF3C802C0318}"/>
    <cellStyle name="Normal 4 4" xfId="378" xr:uid="{00000000-0005-0000-0000-0000C0140000}"/>
    <cellStyle name="Normal 4 4 10" xfId="2534" xr:uid="{00000000-0005-0000-0000-0000C1140000}"/>
    <cellStyle name="Normal 4 4 10 2" xfId="6818" xr:uid="{00000000-0005-0000-0000-0000C2140000}"/>
    <cellStyle name="Normal 4 4 10 2 2" xfId="15260" xr:uid="{3C76044F-D493-4F63-9B35-9A43F1B50651}"/>
    <cellStyle name="Normal 4 4 10 2 3" xfId="23700" xr:uid="{11EF6C10-430F-4453-975D-F3332A3DC958}"/>
    <cellStyle name="Normal 4 4 10 3" xfId="11042" xr:uid="{67427411-1D0A-47AA-B1EF-78EE0357CEC0}"/>
    <cellStyle name="Normal 4 4 10 4" xfId="19483" xr:uid="{C18D88A0-DDE1-480D-924C-6D590F785605}"/>
    <cellStyle name="Normal 4 4 11" xfId="4753" xr:uid="{00000000-0005-0000-0000-0000C3140000}"/>
    <cellStyle name="Normal 4 4 11 2" xfId="13195" xr:uid="{CFB0F8D8-81AD-4C5D-A732-04B31DBFFE8C}"/>
    <cellStyle name="Normal 4 4 11 3" xfId="21635" xr:uid="{17FF842B-B599-456C-8184-059CB5DDD195}"/>
    <cellStyle name="Normal 4 4 12" xfId="8977" xr:uid="{F3C15D48-0221-4841-88F9-5DF821D4D755}"/>
    <cellStyle name="Normal 4 4 13" xfId="17418" xr:uid="{0FE8DB59-7FF4-4F8E-8252-4764B0C62A1F}"/>
    <cellStyle name="Normal 4 4 2" xfId="379" xr:uid="{00000000-0005-0000-0000-0000C4140000}"/>
    <cellStyle name="Normal 4 4 2 10" xfId="4754" xr:uid="{00000000-0005-0000-0000-0000C5140000}"/>
    <cellStyle name="Normal 4 4 2 10 2" xfId="13196" xr:uid="{E6B3F3AC-F725-4E8A-9A5D-B09CF5CA3DC3}"/>
    <cellStyle name="Normal 4 4 2 10 3" xfId="21636" xr:uid="{B7F728E1-B23E-4B69-AFAA-E84A5D343460}"/>
    <cellStyle name="Normal 4 4 2 11" xfId="8978" xr:uid="{818F8EE8-CCB6-4AEF-AF9B-8BD433D90DF5}"/>
    <cellStyle name="Normal 4 4 2 12" xfId="17419" xr:uid="{7C9BE32E-6243-40CE-A99D-92973378840E}"/>
    <cellStyle name="Normal 4 4 2 2" xfId="380" xr:uid="{00000000-0005-0000-0000-0000C6140000}"/>
    <cellStyle name="Normal 4 4 2 2 10" xfId="8979" xr:uid="{675FE5EF-233D-4115-B711-DB31034EA2DC}"/>
    <cellStyle name="Normal 4 4 2 2 11" xfId="17420" xr:uid="{56560F44-DEB8-4497-91B7-02A8D0653AAE}"/>
    <cellStyle name="Normal 4 4 2 2 2" xfId="381" xr:uid="{00000000-0005-0000-0000-0000C7140000}"/>
    <cellStyle name="Normal 4 4 2 2 2 10" xfId="17421" xr:uid="{1AC0C29D-02EC-43AA-93E4-DAC2A94FB268}"/>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15757" xr:uid="{B0D0037D-02F0-4B0A-BD98-801007E34424}"/>
    <cellStyle name="Normal 4 4 2 2 2 2 2 2 2 3" xfId="24197" xr:uid="{C7D7B5C7-A232-4DF8-8334-5CF8AA89EF10}"/>
    <cellStyle name="Normal 4 4 2 2 2 2 2 2 3" xfId="11539" xr:uid="{8B3EEF4E-2BFA-47C5-85C1-C36B129FC531}"/>
    <cellStyle name="Normal 4 4 2 2 2 2 2 2 4" xfId="19980" xr:uid="{BCD88DC3-385B-4A45-92C0-270336EA2E4F}"/>
    <cellStyle name="Normal 4 4 2 2 2 2 2 3" xfId="5170" xr:uid="{00000000-0005-0000-0000-0000CC140000}"/>
    <cellStyle name="Normal 4 4 2 2 2 2 2 3 2" xfId="13612" xr:uid="{6723F130-E3FD-43C3-80DD-6B6DE21620E0}"/>
    <cellStyle name="Normal 4 4 2 2 2 2 2 3 3" xfId="22052" xr:uid="{1FF50BC6-7880-4D38-83C6-179D578BF70F}"/>
    <cellStyle name="Normal 4 4 2 2 2 2 2 4" xfId="9394" xr:uid="{8ABE9F78-D162-4AA0-8393-DD5F7EBE7D13}"/>
    <cellStyle name="Normal 4 4 2 2 2 2 2 5" xfId="17835" xr:uid="{219ADA57-80B2-4DFE-97B5-409F4E6AEE9E}"/>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16170" xr:uid="{BC99774D-CF63-4116-B9BB-C0360A051B2B}"/>
    <cellStyle name="Normal 4 4 2 2 2 2 3 2 2 3" xfId="24610" xr:uid="{4F59519E-45D2-4CC1-A5CE-8E1CAB35DE7F}"/>
    <cellStyle name="Normal 4 4 2 2 2 2 3 2 3" xfId="11952" xr:uid="{560694C2-E884-4840-8C55-371BEB00C4C1}"/>
    <cellStyle name="Normal 4 4 2 2 2 2 3 2 4" xfId="20393" xr:uid="{9A19E3AE-F48F-4B30-A2B5-62870ED85B54}"/>
    <cellStyle name="Normal 4 4 2 2 2 2 3 3" xfId="5583" xr:uid="{00000000-0005-0000-0000-0000D0140000}"/>
    <cellStyle name="Normal 4 4 2 2 2 2 3 3 2" xfId="14025" xr:uid="{B651157C-7F16-42A4-8855-A4F127D1F25E}"/>
    <cellStyle name="Normal 4 4 2 2 2 2 3 3 3" xfId="22465" xr:uid="{182C0053-F8C8-4FD0-89A3-2B28834C6610}"/>
    <cellStyle name="Normal 4 4 2 2 2 2 3 4" xfId="9807" xr:uid="{A1190EB0-0FC1-4A7C-B611-AEE27281034F}"/>
    <cellStyle name="Normal 4 4 2 2 2 2 3 5" xfId="18248" xr:uid="{870F9C1D-D6CE-4CBB-8602-2AF722EC045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16583" xr:uid="{1E78A2FF-BF92-4695-A81C-385A46088DF4}"/>
    <cellStyle name="Normal 4 4 2 2 2 2 4 2 2 3" xfId="25023" xr:uid="{08D9CE1A-EEFC-488B-A9C3-FCE52148B0DC}"/>
    <cellStyle name="Normal 4 4 2 2 2 2 4 2 3" xfId="12365" xr:uid="{C07B44FB-7BF6-44D2-BD79-10E8CFF3B522}"/>
    <cellStyle name="Normal 4 4 2 2 2 2 4 2 4" xfId="20806" xr:uid="{DB51C919-9FF5-429F-829B-C9C74AA140C5}"/>
    <cellStyle name="Normal 4 4 2 2 2 2 4 3" xfId="5996" xr:uid="{00000000-0005-0000-0000-0000D4140000}"/>
    <cellStyle name="Normal 4 4 2 2 2 2 4 3 2" xfId="14438" xr:uid="{CE831EAE-F9D7-4617-B82B-118950417022}"/>
    <cellStyle name="Normal 4 4 2 2 2 2 4 3 3" xfId="22878" xr:uid="{5DC37FC6-7EF1-42A1-90D1-89ACB4756B30}"/>
    <cellStyle name="Normal 4 4 2 2 2 2 4 4" xfId="10220" xr:uid="{10FBCFAE-2767-43FF-95DA-4620A461DDF8}"/>
    <cellStyle name="Normal 4 4 2 2 2 2 4 5" xfId="18661" xr:uid="{EF882C4E-BA35-4869-9887-A7DCED1BD60F}"/>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16996" xr:uid="{1DE576D7-2126-4A99-94A6-00DECA5F321D}"/>
    <cellStyle name="Normal 4 4 2 2 2 2 5 2 2 3" xfId="25436" xr:uid="{31781BDE-1AA3-485A-B9FE-7A47C34E57A6}"/>
    <cellStyle name="Normal 4 4 2 2 2 2 5 2 3" xfId="12778" xr:uid="{C4BFE202-EA11-4A6D-BA36-A8BA4C1BC522}"/>
    <cellStyle name="Normal 4 4 2 2 2 2 5 2 4" xfId="21219" xr:uid="{31FC3C70-D501-4668-B0C8-27DF088DB31D}"/>
    <cellStyle name="Normal 4 4 2 2 2 2 5 3" xfId="6409" xr:uid="{00000000-0005-0000-0000-0000D8140000}"/>
    <cellStyle name="Normal 4 4 2 2 2 2 5 3 2" xfId="14851" xr:uid="{609123CD-0E26-44C9-9160-A99D252F2E2D}"/>
    <cellStyle name="Normal 4 4 2 2 2 2 5 3 3" xfId="23291" xr:uid="{1D2A807C-02C7-411F-B7EE-2D1350A25911}"/>
    <cellStyle name="Normal 4 4 2 2 2 2 5 4" xfId="10633" xr:uid="{89C0370C-DD09-4018-865D-2C543A7C3E53}"/>
    <cellStyle name="Normal 4 4 2 2 2 2 5 5" xfId="19074" xr:uid="{F7FA1730-C3E7-4897-A18C-CCB351AF903A}"/>
    <cellStyle name="Normal 4 4 2 2 2 2 6" xfId="2538" xr:uid="{00000000-0005-0000-0000-0000D9140000}"/>
    <cellStyle name="Normal 4 4 2 2 2 2 6 2" xfId="6822" xr:uid="{00000000-0005-0000-0000-0000DA140000}"/>
    <cellStyle name="Normal 4 4 2 2 2 2 6 2 2" xfId="15264" xr:uid="{4F941364-3DD6-48D7-BC02-6C2E269655CF}"/>
    <cellStyle name="Normal 4 4 2 2 2 2 6 2 3" xfId="23704" xr:uid="{B8FC35D7-50B4-4E6D-9909-361590EA80F9}"/>
    <cellStyle name="Normal 4 4 2 2 2 2 6 3" xfId="11046" xr:uid="{9417AD05-92CD-4EEC-BB81-E4678835813A}"/>
    <cellStyle name="Normal 4 4 2 2 2 2 6 4" xfId="19487" xr:uid="{0F5ABCC5-D17F-4279-9AAD-6BD45F13CE05}"/>
    <cellStyle name="Normal 4 4 2 2 2 2 7" xfId="4757" xr:uid="{00000000-0005-0000-0000-0000DB140000}"/>
    <cellStyle name="Normal 4 4 2 2 2 2 7 2" xfId="13199" xr:uid="{C4EC10CC-7328-4BC0-88EC-DAF1F6427A18}"/>
    <cellStyle name="Normal 4 4 2 2 2 2 7 3" xfId="21639" xr:uid="{7D318357-5FCA-4450-8DED-7C3B8F7CE3D5}"/>
    <cellStyle name="Normal 4 4 2 2 2 2 8" xfId="8981" xr:uid="{41F6B52F-AB3F-4CBC-A3B4-BCC3AAAFEEA2}"/>
    <cellStyle name="Normal 4 4 2 2 2 2 9" xfId="17422" xr:uid="{B81C9A3F-A62A-4A72-B799-96D89B184456}"/>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15756" xr:uid="{97B21A0D-3F87-41BD-82E1-895370049CEF}"/>
    <cellStyle name="Normal 4 4 2 2 2 3 2 2 3" xfId="24196" xr:uid="{998139FB-16BA-4B60-A0AC-1389DA32925C}"/>
    <cellStyle name="Normal 4 4 2 2 2 3 2 3" xfId="11538" xr:uid="{2439AEFC-A7FF-4A32-B1C4-15C4B634D8AE}"/>
    <cellStyle name="Normal 4 4 2 2 2 3 2 4" xfId="19979" xr:uid="{3456FB76-8F15-4CCD-A51D-08FFED0C7A82}"/>
    <cellStyle name="Normal 4 4 2 2 2 3 3" xfId="5169" xr:uid="{00000000-0005-0000-0000-0000DF140000}"/>
    <cellStyle name="Normal 4 4 2 2 2 3 3 2" xfId="13611" xr:uid="{E6C2543B-0DE1-4836-912E-135882EDAF5D}"/>
    <cellStyle name="Normal 4 4 2 2 2 3 3 3" xfId="22051" xr:uid="{A0EB1D16-EED0-43DF-8AD3-AB1DF5E11F54}"/>
    <cellStyle name="Normal 4 4 2 2 2 3 4" xfId="9393" xr:uid="{6D949287-4D63-478B-B4CF-77F4BE93A51F}"/>
    <cellStyle name="Normal 4 4 2 2 2 3 5" xfId="17834" xr:uid="{92F13E3F-3C37-4520-A192-22DA82B0334A}"/>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16169" xr:uid="{C1D4AF90-E902-4318-8A88-C142B82BA17B}"/>
    <cellStyle name="Normal 4 4 2 2 2 4 2 2 3" xfId="24609" xr:uid="{CA146107-9BF2-4568-B0A8-7FF87EE84003}"/>
    <cellStyle name="Normal 4 4 2 2 2 4 2 3" xfId="11951" xr:uid="{D4733764-1BCC-487E-BA18-C6BA7CB2DB8C}"/>
    <cellStyle name="Normal 4 4 2 2 2 4 2 4" xfId="20392" xr:uid="{12812B79-E761-42E7-BC49-698830ECF6F9}"/>
    <cellStyle name="Normal 4 4 2 2 2 4 3" xfId="5582" xr:uid="{00000000-0005-0000-0000-0000E3140000}"/>
    <cellStyle name="Normal 4 4 2 2 2 4 3 2" xfId="14024" xr:uid="{A3F6912A-B270-4AEF-815D-866E96146E12}"/>
    <cellStyle name="Normal 4 4 2 2 2 4 3 3" xfId="22464" xr:uid="{2AD0FE29-4943-40A2-8F86-710506551FCC}"/>
    <cellStyle name="Normal 4 4 2 2 2 4 4" xfId="9806" xr:uid="{64BB7078-0C35-4EFD-97CA-C50011F79793}"/>
    <cellStyle name="Normal 4 4 2 2 2 4 5" xfId="18247" xr:uid="{18422252-7F66-43B1-A4D9-BA8E183B5FA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16582" xr:uid="{739842A3-C462-41DA-BABE-AEF8C494C4D9}"/>
    <cellStyle name="Normal 4 4 2 2 2 5 2 2 3" xfId="25022" xr:uid="{615C35AE-22AF-4EFE-BB5C-F999ED7A46F9}"/>
    <cellStyle name="Normal 4 4 2 2 2 5 2 3" xfId="12364" xr:uid="{AD981FCD-8C34-4C16-B2AA-935B1D43710A}"/>
    <cellStyle name="Normal 4 4 2 2 2 5 2 4" xfId="20805" xr:uid="{1BCABEBB-F0BE-49D9-B157-FD121691F7F8}"/>
    <cellStyle name="Normal 4 4 2 2 2 5 3" xfId="5995" xr:uid="{00000000-0005-0000-0000-0000E7140000}"/>
    <cellStyle name="Normal 4 4 2 2 2 5 3 2" xfId="14437" xr:uid="{26755570-BA95-4DF6-A5AD-36E63C8244A5}"/>
    <cellStyle name="Normal 4 4 2 2 2 5 3 3" xfId="22877" xr:uid="{C91E241A-4337-4BF6-B8D6-7E9007C724B0}"/>
    <cellStyle name="Normal 4 4 2 2 2 5 4" xfId="10219" xr:uid="{91B28498-8E81-46CF-B114-AEDF833996CC}"/>
    <cellStyle name="Normal 4 4 2 2 2 5 5" xfId="18660" xr:uid="{F4765D0D-6618-4790-80D5-DF0A09F439EC}"/>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16995" xr:uid="{20798A28-5C06-4737-9179-4BE463434FFE}"/>
    <cellStyle name="Normal 4 4 2 2 2 6 2 2 3" xfId="25435" xr:uid="{E523F733-9AAE-4AF6-885C-525A3FA025FC}"/>
    <cellStyle name="Normal 4 4 2 2 2 6 2 3" xfId="12777" xr:uid="{1B8D1E5C-9BC5-4308-91F0-805714147E71}"/>
    <cellStyle name="Normal 4 4 2 2 2 6 2 4" xfId="21218" xr:uid="{5229DB1A-B1B5-43DE-8755-68665C6BA6B1}"/>
    <cellStyle name="Normal 4 4 2 2 2 6 3" xfId="6408" xr:uid="{00000000-0005-0000-0000-0000EB140000}"/>
    <cellStyle name="Normal 4 4 2 2 2 6 3 2" xfId="14850" xr:uid="{170150BB-9026-42D1-802D-CE56498B0802}"/>
    <cellStyle name="Normal 4 4 2 2 2 6 3 3" xfId="23290" xr:uid="{FFB974E1-68EA-4174-B9F7-E9786DA5A0AE}"/>
    <cellStyle name="Normal 4 4 2 2 2 6 4" xfId="10632" xr:uid="{A0F328E1-1A90-47B3-AB0E-6ACCF7DF0EF1}"/>
    <cellStyle name="Normal 4 4 2 2 2 6 5" xfId="19073" xr:uid="{55D9622E-EDF9-43C9-8580-78975F10E064}"/>
    <cellStyle name="Normal 4 4 2 2 2 7" xfId="2537" xr:uid="{00000000-0005-0000-0000-0000EC140000}"/>
    <cellStyle name="Normal 4 4 2 2 2 7 2" xfId="6821" xr:uid="{00000000-0005-0000-0000-0000ED140000}"/>
    <cellStyle name="Normal 4 4 2 2 2 7 2 2" xfId="15263" xr:uid="{248C12B5-7672-492F-9292-2697525E4427}"/>
    <cellStyle name="Normal 4 4 2 2 2 7 2 3" xfId="23703" xr:uid="{A3D4A823-E934-4CF4-BC00-1AD073DDA3DB}"/>
    <cellStyle name="Normal 4 4 2 2 2 7 3" xfId="11045" xr:uid="{D353C422-4AD7-4C62-B12E-4EAD912A2933}"/>
    <cellStyle name="Normal 4 4 2 2 2 7 4" xfId="19486" xr:uid="{7F212314-EC30-4652-B94A-46E57957BA67}"/>
    <cellStyle name="Normal 4 4 2 2 2 8" xfId="4756" xr:uid="{00000000-0005-0000-0000-0000EE140000}"/>
    <cellStyle name="Normal 4 4 2 2 2 8 2" xfId="13198" xr:uid="{22547AE6-61EE-4B1A-87C8-C22CE2F3D6BF}"/>
    <cellStyle name="Normal 4 4 2 2 2 8 3" xfId="21638" xr:uid="{2E70BF7A-0A27-4953-BB05-54A69E746494}"/>
    <cellStyle name="Normal 4 4 2 2 2 9" xfId="8980" xr:uid="{318FE890-13E3-4566-AB20-F57DF4EB4CA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15758" xr:uid="{57E85216-D126-4FDF-B36A-69A0E924A361}"/>
    <cellStyle name="Normal 4 4 2 2 3 2 2 2 3" xfId="24198" xr:uid="{B50E06D1-88DB-4E83-8F1B-9DB27E3B5E5A}"/>
    <cellStyle name="Normal 4 4 2 2 3 2 2 3" xfId="11540" xr:uid="{2C3DEC39-C660-4529-B0E9-213B63814D2B}"/>
    <cellStyle name="Normal 4 4 2 2 3 2 2 4" xfId="19981" xr:uid="{0917D6FA-6C51-48C5-8FBF-7691DCAA857B}"/>
    <cellStyle name="Normal 4 4 2 2 3 2 3" xfId="5171" xr:uid="{00000000-0005-0000-0000-0000F3140000}"/>
    <cellStyle name="Normal 4 4 2 2 3 2 3 2" xfId="13613" xr:uid="{8AAC5036-D29C-4850-AF4C-6590DDE71477}"/>
    <cellStyle name="Normal 4 4 2 2 3 2 3 3" xfId="22053" xr:uid="{7CBD7CC8-4512-415B-B15F-13DFD321137A}"/>
    <cellStyle name="Normal 4 4 2 2 3 2 4" xfId="9395" xr:uid="{65BFD251-63CA-4B35-80FD-EE2550FA8BDD}"/>
    <cellStyle name="Normal 4 4 2 2 3 2 5" xfId="17836" xr:uid="{47FB509A-FBB7-417A-AD43-B18685C34712}"/>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16171" xr:uid="{BBE45B60-67BE-4886-9486-61BB804B0CC1}"/>
    <cellStyle name="Normal 4 4 2 2 3 3 2 2 3" xfId="24611" xr:uid="{73A3F262-A276-47DD-8E28-07527395A2BC}"/>
    <cellStyle name="Normal 4 4 2 2 3 3 2 3" xfId="11953" xr:uid="{9E564FAD-8F6C-49D6-852C-2B0960017F90}"/>
    <cellStyle name="Normal 4 4 2 2 3 3 2 4" xfId="20394" xr:uid="{842FAA54-1DD9-49AA-B190-7D23401354CF}"/>
    <cellStyle name="Normal 4 4 2 2 3 3 3" xfId="5584" xr:uid="{00000000-0005-0000-0000-0000F7140000}"/>
    <cellStyle name="Normal 4 4 2 2 3 3 3 2" xfId="14026" xr:uid="{EC65F744-2ABF-4400-B4A1-D9F487B87E62}"/>
    <cellStyle name="Normal 4 4 2 2 3 3 3 3" xfId="22466" xr:uid="{CDC32AE2-49D9-44E2-AAD5-A024F4790C73}"/>
    <cellStyle name="Normal 4 4 2 2 3 3 4" xfId="9808" xr:uid="{18DB54B5-16CA-40D9-834D-B39E7A0B6453}"/>
    <cellStyle name="Normal 4 4 2 2 3 3 5" xfId="18249" xr:uid="{5A21AF01-C31C-4833-92F6-56546310D43D}"/>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16584" xr:uid="{96FF97E8-4977-482F-882B-3387E81690AD}"/>
    <cellStyle name="Normal 4 4 2 2 3 4 2 2 3" xfId="25024" xr:uid="{7A0E0134-3D57-4153-8203-CF309AE07ED1}"/>
    <cellStyle name="Normal 4 4 2 2 3 4 2 3" xfId="12366" xr:uid="{A5E001E9-4536-4D3A-B60E-45714AFCB16B}"/>
    <cellStyle name="Normal 4 4 2 2 3 4 2 4" xfId="20807" xr:uid="{D54F14B2-DE0B-49C3-A1C9-1A351AE57576}"/>
    <cellStyle name="Normal 4 4 2 2 3 4 3" xfId="5997" xr:uid="{00000000-0005-0000-0000-0000FB140000}"/>
    <cellStyle name="Normal 4 4 2 2 3 4 3 2" xfId="14439" xr:uid="{723FF897-226F-4110-896B-602DA956F360}"/>
    <cellStyle name="Normal 4 4 2 2 3 4 3 3" xfId="22879" xr:uid="{715D0CA3-2633-448A-B701-DFA40EADE141}"/>
    <cellStyle name="Normal 4 4 2 2 3 4 4" xfId="10221" xr:uid="{8DFCBC36-9726-4F4D-98DD-38FB12EA3D57}"/>
    <cellStyle name="Normal 4 4 2 2 3 4 5" xfId="18662" xr:uid="{0A3A92C7-FF8E-4B20-80AA-940AFE6B3389}"/>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16997" xr:uid="{190B9D35-4366-49C0-BFD3-28172698E88F}"/>
    <cellStyle name="Normal 4 4 2 2 3 5 2 2 3" xfId="25437" xr:uid="{6FC3D781-78CD-4A41-9EA2-D6A0D5BBE2B4}"/>
    <cellStyle name="Normal 4 4 2 2 3 5 2 3" xfId="12779" xr:uid="{BD89E389-9C15-4B9A-B010-25D512F3B610}"/>
    <cellStyle name="Normal 4 4 2 2 3 5 2 4" xfId="21220" xr:uid="{998A0680-CA94-4E40-9120-B2812AE910E3}"/>
    <cellStyle name="Normal 4 4 2 2 3 5 3" xfId="6410" xr:uid="{00000000-0005-0000-0000-0000FF140000}"/>
    <cellStyle name="Normal 4 4 2 2 3 5 3 2" xfId="14852" xr:uid="{ECB926B4-E55D-490A-8A32-13C9F5EBCE89}"/>
    <cellStyle name="Normal 4 4 2 2 3 5 3 3" xfId="23292" xr:uid="{344444E4-016B-4DDF-A264-51C39F1CC877}"/>
    <cellStyle name="Normal 4 4 2 2 3 5 4" xfId="10634" xr:uid="{12919183-2AD5-46B2-9E9B-8C1B45EDCDAC}"/>
    <cellStyle name="Normal 4 4 2 2 3 5 5" xfId="19075" xr:uid="{5D69CC35-F007-4ED0-A3D5-19AEA1CB81D9}"/>
    <cellStyle name="Normal 4 4 2 2 3 6" xfId="2539" xr:uid="{00000000-0005-0000-0000-000000150000}"/>
    <cellStyle name="Normal 4 4 2 2 3 6 2" xfId="6823" xr:uid="{00000000-0005-0000-0000-000001150000}"/>
    <cellStyle name="Normal 4 4 2 2 3 6 2 2" xfId="15265" xr:uid="{65F8E29A-5673-41A6-BBA4-25BF8215D0E6}"/>
    <cellStyle name="Normal 4 4 2 2 3 6 2 3" xfId="23705" xr:uid="{B399AA1A-3D9A-4CDF-BA92-D93E0D1ED1F3}"/>
    <cellStyle name="Normal 4 4 2 2 3 6 3" xfId="11047" xr:uid="{04E21B0A-0639-4300-91A1-16B1AC02BDFF}"/>
    <cellStyle name="Normal 4 4 2 2 3 6 4" xfId="19488" xr:uid="{A5023219-7135-4719-8385-3276461AF9C1}"/>
    <cellStyle name="Normal 4 4 2 2 3 7" xfId="4758" xr:uid="{00000000-0005-0000-0000-000002150000}"/>
    <cellStyle name="Normal 4 4 2 2 3 7 2" xfId="13200" xr:uid="{6F3CD68E-B313-43E4-93FA-ADA74535FC4B}"/>
    <cellStyle name="Normal 4 4 2 2 3 7 3" xfId="21640" xr:uid="{325E9B19-E64D-4618-B828-17D5E5CE9BAA}"/>
    <cellStyle name="Normal 4 4 2 2 3 8" xfId="8982" xr:uid="{C082C713-8682-4120-8524-5E6695624609}"/>
    <cellStyle name="Normal 4 4 2 2 3 9" xfId="17423" xr:uid="{AEB2A416-996F-4E9A-A1C2-E268EDF75072}"/>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15755" xr:uid="{C8E6CD88-6E92-4985-81F6-77E6D0257B88}"/>
    <cellStyle name="Normal 4 4 2 2 4 2 2 3" xfId="24195" xr:uid="{2682CCA2-E671-4FE4-9983-46F6A2681F5A}"/>
    <cellStyle name="Normal 4 4 2 2 4 2 3" xfId="11537" xr:uid="{13575054-DE10-4908-9AC3-8174EA0188C9}"/>
    <cellStyle name="Normal 4 4 2 2 4 2 4" xfId="19978" xr:uid="{2D474A22-BDB8-47CF-96C1-6A3E6861C81D}"/>
    <cellStyle name="Normal 4 4 2 2 4 3" xfId="5168" xr:uid="{00000000-0005-0000-0000-000006150000}"/>
    <cellStyle name="Normal 4 4 2 2 4 3 2" xfId="13610" xr:uid="{785D8413-2541-41AD-9293-9A3F93A43E9A}"/>
    <cellStyle name="Normal 4 4 2 2 4 3 3" xfId="22050" xr:uid="{DB65983C-1353-4E9C-B2E2-0A04AEA310FD}"/>
    <cellStyle name="Normal 4 4 2 2 4 4" xfId="9392" xr:uid="{B4C5CD41-C693-40EC-8EF8-E8BE3FCD61A4}"/>
    <cellStyle name="Normal 4 4 2 2 4 5" xfId="17833" xr:uid="{7AC70C59-CA94-4938-A2C2-082D2C7C1B93}"/>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16168" xr:uid="{1C18952B-0459-4C78-BAB5-4BC024FF222B}"/>
    <cellStyle name="Normal 4 4 2 2 5 2 2 3" xfId="24608" xr:uid="{55F2BCC5-67AD-4873-A7BC-4A2A01DCAE4A}"/>
    <cellStyle name="Normal 4 4 2 2 5 2 3" xfId="11950" xr:uid="{4F129B26-209A-4FB3-93C1-9B350460F8C3}"/>
    <cellStyle name="Normal 4 4 2 2 5 2 4" xfId="20391" xr:uid="{9CC18695-0091-455C-9C80-14E54B140139}"/>
    <cellStyle name="Normal 4 4 2 2 5 3" xfId="5581" xr:uid="{00000000-0005-0000-0000-00000A150000}"/>
    <cellStyle name="Normal 4 4 2 2 5 3 2" xfId="14023" xr:uid="{CE35F12C-F05D-4389-8506-7E8C29B0119F}"/>
    <cellStyle name="Normal 4 4 2 2 5 3 3" xfId="22463" xr:uid="{EBA2933A-0436-48CC-A7C3-E473F6824D4E}"/>
    <cellStyle name="Normal 4 4 2 2 5 4" xfId="9805" xr:uid="{71CB7CA4-E78C-49A0-8021-C62A529EF4B7}"/>
    <cellStyle name="Normal 4 4 2 2 5 5" xfId="18246" xr:uid="{E53E48FF-74F5-47AE-9577-B25ADD039A9F}"/>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16581" xr:uid="{FE771FE9-6252-41D1-BF4C-FAEEA2A2FEAA}"/>
    <cellStyle name="Normal 4 4 2 2 6 2 2 3" xfId="25021" xr:uid="{CF4D45F0-F237-4DA0-A626-6BFDC8079A02}"/>
    <cellStyle name="Normal 4 4 2 2 6 2 3" xfId="12363" xr:uid="{D97E78D1-B2BC-476D-ACA0-E37F9F65DA8B}"/>
    <cellStyle name="Normal 4 4 2 2 6 2 4" xfId="20804" xr:uid="{67602075-94E0-400C-942B-835BFF0DD3DE}"/>
    <cellStyle name="Normal 4 4 2 2 6 3" xfId="5994" xr:uid="{00000000-0005-0000-0000-00000E150000}"/>
    <cellStyle name="Normal 4 4 2 2 6 3 2" xfId="14436" xr:uid="{8650C4A0-69FA-4171-9BF3-76A4FA34150E}"/>
    <cellStyle name="Normal 4 4 2 2 6 3 3" xfId="22876" xr:uid="{2FEC1AB8-AD5B-45D0-955B-C91AE44F770F}"/>
    <cellStyle name="Normal 4 4 2 2 6 4" xfId="10218" xr:uid="{031C5671-3388-4C50-991E-04030E99BFF5}"/>
    <cellStyle name="Normal 4 4 2 2 6 5" xfId="18659" xr:uid="{A3BAE912-D443-45BC-82D8-606F8DFC65E4}"/>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16994" xr:uid="{C12CC27F-A7A3-4211-9940-88F8E5C47E0D}"/>
    <cellStyle name="Normal 4 4 2 2 7 2 2 3" xfId="25434" xr:uid="{3591681B-A74A-4E47-9CDF-8FE590BE473B}"/>
    <cellStyle name="Normal 4 4 2 2 7 2 3" xfId="12776" xr:uid="{F3E8715F-88F2-40BA-A1E9-769BDDCD8E45}"/>
    <cellStyle name="Normal 4 4 2 2 7 2 4" xfId="21217" xr:uid="{718B130F-097F-42AF-8430-ABF265EF9896}"/>
    <cellStyle name="Normal 4 4 2 2 7 3" xfId="6407" xr:uid="{00000000-0005-0000-0000-000012150000}"/>
    <cellStyle name="Normal 4 4 2 2 7 3 2" xfId="14849" xr:uid="{3B249D97-4C0C-4845-9383-DC76160AA618}"/>
    <cellStyle name="Normal 4 4 2 2 7 3 3" xfId="23289" xr:uid="{DAFD13B4-0F34-4594-8787-2228DDD27B12}"/>
    <cellStyle name="Normal 4 4 2 2 7 4" xfId="10631" xr:uid="{AC533667-4191-4765-81B7-8DDFB9A778AF}"/>
    <cellStyle name="Normal 4 4 2 2 7 5" xfId="19072" xr:uid="{D1C10E8D-CDB1-44F8-9F8E-11E43A0C7508}"/>
    <cellStyle name="Normal 4 4 2 2 8" xfId="2536" xr:uid="{00000000-0005-0000-0000-000013150000}"/>
    <cellStyle name="Normal 4 4 2 2 8 2" xfId="6820" xr:uid="{00000000-0005-0000-0000-000014150000}"/>
    <cellStyle name="Normal 4 4 2 2 8 2 2" xfId="15262" xr:uid="{D49A09F8-6A6C-45B1-BFF5-D03D0FA687BC}"/>
    <cellStyle name="Normal 4 4 2 2 8 2 3" xfId="23702" xr:uid="{033FF05E-0004-4991-A542-2A0562F6A2EA}"/>
    <cellStyle name="Normal 4 4 2 2 8 3" xfId="11044" xr:uid="{A7DB70C6-8741-4533-A340-87A6F32691BA}"/>
    <cellStyle name="Normal 4 4 2 2 8 4" xfId="19485" xr:uid="{67623136-BF6C-4A12-99CD-FCCA9E810FF5}"/>
    <cellStyle name="Normal 4 4 2 2 9" xfId="4755" xr:uid="{00000000-0005-0000-0000-000015150000}"/>
    <cellStyle name="Normal 4 4 2 2 9 2" xfId="13197" xr:uid="{860F7FBF-ECE0-4AD9-BE1C-A51D28189B94}"/>
    <cellStyle name="Normal 4 4 2 2 9 3" xfId="21637" xr:uid="{E22D0FCE-361C-460A-8C15-EA775E26E5A7}"/>
    <cellStyle name="Normal 4 4 2 3" xfId="384" xr:uid="{00000000-0005-0000-0000-000016150000}"/>
    <cellStyle name="Normal 4 4 2 3 10" xfId="17424" xr:uid="{B63AA5E5-C0B0-4C96-8912-D7C5F75A5EBC}"/>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15760" xr:uid="{42891C44-B182-4DE0-8CE5-17877E77E5D8}"/>
    <cellStyle name="Normal 4 4 2 3 2 2 2 2 3" xfId="24200" xr:uid="{DA92ACB6-C48E-4F17-9592-19112F4BD0D1}"/>
    <cellStyle name="Normal 4 4 2 3 2 2 2 3" xfId="11542" xr:uid="{E3D517F2-B9CB-44E2-B0F2-37BEBA00E20F}"/>
    <cellStyle name="Normal 4 4 2 3 2 2 2 4" xfId="19983" xr:uid="{56D8A278-5461-421B-B423-97888B533407}"/>
    <cellStyle name="Normal 4 4 2 3 2 2 3" xfId="5173" xr:uid="{00000000-0005-0000-0000-00001B150000}"/>
    <cellStyle name="Normal 4 4 2 3 2 2 3 2" xfId="13615" xr:uid="{5C5AA4E9-89A6-4136-A098-DB7953FEA870}"/>
    <cellStyle name="Normal 4 4 2 3 2 2 3 3" xfId="22055" xr:uid="{BB3D5B8B-DE9B-40D7-A258-6B2FB34F5C1A}"/>
    <cellStyle name="Normal 4 4 2 3 2 2 4" xfId="9397" xr:uid="{7783F752-69D1-48E7-BF42-3928FCBB4601}"/>
    <cellStyle name="Normal 4 4 2 3 2 2 5" xfId="17838" xr:uid="{7698F81B-5F0B-4170-A278-51352A9BC913}"/>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16173" xr:uid="{3D471676-D87E-441B-B23F-DEADEABB7B89}"/>
    <cellStyle name="Normal 4 4 2 3 2 3 2 2 3" xfId="24613" xr:uid="{2ED5A747-19BE-41D3-9037-C38D1D3BF8A7}"/>
    <cellStyle name="Normal 4 4 2 3 2 3 2 3" xfId="11955" xr:uid="{FC2AEFB4-3433-4942-8E93-D427EA45C2A4}"/>
    <cellStyle name="Normal 4 4 2 3 2 3 2 4" xfId="20396" xr:uid="{5E7343A4-8D64-4A90-8CDE-744F8F96C608}"/>
    <cellStyle name="Normal 4 4 2 3 2 3 3" xfId="5586" xr:uid="{00000000-0005-0000-0000-00001F150000}"/>
    <cellStyle name="Normal 4 4 2 3 2 3 3 2" xfId="14028" xr:uid="{D1A90363-37C5-40E3-86E3-65E6867B0E2E}"/>
    <cellStyle name="Normal 4 4 2 3 2 3 3 3" xfId="22468" xr:uid="{6C620E4E-AB40-4933-9FAA-71A66666EB32}"/>
    <cellStyle name="Normal 4 4 2 3 2 3 4" xfId="9810" xr:uid="{D4B68D58-F258-4DF6-BAB1-178F728E5077}"/>
    <cellStyle name="Normal 4 4 2 3 2 3 5" xfId="18251" xr:uid="{A360A7F7-D404-48C6-BCE3-999DA4816F8C}"/>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16586" xr:uid="{F39F4323-65FF-42A9-8D96-BAEC9ACFAD0D}"/>
    <cellStyle name="Normal 4 4 2 3 2 4 2 2 3" xfId="25026" xr:uid="{551251BC-E256-4A7C-BBF6-035770953B71}"/>
    <cellStyle name="Normal 4 4 2 3 2 4 2 3" xfId="12368" xr:uid="{6C22E08F-1CE8-47A8-B53F-980AEAA4E0D6}"/>
    <cellStyle name="Normal 4 4 2 3 2 4 2 4" xfId="20809" xr:uid="{819D169F-F7CE-4E09-83B1-9F32DD36C1D5}"/>
    <cellStyle name="Normal 4 4 2 3 2 4 3" xfId="5999" xr:uid="{00000000-0005-0000-0000-000023150000}"/>
    <cellStyle name="Normal 4 4 2 3 2 4 3 2" xfId="14441" xr:uid="{0657F5F3-E107-4C94-A0D2-2BA71F80B976}"/>
    <cellStyle name="Normal 4 4 2 3 2 4 3 3" xfId="22881" xr:uid="{1185B452-9B0E-437B-B26E-E622A621C9FA}"/>
    <cellStyle name="Normal 4 4 2 3 2 4 4" xfId="10223" xr:uid="{531F4913-BBDC-4961-9B9D-B057A7BC145C}"/>
    <cellStyle name="Normal 4 4 2 3 2 4 5" xfId="18664" xr:uid="{E69C652C-D81E-46B4-950E-7261770C37F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16999" xr:uid="{DD4DF07E-5A33-4648-BC40-5BC892C629A5}"/>
    <cellStyle name="Normal 4 4 2 3 2 5 2 2 3" xfId="25439" xr:uid="{48ECA762-D67D-4E20-9964-97543B882F4C}"/>
    <cellStyle name="Normal 4 4 2 3 2 5 2 3" xfId="12781" xr:uid="{B623389B-6BF4-4AF5-B875-C6EE8D348914}"/>
    <cellStyle name="Normal 4 4 2 3 2 5 2 4" xfId="21222" xr:uid="{7332F9E8-6EC4-4AD0-BDB6-D303C8304C09}"/>
    <cellStyle name="Normal 4 4 2 3 2 5 3" xfId="6412" xr:uid="{00000000-0005-0000-0000-000027150000}"/>
    <cellStyle name="Normal 4 4 2 3 2 5 3 2" xfId="14854" xr:uid="{341D68F0-BF04-4BC0-BF89-45702F2B5F49}"/>
    <cellStyle name="Normal 4 4 2 3 2 5 3 3" xfId="23294" xr:uid="{A8EE2028-AD21-4840-8408-F30FCC0528DB}"/>
    <cellStyle name="Normal 4 4 2 3 2 5 4" xfId="10636" xr:uid="{D06B93F7-F55E-41DE-A3B4-7CBB5BD21DBF}"/>
    <cellStyle name="Normal 4 4 2 3 2 5 5" xfId="19077" xr:uid="{B53EABDA-6BAA-4772-98F8-823C8CE1C142}"/>
    <cellStyle name="Normal 4 4 2 3 2 6" xfId="2541" xr:uid="{00000000-0005-0000-0000-000028150000}"/>
    <cellStyle name="Normal 4 4 2 3 2 6 2" xfId="6825" xr:uid="{00000000-0005-0000-0000-000029150000}"/>
    <cellStyle name="Normal 4 4 2 3 2 6 2 2" xfId="15267" xr:uid="{A2B227FF-5E25-423E-976E-D9C645952AB0}"/>
    <cellStyle name="Normal 4 4 2 3 2 6 2 3" xfId="23707" xr:uid="{0B536FEC-DD65-46D3-ACE2-F45C058CCEB8}"/>
    <cellStyle name="Normal 4 4 2 3 2 6 3" xfId="11049" xr:uid="{606B1600-BD7B-4429-83AC-D33FA9B96E7B}"/>
    <cellStyle name="Normal 4 4 2 3 2 6 4" xfId="19490" xr:uid="{267311A1-A2E0-4152-9906-8F2AEF79A15C}"/>
    <cellStyle name="Normal 4 4 2 3 2 7" xfId="4760" xr:uid="{00000000-0005-0000-0000-00002A150000}"/>
    <cellStyle name="Normal 4 4 2 3 2 7 2" xfId="13202" xr:uid="{46C128A0-286D-4925-BB6C-E52CF94DA97E}"/>
    <cellStyle name="Normal 4 4 2 3 2 7 3" xfId="21642" xr:uid="{8EB81DFF-E2EB-47F9-A30C-CD2305671C26}"/>
    <cellStyle name="Normal 4 4 2 3 2 8" xfId="8984" xr:uid="{59A21BB0-16C4-4ADE-AE98-DDDEA73466EF}"/>
    <cellStyle name="Normal 4 4 2 3 2 9" xfId="17425" xr:uid="{A057A165-B1F0-4812-B351-7B01C059C869}"/>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15759" xr:uid="{ED7EE1B2-AFB2-4BE0-8552-3BDF1D72670C}"/>
    <cellStyle name="Normal 4 4 2 3 3 2 2 3" xfId="24199" xr:uid="{2E847543-2207-403E-8C9F-7BDADD69E881}"/>
    <cellStyle name="Normal 4 4 2 3 3 2 3" xfId="11541" xr:uid="{46B66629-1AD5-4D3E-880F-D5503ADB4814}"/>
    <cellStyle name="Normal 4 4 2 3 3 2 4" xfId="19982" xr:uid="{FEFE5E76-3E85-4A2B-A562-1FB0729BA886}"/>
    <cellStyle name="Normal 4 4 2 3 3 3" xfId="5172" xr:uid="{00000000-0005-0000-0000-00002E150000}"/>
    <cellStyle name="Normal 4 4 2 3 3 3 2" xfId="13614" xr:uid="{36EEAA9A-6EC5-4187-BBDF-33118E10C31E}"/>
    <cellStyle name="Normal 4 4 2 3 3 3 3" xfId="22054" xr:uid="{B3CA9244-C05F-4F96-BA94-5AC2B64693DC}"/>
    <cellStyle name="Normal 4 4 2 3 3 4" xfId="9396" xr:uid="{DF06637F-A6DB-4CA4-962F-309EB7FC69D6}"/>
    <cellStyle name="Normal 4 4 2 3 3 5" xfId="17837" xr:uid="{AC73F109-E1EB-484A-95E8-8C658EFED1BC}"/>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16172" xr:uid="{BADA9558-47EC-4DCB-BBE8-E5DC252D26C4}"/>
    <cellStyle name="Normal 4 4 2 3 4 2 2 3" xfId="24612" xr:uid="{261B4788-A56F-4314-90D4-7229396988EC}"/>
    <cellStyle name="Normal 4 4 2 3 4 2 3" xfId="11954" xr:uid="{DFBDFF65-C47B-49EC-872E-A05976FB6DE1}"/>
    <cellStyle name="Normal 4 4 2 3 4 2 4" xfId="20395" xr:uid="{7B799F8C-245C-48C5-802A-5AB4271D7DFF}"/>
    <cellStyle name="Normal 4 4 2 3 4 3" xfId="5585" xr:uid="{00000000-0005-0000-0000-000032150000}"/>
    <cellStyle name="Normal 4 4 2 3 4 3 2" xfId="14027" xr:uid="{7B55ECE7-47C5-43D1-A519-CC65B5999924}"/>
    <cellStyle name="Normal 4 4 2 3 4 3 3" xfId="22467" xr:uid="{F09631B3-D122-4C01-A3FF-44FF83AA3D58}"/>
    <cellStyle name="Normal 4 4 2 3 4 4" xfId="9809" xr:uid="{C2A63778-A302-4228-90BA-2B5DCA64C54E}"/>
    <cellStyle name="Normal 4 4 2 3 4 5" xfId="18250" xr:uid="{507614E7-E3E7-4C29-AD9F-535767AA6071}"/>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16585" xr:uid="{062115DA-6C1B-4175-B5CF-97B3B853A67A}"/>
    <cellStyle name="Normal 4 4 2 3 5 2 2 3" xfId="25025" xr:uid="{B414D6FA-5806-4C1F-B46B-56D70A704E3A}"/>
    <cellStyle name="Normal 4 4 2 3 5 2 3" xfId="12367" xr:uid="{D0D9BD59-A304-4AD7-81B3-22BF00184820}"/>
    <cellStyle name="Normal 4 4 2 3 5 2 4" xfId="20808" xr:uid="{652C03BF-CEB8-4851-BA16-79F2FAE25F1B}"/>
    <cellStyle name="Normal 4 4 2 3 5 3" xfId="5998" xr:uid="{00000000-0005-0000-0000-000036150000}"/>
    <cellStyle name="Normal 4 4 2 3 5 3 2" xfId="14440" xr:uid="{314851CD-7F5A-42EA-B7B0-FE827F770523}"/>
    <cellStyle name="Normal 4 4 2 3 5 3 3" xfId="22880" xr:uid="{1D3F051E-DE28-4028-8A5C-5439FC599D90}"/>
    <cellStyle name="Normal 4 4 2 3 5 4" xfId="10222" xr:uid="{3D40C9FB-45E4-4F25-8883-17289D68D6E4}"/>
    <cellStyle name="Normal 4 4 2 3 5 5" xfId="18663" xr:uid="{79192015-FD1A-4744-835A-3114125B668F}"/>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16998" xr:uid="{D39F3961-B973-40F8-ABE5-1C1CF59BE784}"/>
    <cellStyle name="Normal 4 4 2 3 6 2 2 3" xfId="25438" xr:uid="{741AA586-0420-4452-A319-4A7F1555D19D}"/>
    <cellStyle name="Normal 4 4 2 3 6 2 3" xfId="12780" xr:uid="{D73D49CA-B629-4BFF-B972-E2A582DA87C8}"/>
    <cellStyle name="Normal 4 4 2 3 6 2 4" xfId="21221" xr:uid="{338666F3-AC94-44A6-84B4-5A82D1D2A2F3}"/>
    <cellStyle name="Normal 4 4 2 3 6 3" xfId="6411" xr:uid="{00000000-0005-0000-0000-00003A150000}"/>
    <cellStyle name="Normal 4 4 2 3 6 3 2" xfId="14853" xr:uid="{DB4AE857-17E6-4F1C-8FC8-C8BECA5B9789}"/>
    <cellStyle name="Normal 4 4 2 3 6 3 3" xfId="23293" xr:uid="{18AF27AB-C3CA-454D-AECD-D0FB95621C93}"/>
    <cellStyle name="Normal 4 4 2 3 6 4" xfId="10635" xr:uid="{F4007D16-13C9-4FF0-8AFB-608771E0CBEA}"/>
    <cellStyle name="Normal 4 4 2 3 6 5" xfId="19076" xr:uid="{62A15CB2-5509-4F84-9A93-18F365201D8E}"/>
    <cellStyle name="Normal 4 4 2 3 7" xfId="2540" xr:uid="{00000000-0005-0000-0000-00003B150000}"/>
    <cellStyle name="Normal 4 4 2 3 7 2" xfId="6824" xr:uid="{00000000-0005-0000-0000-00003C150000}"/>
    <cellStyle name="Normal 4 4 2 3 7 2 2" xfId="15266" xr:uid="{A8799519-B1A9-4E9D-B11E-ABF9C7184B0B}"/>
    <cellStyle name="Normal 4 4 2 3 7 2 3" xfId="23706" xr:uid="{EC17C248-B7FE-4236-A5E9-D86D6AFFEAD5}"/>
    <cellStyle name="Normal 4 4 2 3 7 3" xfId="11048" xr:uid="{360080D2-BFD9-4CFA-BEC3-D9B752009A49}"/>
    <cellStyle name="Normal 4 4 2 3 7 4" xfId="19489" xr:uid="{FE34DDA1-AE48-4618-8843-B2FD5B6F77F7}"/>
    <cellStyle name="Normal 4 4 2 3 8" xfId="4759" xr:uid="{00000000-0005-0000-0000-00003D150000}"/>
    <cellStyle name="Normal 4 4 2 3 8 2" xfId="13201" xr:uid="{676EA611-C2F0-4363-9959-04F3303DFEED}"/>
    <cellStyle name="Normal 4 4 2 3 8 3" xfId="21641" xr:uid="{B67D7251-8C1A-4A15-AE8C-1C3308BCA3AF}"/>
    <cellStyle name="Normal 4 4 2 3 9" xfId="8983" xr:uid="{F8A14163-2EF6-45CD-AD3E-5CACE0245192}"/>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15761" xr:uid="{63AC0B48-0DA2-435B-8CC4-0CF52DF18D9C}"/>
    <cellStyle name="Normal 4 4 2 4 2 2 2 3" xfId="24201" xr:uid="{924DEC5D-9818-4412-B38B-9BE2CD6B9DD3}"/>
    <cellStyle name="Normal 4 4 2 4 2 2 3" xfId="11543" xr:uid="{D29ADEA5-6E5E-4E6A-AC32-6EC605C1BC51}"/>
    <cellStyle name="Normal 4 4 2 4 2 2 4" xfId="19984" xr:uid="{982B04FE-997F-4235-9975-FA7ED6F331C8}"/>
    <cellStyle name="Normal 4 4 2 4 2 3" xfId="5174" xr:uid="{00000000-0005-0000-0000-000042150000}"/>
    <cellStyle name="Normal 4 4 2 4 2 3 2" xfId="13616" xr:uid="{2D866D2C-11E4-4599-A44E-CB1855D0C88D}"/>
    <cellStyle name="Normal 4 4 2 4 2 3 3" xfId="22056" xr:uid="{60087283-C7B0-4807-A92C-F9C966E1DEC5}"/>
    <cellStyle name="Normal 4 4 2 4 2 4" xfId="9398" xr:uid="{8604E5EA-845F-4FC2-B0C5-0EE1AC9B1D89}"/>
    <cellStyle name="Normal 4 4 2 4 2 5" xfId="17839" xr:uid="{00EDED13-6CDA-4346-9D5D-D626A23BBFAF}"/>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16174" xr:uid="{CEBE9495-4809-4398-90C0-60A9BA0E998B}"/>
    <cellStyle name="Normal 4 4 2 4 3 2 2 3" xfId="24614" xr:uid="{339D4D19-9FEC-40D6-88BC-38B5EC67EE32}"/>
    <cellStyle name="Normal 4 4 2 4 3 2 3" xfId="11956" xr:uid="{6C2A7448-9419-4D99-97D8-3F5A6E6742CA}"/>
    <cellStyle name="Normal 4 4 2 4 3 2 4" xfId="20397" xr:uid="{E3E08D9E-D341-4B10-B082-35231905589F}"/>
    <cellStyle name="Normal 4 4 2 4 3 3" xfId="5587" xr:uid="{00000000-0005-0000-0000-000046150000}"/>
    <cellStyle name="Normal 4 4 2 4 3 3 2" xfId="14029" xr:uid="{91DB46CB-D5B2-4461-8401-009A16313C9E}"/>
    <cellStyle name="Normal 4 4 2 4 3 3 3" xfId="22469" xr:uid="{9C38811F-68B4-4EAB-B0C9-07AC3AB8C123}"/>
    <cellStyle name="Normal 4 4 2 4 3 4" xfId="9811" xr:uid="{7F8F0519-A242-46A1-A888-895899250E98}"/>
    <cellStyle name="Normal 4 4 2 4 3 5" xfId="18252" xr:uid="{8A024F3E-B526-4515-9EE5-247B66C81836}"/>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16587" xr:uid="{2CC5AF9F-75EC-45CB-8B47-36CD1F3CC557}"/>
    <cellStyle name="Normal 4 4 2 4 4 2 2 3" xfId="25027" xr:uid="{EC0C09C2-081A-4F39-9008-629A0242FE39}"/>
    <cellStyle name="Normal 4 4 2 4 4 2 3" xfId="12369" xr:uid="{9E7852EB-D3D9-43B3-A3DB-C6376211BA20}"/>
    <cellStyle name="Normal 4 4 2 4 4 2 4" xfId="20810" xr:uid="{1B0FD966-A303-4DAF-9BA9-79456F8F5646}"/>
    <cellStyle name="Normal 4 4 2 4 4 3" xfId="6000" xr:uid="{00000000-0005-0000-0000-00004A150000}"/>
    <cellStyle name="Normal 4 4 2 4 4 3 2" xfId="14442" xr:uid="{024073AC-BAAD-4123-AA4E-93DC9C1613C6}"/>
    <cellStyle name="Normal 4 4 2 4 4 3 3" xfId="22882" xr:uid="{F9CB1B22-8915-4323-9C03-A6415490720B}"/>
    <cellStyle name="Normal 4 4 2 4 4 4" xfId="10224" xr:uid="{A283DC48-20E6-44E9-A1C7-D67BA8FAD103}"/>
    <cellStyle name="Normal 4 4 2 4 4 5" xfId="18665" xr:uid="{5F4610B6-4886-4D82-869D-340AC8FA6FC4}"/>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17000" xr:uid="{22038425-F4D9-492E-9E7B-2BA2B914BE33}"/>
    <cellStyle name="Normal 4 4 2 4 5 2 2 3" xfId="25440" xr:uid="{967D9AA2-DE55-419F-9898-BC3EFC586567}"/>
    <cellStyle name="Normal 4 4 2 4 5 2 3" xfId="12782" xr:uid="{02ED186C-568B-44C5-907A-697DD4C61DB9}"/>
    <cellStyle name="Normal 4 4 2 4 5 2 4" xfId="21223" xr:uid="{90FFD2C6-0691-48D1-8620-53DFDEB09477}"/>
    <cellStyle name="Normal 4 4 2 4 5 3" xfId="6413" xr:uid="{00000000-0005-0000-0000-00004E150000}"/>
    <cellStyle name="Normal 4 4 2 4 5 3 2" xfId="14855" xr:uid="{094BEF90-1AB3-4BD9-8014-CC076BED3DF5}"/>
    <cellStyle name="Normal 4 4 2 4 5 3 3" xfId="23295" xr:uid="{A6D7B959-32FC-4D53-9465-7D992E7E25D7}"/>
    <cellStyle name="Normal 4 4 2 4 5 4" xfId="10637" xr:uid="{891D570F-42F9-4A61-A255-C2113B7A7692}"/>
    <cellStyle name="Normal 4 4 2 4 5 5" xfId="19078" xr:uid="{241471B5-5354-4755-A0B9-A17AD3880F0C}"/>
    <cellStyle name="Normal 4 4 2 4 6" xfId="2542" xr:uid="{00000000-0005-0000-0000-00004F150000}"/>
    <cellStyle name="Normal 4 4 2 4 6 2" xfId="6826" xr:uid="{00000000-0005-0000-0000-000050150000}"/>
    <cellStyle name="Normal 4 4 2 4 6 2 2" xfId="15268" xr:uid="{EDB00DA9-2645-4974-BF82-A4D59B35BC17}"/>
    <cellStyle name="Normal 4 4 2 4 6 2 3" xfId="23708" xr:uid="{2218FF69-8323-4DD1-9E58-81EB700AE46D}"/>
    <cellStyle name="Normal 4 4 2 4 6 3" xfId="11050" xr:uid="{E0F9C8B7-B646-4C93-A189-DFE071A0BBC1}"/>
    <cellStyle name="Normal 4 4 2 4 6 4" xfId="19491" xr:uid="{8A27783D-3F0E-494A-971F-0FF6A7AB4F9D}"/>
    <cellStyle name="Normal 4 4 2 4 7" xfId="4761" xr:uid="{00000000-0005-0000-0000-000051150000}"/>
    <cellStyle name="Normal 4 4 2 4 7 2" xfId="13203" xr:uid="{345D68AC-7442-492E-A106-483C4023F763}"/>
    <cellStyle name="Normal 4 4 2 4 7 3" xfId="21643" xr:uid="{2F91F5FE-4F7C-4F6B-8C29-5970F5063DC8}"/>
    <cellStyle name="Normal 4 4 2 4 8" xfId="8985" xr:uid="{30CAAD1A-38D9-4DD4-9270-CE8D766484C0}"/>
    <cellStyle name="Normal 4 4 2 4 9" xfId="17426" xr:uid="{5647D033-5D9E-4C48-8DBE-ABCACBBA7375}"/>
    <cellStyle name="Normal 4 4 2 5" xfId="854" xr:uid="{00000000-0005-0000-0000-000052150000}"/>
    <cellStyle name="Normal 4 4 2 5 2" xfId="3089" xr:uid="{00000000-0005-0000-0000-000053150000}"/>
    <cellStyle name="Normal 4 4 2 5 2 2" xfId="7312" xr:uid="{00000000-0005-0000-0000-000054150000}"/>
    <cellStyle name="Normal 4 4 2 5 2 2 2" xfId="15754" xr:uid="{6E5482C1-AEBD-45EF-83F6-911DB079737E}"/>
    <cellStyle name="Normal 4 4 2 5 2 2 3" xfId="24194" xr:uid="{6D548AF1-101E-410A-854F-C7D872A47E35}"/>
    <cellStyle name="Normal 4 4 2 5 2 3" xfId="11536" xr:uid="{4A06EACF-02F9-4561-AE1A-5B1EDE66A244}"/>
    <cellStyle name="Normal 4 4 2 5 2 4" xfId="19977" xr:uid="{DB31C843-EFA1-4291-B4D2-3A4141D4CC9A}"/>
    <cellStyle name="Normal 4 4 2 5 3" xfId="5167" xr:uid="{00000000-0005-0000-0000-000055150000}"/>
    <cellStyle name="Normal 4 4 2 5 3 2" xfId="13609" xr:uid="{94B699ED-6CDD-418F-A3F5-0C20EE22F7C3}"/>
    <cellStyle name="Normal 4 4 2 5 3 3" xfId="22049" xr:uid="{0F8F0A81-063E-476C-8562-3F5FF7F43231}"/>
    <cellStyle name="Normal 4 4 2 5 4" xfId="9391" xr:uid="{32A83EB9-7BBF-4D35-99F4-BFE9ABE2F555}"/>
    <cellStyle name="Normal 4 4 2 5 5" xfId="17832" xr:uid="{0027129F-F113-4615-BAD2-EE920827C81E}"/>
    <cellStyle name="Normal 4 4 2 6" xfId="1272" xr:uid="{00000000-0005-0000-0000-000056150000}"/>
    <cellStyle name="Normal 4 4 2 6 2" xfId="3502" xr:uid="{00000000-0005-0000-0000-000057150000}"/>
    <cellStyle name="Normal 4 4 2 6 2 2" xfId="7725" xr:uid="{00000000-0005-0000-0000-000058150000}"/>
    <cellStyle name="Normal 4 4 2 6 2 2 2" xfId="16167" xr:uid="{1CD7AF78-E503-444C-BA43-18B2715255AE}"/>
    <cellStyle name="Normal 4 4 2 6 2 2 3" xfId="24607" xr:uid="{43A1BD0A-C750-45F6-AF60-C321806B97C7}"/>
    <cellStyle name="Normal 4 4 2 6 2 3" xfId="11949" xr:uid="{E78B035B-E261-4008-81A9-467BBE33C233}"/>
    <cellStyle name="Normal 4 4 2 6 2 4" xfId="20390" xr:uid="{3DE8D845-AE0B-4CFE-93A9-CD2A2DBF2E0F}"/>
    <cellStyle name="Normal 4 4 2 6 3" xfId="5580" xr:uid="{00000000-0005-0000-0000-000059150000}"/>
    <cellStyle name="Normal 4 4 2 6 3 2" xfId="14022" xr:uid="{D43C2C78-5BED-4E6D-8221-D95DBA597ACC}"/>
    <cellStyle name="Normal 4 4 2 6 3 3" xfId="22462" xr:uid="{F624C22D-F3D9-4922-BB0F-D0DF74F00C86}"/>
    <cellStyle name="Normal 4 4 2 6 4" xfId="9804" xr:uid="{2FD270B5-EFD1-4B95-95ED-A6F5BCD0DCF1}"/>
    <cellStyle name="Normal 4 4 2 6 5" xfId="18245" xr:uid="{083ADBD0-AAEA-41BE-BBAE-87A193B3265F}"/>
    <cellStyle name="Normal 4 4 2 7" xfId="1685" xr:uid="{00000000-0005-0000-0000-00005A150000}"/>
    <cellStyle name="Normal 4 4 2 7 2" xfId="3915" xr:uid="{00000000-0005-0000-0000-00005B150000}"/>
    <cellStyle name="Normal 4 4 2 7 2 2" xfId="8138" xr:uid="{00000000-0005-0000-0000-00005C150000}"/>
    <cellStyle name="Normal 4 4 2 7 2 2 2" xfId="16580" xr:uid="{023F2303-3E36-48FA-8B25-B776700B2977}"/>
    <cellStyle name="Normal 4 4 2 7 2 2 3" xfId="25020" xr:uid="{DD8F4351-99BF-488F-961F-D0F0E1A836E9}"/>
    <cellStyle name="Normal 4 4 2 7 2 3" xfId="12362" xr:uid="{33B65859-4808-44BC-AB14-7A07F908A200}"/>
    <cellStyle name="Normal 4 4 2 7 2 4" xfId="20803" xr:uid="{1B511891-CAAE-449F-9052-9C28F0FBA813}"/>
    <cellStyle name="Normal 4 4 2 7 3" xfId="5993" xr:uid="{00000000-0005-0000-0000-00005D150000}"/>
    <cellStyle name="Normal 4 4 2 7 3 2" xfId="14435" xr:uid="{3E139ABC-C5A2-4F12-B9B3-3C2EF418C39A}"/>
    <cellStyle name="Normal 4 4 2 7 3 3" xfId="22875" xr:uid="{516643EE-0441-4886-885A-7B8509EB33DF}"/>
    <cellStyle name="Normal 4 4 2 7 4" xfId="10217" xr:uid="{475BEE99-6656-4113-B95C-ED80BB99C133}"/>
    <cellStyle name="Normal 4 4 2 7 5" xfId="18658" xr:uid="{2B60B81C-45EB-4723-8E10-2EA3C34C32EE}"/>
    <cellStyle name="Normal 4 4 2 8" xfId="2099" xr:uid="{00000000-0005-0000-0000-00005E150000}"/>
    <cellStyle name="Normal 4 4 2 8 2" xfId="4328" xr:uid="{00000000-0005-0000-0000-00005F150000}"/>
    <cellStyle name="Normal 4 4 2 8 2 2" xfId="8551" xr:uid="{00000000-0005-0000-0000-000060150000}"/>
    <cellStyle name="Normal 4 4 2 8 2 2 2" xfId="16993" xr:uid="{2FD91BDF-0EFB-4BB2-8F43-E48CD48B2636}"/>
    <cellStyle name="Normal 4 4 2 8 2 2 3" xfId="25433" xr:uid="{15E48E2B-FD47-4B45-84BA-28A731CF0779}"/>
    <cellStyle name="Normal 4 4 2 8 2 3" xfId="12775" xr:uid="{5DD2F79F-76AA-405B-BFEA-8CFF4372FB10}"/>
    <cellStyle name="Normal 4 4 2 8 2 4" xfId="21216" xr:uid="{880CD5B3-068F-4CC2-AC5B-CDFC7627D7A8}"/>
    <cellStyle name="Normal 4 4 2 8 3" xfId="6406" xr:uid="{00000000-0005-0000-0000-000061150000}"/>
    <cellStyle name="Normal 4 4 2 8 3 2" xfId="14848" xr:uid="{CF1F9171-0A8B-4DC1-80CE-FDBBA0BBB6D9}"/>
    <cellStyle name="Normal 4 4 2 8 3 3" xfId="23288" xr:uid="{8D61BD3E-8CDF-4ECF-A9C4-D241837DF3F1}"/>
    <cellStyle name="Normal 4 4 2 8 4" xfId="10630" xr:uid="{9D11D8D3-2A2B-45BA-862F-C99B4154523E}"/>
    <cellStyle name="Normal 4 4 2 8 5" xfId="19071" xr:uid="{8545EEEE-74DA-4315-B508-54F9D491730F}"/>
    <cellStyle name="Normal 4 4 2 9" xfId="2535" xr:uid="{00000000-0005-0000-0000-000062150000}"/>
    <cellStyle name="Normal 4 4 2 9 2" xfId="6819" xr:uid="{00000000-0005-0000-0000-000063150000}"/>
    <cellStyle name="Normal 4 4 2 9 2 2" xfId="15261" xr:uid="{8772F2FB-B84B-4816-A979-BB5B98B58944}"/>
    <cellStyle name="Normal 4 4 2 9 2 3" xfId="23701" xr:uid="{70CABC68-6DBE-4E2B-A66E-FC1AD3350953}"/>
    <cellStyle name="Normal 4 4 2 9 3" xfId="11043" xr:uid="{C9F4F02D-5D01-4B17-9D6E-CCCDB00F8A03}"/>
    <cellStyle name="Normal 4 4 2 9 4" xfId="19484" xr:uid="{AF95F5BE-651C-4BF0-8828-A3889D96A022}"/>
    <cellStyle name="Normal 4 4 3" xfId="387" xr:uid="{00000000-0005-0000-0000-000064150000}"/>
    <cellStyle name="Normal 4 4 3 10" xfId="8986" xr:uid="{E22982C2-604C-4A2E-82EC-D5B2A183E465}"/>
    <cellStyle name="Normal 4 4 3 11" xfId="17427" xr:uid="{09EBC0E6-C09C-4E08-BFB8-61CDF872BCCA}"/>
    <cellStyle name="Normal 4 4 3 2" xfId="388" xr:uid="{00000000-0005-0000-0000-000065150000}"/>
    <cellStyle name="Normal 4 4 3 2 10" xfId="17428" xr:uid="{E3758884-6A77-415F-9027-466414647F11}"/>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15764" xr:uid="{4A0054F8-E20E-4003-B03B-8EE4CA31C794}"/>
    <cellStyle name="Normal 4 4 3 2 2 2 2 2 3" xfId="24204" xr:uid="{45D31147-658F-4B06-8BB0-EDF8DB780A3E}"/>
    <cellStyle name="Normal 4 4 3 2 2 2 2 3" xfId="11546" xr:uid="{B2946BA0-2B43-4DAC-9CD0-206A0CF2E27E}"/>
    <cellStyle name="Normal 4 4 3 2 2 2 2 4" xfId="19987" xr:uid="{D4B2433E-1FC3-4F4B-A87A-A790CADB68CB}"/>
    <cellStyle name="Normal 4 4 3 2 2 2 3" xfId="5177" xr:uid="{00000000-0005-0000-0000-00006A150000}"/>
    <cellStyle name="Normal 4 4 3 2 2 2 3 2" xfId="13619" xr:uid="{7D7C3500-106E-43C0-AE05-FD78A14978EC}"/>
    <cellStyle name="Normal 4 4 3 2 2 2 3 3" xfId="22059" xr:uid="{4A49701D-BA6E-47D9-AAB4-22582156EFB1}"/>
    <cellStyle name="Normal 4 4 3 2 2 2 4" xfId="9401" xr:uid="{B89C53DE-C4EE-4A69-8831-A488214A3B34}"/>
    <cellStyle name="Normal 4 4 3 2 2 2 5" xfId="17842" xr:uid="{00B9A2F9-2F4A-47C2-A44F-2E3F126AD06D}"/>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16177" xr:uid="{FD9A76E1-3842-4551-82CD-98C1A990FC90}"/>
    <cellStyle name="Normal 4 4 3 2 2 3 2 2 3" xfId="24617" xr:uid="{ED152372-F09B-4A29-B9EA-D75963DC8113}"/>
    <cellStyle name="Normal 4 4 3 2 2 3 2 3" xfId="11959" xr:uid="{24A13C4C-5CF3-4167-BFC3-A8500ACA3C0F}"/>
    <cellStyle name="Normal 4 4 3 2 2 3 2 4" xfId="20400" xr:uid="{89D7B052-815F-49F0-A785-5260EC28E7A4}"/>
    <cellStyle name="Normal 4 4 3 2 2 3 3" xfId="5590" xr:uid="{00000000-0005-0000-0000-00006E150000}"/>
    <cellStyle name="Normal 4 4 3 2 2 3 3 2" xfId="14032" xr:uid="{B1DF424E-41E8-4E05-9BA3-83304340CFC1}"/>
    <cellStyle name="Normal 4 4 3 2 2 3 3 3" xfId="22472" xr:uid="{3B700218-B8D0-4A41-B554-26B0D0BF6233}"/>
    <cellStyle name="Normal 4 4 3 2 2 3 4" xfId="9814" xr:uid="{6AFC418D-25D1-4AAA-A081-96D18C4250F8}"/>
    <cellStyle name="Normal 4 4 3 2 2 3 5" xfId="18255" xr:uid="{0CC99461-077A-46DE-B1C6-E1B576B1EEEF}"/>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16590" xr:uid="{DB1E19C7-1058-420B-983B-E86E3D47B738}"/>
    <cellStyle name="Normal 4 4 3 2 2 4 2 2 3" xfId="25030" xr:uid="{52C18499-BA62-42A2-BCDE-E9FB1F8C340D}"/>
    <cellStyle name="Normal 4 4 3 2 2 4 2 3" xfId="12372" xr:uid="{DAFBFF2F-1703-4645-B995-86FAB3F58849}"/>
    <cellStyle name="Normal 4 4 3 2 2 4 2 4" xfId="20813" xr:uid="{1CF90A96-C282-44C1-B04A-82EE33321A8C}"/>
    <cellStyle name="Normal 4 4 3 2 2 4 3" xfId="6003" xr:uid="{00000000-0005-0000-0000-000072150000}"/>
    <cellStyle name="Normal 4 4 3 2 2 4 3 2" xfId="14445" xr:uid="{5A633D7C-A284-41A3-9120-56A8252485AB}"/>
    <cellStyle name="Normal 4 4 3 2 2 4 3 3" xfId="22885" xr:uid="{55DF037C-8937-4E4D-8CA4-2AB06587F2D5}"/>
    <cellStyle name="Normal 4 4 3 2 2 4 4" xfId="10227" xr:uid="{229898AB-2295-4CF8-B42C-6B7328D22FAC}"/>
    <cellStyle name="Normal 4 4 3 2 2 4 5" xfId="18668" xr:uid="{402ECCDA-9C6E-443F-A185-F0BB6FB18D8E}"/>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17003" xr:uid="{5CB90E20-3D74-41DA-BBBC-14C23B1F20FE}"/>
    <cellStyle name="Normal 4 4 3 2 2 5 2 2 3" xfId="25443" xr:uid="{9C5C63DC-E97A-46D6-87DF-54F134FCCE7D}"/>
    <cellStyle name="Normal 4 4 3 2 2 5 2 3" xfId="12785" xr:uid="{60D93318-D51E-4997-A7BD-75A76EB551E8}"/>
    <cellStyle name="Normal 4 4 3 2 2 5 2 4" xfId="21226" xr:uid="{0F85152E-B126-456D-AF6E-43098F4C9264}"/>
    <cellStyle name="Normal 4 4 3 2 2 5 3" xfId="6416" xr:uid="{00000000-0005-0000-0000-000076150000}"/>
    <cellStyle name="Normal 4 4 3 2 2 5 3 2" xfId="14858" xr:uid="{4AD79E65-EA61-4C09-B726-4B6AC6026910}"/>
    <cellStyle name="Normal 4 4 3 2 2 5 3 3" xfId="23298" xr:uid="{C5BF0270-8B43-4CDB-B941-2184F22BE1F3}"/>
    <cellStyle name="Normal 4 4 3 2 2 5 4" xfId="10640" xr:uid="{0A0E4892-83AC-4EE1-BA38-0E3AD6FBB2AD}"/>
    <cellStyle name="Normal 4 4 3 2 2 5 5" xfId="19081" xr:uid="{B1729915-12CF-4459-A122-FDE4F48243EE}"/>
    <cellStyle name="Normal 4 4 3 2 2 6" xfId="2545" xr:uid="{00000000-0005-0000-0000-000077150000}"/>
    <cellStyle name="Normal 4 4 3 2 2 6 2" xfId="6829" xr:uid="{00000000-0005-0000-0000-000078150000}"/>
    <cellStyle name="Normal 4 4 3 2 2 6 2 2" xfId="15271" xr:uid="{515A4678-FAFC-43C1-9C87-385A02FBF232}"/>
    <cellStyle name="Normal 4 4 3 2 2 6 2 3" xfId="23711" xr:uid="{CE88B11E-361A-4AD9-A9FC-19F1BA8319A1}"/>
    <cellStyle name="Normal 4 4 3 2 2 6 3" xfId="11053" xr:uid="{825071AF-B91B-41F5-9DD5-FC4899638F9A}"/>
    <cellStyle name="Normal 4 4 3 2 2 6 4" xfId="19494" xr:uid="{98EEB596-8C06-4EEA-ABC3-2506ED5C6094}"/>
    <cellStyle name="Normal 4 4 3 2 2 7" xfId="4764" xr:uid="{00000000-0005-0000-0000-000079150000}"/>
    <cellStyle name="Normal 4 4 3 2 2 7 2" xfId="13206" xr:uid="{D4C6FEBC-D591-42DB-95E6-364252475786}"/>
    <cellStyle name="Normal 4 4 3 2 2 7 3" xfId="21646" xr:uid="{1163F7D4-2134-4061-9C41-BA6907A91221}"/>
    <cellStyle name="Normal 4 4 3 2 2 8" xfId="8988" xr:uid="{2113C9ED-91EE-4D5C-921D-3D5D7B6E4B84}"/>
    <cellStyle name="Normal 4 4 3 2 2 9" xfId="17429" xr:uid="{2AC7D2B1-671C-4B50-B997-EBB808751FA1}"/>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15763" xr:uid="{C52CAFF4-5CCD-464B-9770-CE117D0246A7}"/>
    <cellStyle name="Normal 4 4 3 2 3 2 2 3" xfId="24203" xr:uid="{4198264B-1F21-4784-B6DD-F29312B4F652}"/>
    <cellStyle name="Normal 4 4 3 2 3 2 3" xfId="11545" xr:uid="{CC7AA98B-C5E7-4BF5-BA28-EC0E6DE35F5B}"/>
    <cellStyle name="Normal 4 4 3 2 3 2 4" xfId="19986" xr:uid="{F84D3C6F-7AD5-4700-B4BC-635A46F674FF}"/>
    <cellStyle name="Normal 4 4 3 2 3 3" xfId="5176" xr:uid="{00000000-0005-0000-0000-00007D150000}"/>
    <cellStyle name="Normal 4 4 3 2 3 3 2" xfId="13618" xr:uid="{6A26BF3E-0176-42C8-A46F-C513E582A099}"/>
    <cellStyle name="Normal 4 4 3 2 3 3 3" xfId="22058" xr:uid="{BF030204-816C-43BC-9D6E-4ACA744BBAC2}"/>
    <cellStyle name="Normal 4 4 3 2 3 4" xfId="9400" xr:uid="{FAA398BC-A5E3-4ABE-8FDD-34744A0B5CE2}"/>
    <cellStyle name="Normal 4 4 3 2 3 5" xfId="17841" xr:uid="{34D28324-0940-462F-9716-AFFA8931294F}"/>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16176" xr:uid="{2557F959-A5BF-42DF-A674-FBE76377B571}"/>
    <cellStyle name="Normal 4 4 3 2 4 2 2 3" xfId="24616" xr:uid="{D76F3569-E574-4B0A-AC03-2D38AD64F02C}"/>
    <cellStyle name="Normal 4 4 3 2 4 2 3" xfId="11958" xr:uid="{4F44A633-9500-4D2C-9E2B-58E0C897ED0B}"/>
    <cellStyle name="Normal 4 4 3 2 4 2 4" xfId="20399" xr:uid="{80F4A559-37DA-42C1-8E49-9D64A9C21DAF}"/>
    <cellStyle name="Normal 4 4 3 2 4 3" xfId="5589" xr:uid="{00000000-0005-0000-0000-000081150000}"/>
    <cellStyle name="Normal 4 4 3 2 4 3 2" xfId="14031" xr:uid="{4D211A10-E996-4664-8FAB-86CE4DB91539}"/>
    <cellStyle name="Normal 4 4 3 2 4 3 3" xfId="22471" xr:uid="{5B3CA124-EA0B-4BF2-92A0-5D0FFF421748}"/>
    <cellStyle name="Normal 4 4 3 2 4 4" xfId="9813" xr:uid="{298C6C0A-9FA9-4857-A55F-4F714A2B939B}"/>
    <cellStyle name="Normal 4 4 3 2 4 5" xfId="18254" xr:uid="{AE6BE1BD-D762-4A78-86D8-7348E15960DE}"/>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16589" xr:uid="{7A688E3D-7B11-438F-9D77-331ADC47EC00}"/>
    <cellStyle name="Normal 4 4 3 2 5 2 2 3" xfId="25029" xr:uid="{452A53BF-4300-4748-8D1E-C4603C2C5A2C}"/>
    <cellStyle name="Normal 4 4 3 2 5 2 3" xfId="12371" xr:uid="{CC60569A-AD3C-4397-8E41-4BBD02DED5BB}"/>
    <cellStyle name="Normal 4 4 3 2 5 2 4" xfId="20812" xr:uid="{5E9E7CCB-DA5B-4712-BA55-E498BD404055}"/>
    <cellStyle name="Normal 4 4 3 2 5 3" xfId="6002" xr:uid="{00000000-0005-0000-0000-000085150000}"/>
    <cellStyle name="Normal 4 4 3 2 5 3 2" xfId="14444" xr:uid="{70F8E8AE-435D-4BA0-95A1-48A8001842AB}"/>
    <cellStyle name="Normal 4 4 3 2 5 3 3" xfId="22884" xr:uid="{B272E4DE-C78D-4F94-ABFF-93F2DCEC1AE6}"/>
    <cellStyle name="Normal 4 4 3 2 5 4" xfId="10226" xr:uid="{1A77DAC2-C1D5-4062-B17A-A3F158AD0A98}"/>
    <cellStyle name="Normal 4 4 3 2 5 5" xfId="18667" xr:uid="{BAB9A96C-FDC4-4FC4-96AA-0D337852A164}"/>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17002" xr:uid="{4DC7111C-C2C5-4266-B0C7-D9A0F2345980}"/>
    <cellStyle name="Normal 4 4 3 2 6 2 2 3" xfId="25442" xr:uid="{2CAF4B26-64FF-4A3B-8397-07E6A00EBDF7}"/>
    <cellStyle name="Normal 4 4 3 2 6 2 3" xfId="12784" xr:uid="{F023AB1B-AC47-4DF2-BE27-F26EFF37E83C}"/>
    <cellStyle name="Normal 4 4 3 2 6 2 4" xfId="21225" xr:uid="{E7BA41AF-5181-48AA-91AA-303144137A12}"/>
    <cellStyle name="Normal 4 4 3 2 6 3" xfId="6415" xr:uid="{00000000-0005-0000-0000-000089150000}"/>
    <cellStyle name="Normal 4 4 3 2 6 3 2" xfId="14857" xr:uid="{4925C4C5-C22C-4FB1-B953-7EFA758EF6D6}"/>
    <cellStyle name="Normal 4 4 3 2 6 3 3" xfId="23297" xr:uid="{42B7A74A-62F9-4536-93F6-904EAC6E9B87}"/>
    <cellStyle name="Normal 4 4 3 2 6 4" xfId="10639" xr:uid="{081F8BC2-604B-4119-8D5F-D3ADB9968523}"/>
    <cellStyle name="Normal 4 4 3 2 6 5" xfId="19080" xr:uid="{70DB2450-9C6B-4F88-B136-0E7F127A8934}"/>
    <cellStyle name="Normal 4 4 3 2 7" xfId="2544" xr:uid="{00000000-0005-0000-0000-00008A150000}"/>
    <cellStyle name="Normal 4 4 3 2 7 2" xfId="6828" xr:uid="{00000000-0005-0000-0000-00008B150000}"/>
    <cellStyle name="Normal 4 4 3 2 7 2 2" xfId="15270" xr:uid="{3DF0F14B-4C86-49D6-9627-251E293A36D3}"/>
    <cellStyle name="Normal 4 4 3 2 7 2 3" xfId="23710" xr:uid="{00D4A6C3-6E3E-4023-BE74-1FD30BC9FC21}"/>
    <cellStyle name="Normal 4 4 3 2 7 3" xfId="11052" xr:uid="{2CD2444F-BAC2-475F-AFE9-106AFF75C0F9}"/>
    <cellStyle name="Normal 4 4 3 2 7 4" xfId="19493" xr:uid="{40BFA901-88DC-410C-8FA3-91312E7EED1C}"/>
    <cellStyle name="Normal 4 4 3 2 8" xfId="4763" xr:uid="{00000000-0005-0000-0000-00008C150000}"/>
    <cellStyle name="Normal 4 4 3 2 8 2" xfId="13205" xr:uid="{B52ECA2C-4CF3-423B-AAE9-8CED1F5C3522}"/>
    <cellStyle name="Normal 4 4 3 2 8 3" xfId="21645" xr:uid="{33A8BF0A-929E-4F9D-A0EE-ED9675BC7220}"/>
    <cellStyle name="Normal 4 4 3 2 9" xfId="8987" xr:uid="{A4B30EB3-FE58-4F59-9B02-E3E3C17E47DF}"/>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15765" xr:uid="{6A65F981-E0E5-4CD1-B0E2-75A1B299AC9A}"/>
    <cellStyle name="Normal 4 4 3 3 2 2 2 3" xfId="24205" xr:uid="{E25053AD-610F-445D-A137-76C4E47D45D6}"/>
    <cellStyle name="Normal 4 4 3 3 2 2 3" xfId="11547" xr:uid="{9833FA3C-3EA1-465A-9E73-0FBD21BD332D}"/>
    <cellStyle name="Normal 4 4 3 3 2 2 4" xfId="19988" xr:uid="{CAB3C9C3-ABE1-4276-AFAC-156AFE153E84}"/>
    <cellStyle name="Normal 4 4 3 3 2 3" xfId="5178" xr:uid="{00000000-0005-0000-0000-000091150000}"/>
    <cellStyle name="Normal 4 4 3 3 2 3 2" xfId="13620" xr:uid="{418C7C86-3DD2-4590-B535-731C319856E5}"/>
    <cellStyle name="Normal 4 4 3 3 2 3 3" xfId="22060" xr:uid="{1C2B476A-0298-426E-85C0-5740A23E6B01}"/>
    <cellStyle name="Normal 4 4 3 3 2 4" xfId="9402" xr:uid="{0AACD62B-EA5C-4396-A998-11176EE1157E}"/>
    <cellStyle name="Normal 4 4 3 3 2 5" xfId="17843" xr:uid="{F1341CA8-255D-4A98-8874-9A0D43B36657}"/>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16178" xr:uid="{A2AFDEEF-3EFE-4DF8-ADC6-697BF613B733}"/>
    <cellStyle name="Normal 4 4 3 3 3 2 2 3" xfId="24618" xr:uid="{0A42BDF0-A37A-4A8C-91B1-DFBC219D7F34}"/>
    <cellStyle name="Normal 4 4 3 3 3 2 3" xfId="11960" xr:uid="{AE0461DB-C3B8-45C2-9749-3EF753D3FD90}"/>
    <cellStyle name="Normal 4 4 3 3 3 2 4" xfId="20401" xr:uid="{22BCACAE-899D-4E65-87F8-1944AEAD4525}"/>
    <cellStyle name="Normal 4 4 3 3 3 3" xfId="5591" xr:uid="{00000000-0005-0000-0000-000095150000}"/>
    <cellStyle name="Normal 4 4 3 3 3 3 2" xfId="14033" xr:uid="{17BE14ED-C976-47AD-B876-8A05978015E8}"/>
    <cellStyle name="Normal 4 4 3 3 3 3 3" xfId="22473" xr:uid="{FF878688-200F-4611-8254-BF387998582C}"/>
    <cellStyle name="Normal 4 4 3 3 3 4" xfId="9815" xr:uid="{846CA4B9-6D71-4A55-8B32-8F4FC1F4AEAB}"/>
    <cellStyle name="Normal 4 4 3 3 3 5" xfId="18256" xr:uid="{54D73B8E-BF8E-410E-A0AA-FA2DF482B4B3}"/>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16591" xr:uid="{315A5746-2299-48CD-9B63-04B26D551C7A}"/>
    <cellStyle name="Normal 4 4 3 3 4 2 2 3" xfId="25031" xr:uid="{103402BC-9DD7-4DAB-AF05-EEAE7A49CA67}"/>
    <cellStyle name="Normal 4 4 3 3 4 2 3" xfId="12373" xr:uid="{52563776-ACEF-4771-9AB0-DB6D6015D714}"/>
    <cellStyle name="Normal 4 4 3 3 4 2 4" xfId="20814" xr:uid="{E39A37D1-8E20-4AB0-933A-AA5F74CA1F28}"/>
    <cellStyle name="Normal 4 4 3 3 4 3" xfId="6004" xr:uid="{00000000-0005-0000-0000-000099150000}"/>
    <cellStyle name="Normal 4 4 3 3 4 3 2" xfId="14446" xr:uid="{F9F51FD9-8AD2-4E45-A130-F2AE1B6DF598}"/>
    <cellStyle name="Normal 4 4 3 3 4 3 3" xfId="22886" xr:uid="{CF4325DF-484B-4157-BC89-403C9EB49814}"/>
    <cellStyle name="Normal 4 4 3 3 4 4" xfId="10228" xr:uid="{AB0873A9-E358-4FA5-85A5-A6558F6BC9AE}"/>
    <cellStyle name="Normal 4 4 3 3 4 5" xfId="18669" xr:uid="{8ED778DA-5F9C-4729-AE72-4A38877FB62F}"/>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17004" xr:uid="{BA41BD91-EE86-4AB4-AEF6-D6182E2C740E}"/>
    <cellStyle name="Normal 4 4 3 3 5 2 2 3" xfId="25444" xr:uid="{4B3CAE1E-38D5-4869-9503-025E1FD2D279}"/>
    <cellStyle name="Normal 4 4 3 3 5 2 3" xfId="12786" xr:uid="{BDE2DD90-2626-4C1E-A496-27EBA747A351}"/>
    <cellStyle name="Normal 4 4 3 3 5 2 4" xfId="21227" xr:uid="{D7CFBC4D-5777-4008-B7A0-50E005299583}"/>
    <cellStyle name="Normal 4 4 3 3 5 3" xfId="6417" xr:uid="{00000000-0005-0000-0000-00009D150000}"/>
    <cellStyle name="Normal 4 4 3 3 5 3 2" xfId="14859" xr:uid="{F776E0D9-32AA-4F4F-AB50-B3DC48F458C4}"/>
    <cellStyle name="Normal 4 4 3 3 5 3 3" xfId="23299" xr:uid="{77B9906A-CE21-4C11-A710-7B48FE71B192}"/>
    <cellStyle name="Normal 4 4 3 3 5 4" xfId="10641" xr:uid="{601B74DF-8A44-4503-97D6-0BA7B6B5C803}"/>
    <cellStyle name="Normal 4 4 3 3 5 5" xfId="19082" xr:uid="{B7079377-3A0C-4E0F-AB37-6F598AFE830F}"/>
    <cellStyle name="Normal 4 4 3 3 6" xfId="2546" xr:uid="{00000000-0005-0000-0000-00009E150000}"/>
    <cellStyle name="Normal 4 4 3 3 6 2" xfId="6830" xr:uid="{00000000-0005-0000-0000-00009F150000}"/>
    <cellStyle name="Normal 4 4 3 3 6 2 2" xfId="15272" xr:uid="{9B8446A4-4917-4139-85DA-BE20303C3C0B}"/>
    <cellStyle name="Normal 4 4 3 3 6 2 3" xfId="23712" xr:uid="{616B5B90-1A45-495A-B328-E8CD60B1D1EE}"/>
    <cellStyle name="Normal 4 4 3 3 6 3" xfId="11054" xr:uid="{BF3AC53E-4A99-4770-8411-A49CA8D35202}"/>
    <cellStyle name="Normal 4 4 3 3 6 4" xfId="19495" xr:uid="{5F5D29CD-B3A3-4632-B98A-E28D3191C10B}"/>
    <cellStyle name="Normal 4 4 3 3 7" xfId="4765" xr:uid="{00000000-0005-0000-0000-0000A0150000}"/>
    <cellStyle name="Normal 4 4 3 3 7 2" xfId="13207" xr:uid="{930A2BEC-AE9D-439F-BAFD-CBC1CFD717F7}"/>
    <cellStyle name="Normal 4 4 3 3 7 3" xfId="21647" xr:uid="{7C8BF36A-06C7-4091-8EE7-0DE7F71B5A0F}"/>
    <cellStyle name="Normal 4 4 3 3 8" xfId="8989" xr:uid="{7875C30E-CD66-41D2-94D6-886B55ED822F}"/>
    <cellStyle name="Normal 4 4 3 3 9" xfId="17430" xr:uid="{D58A9661-3A18-43B3-BE42-D9AD6F7080A7}"/>
    <cellStyle name="Normal 4 4 3 4" xfId="862" xr:uid="{00000000-0005-0000-0000-0000A1150000}"/>
    <cellStyle name="Normal 4 4 3 4 2" xfId="3097" xr:uid="{00000000-0005-0000-0000-0000A2150000}"/>
    <cellStyle name="Normal 4 4 3 4 2 2" xfId="7320" xr:uid="{00000000-0005-0000-0000-0000A3150000}"/>
    <cellStyle name="Normal 4 4 3 4 2 2 2" xfId="15762" xr:uid="{8513466A-2A93-4B64-B07D-20279A4211D1}"/>
    <cellStyle name="Normal 4 4 3 4 2 2 3" xfId="24202" xr:uid="{6F42003A-8505-4506-9EAB-D69C717A6AD3}"/>
    <cellStyle name="Normal 4 4 3 4 2 3" xfId="11544" xr:uid="{E4E853BF-6F72-4883-B4E1-3B814CB76EE1}"/>
    <cellStyle name="Normal 4 4 3 4 2 4" xfId="19985" xr:uid="{E409DF59-485D-4A16-AD4D-FF10EBA97F9E}"/>
    <cellStyle name="Normal 4 4 3 4 3" xfId="5175" xr:uid="{00000000-0005-0000-0000-0000A4150000}"/>
    <cellStyle name="Normal 4 4 3 4 3 2" xfId="13617" xr:uid="{7745511F-7ACA-4B05-89EF-3198FC0D704B}"/>
    <cellStyle name="Normal 4 4 3 4 3 3" xfId="22057" xr:uid="{14B317A0-0910-4F1D-9301-11507C8FCE10}"/>
    <cellStyle name="Normal 4 4 3 4 4" xfId="9399" xr:uid="{F9F5F7FD-E5A7-4A20-8D27-8A567CC0E593}"/>
    <cellStyle name="Normal 4 4 3 4 5" xfId="17840" xr:uid="{6C794828-5E10-47C1-9773-D295446793D2}"/>
    <cellStyle name="Normal 4 4 3 5" xfId="1280" xr:uid="{00000000-0005-0000-0000-0000A5150000}"/>
    <cellStyle name="Normal 4 4 3 5 2" xfId="3510" xr:uid="{00000000-0005-0000-0000-0000A6150000}"/>
    <cellStyle name="Normal 4 4 3 5 2 2" xfId="7733" xr:uid="{00000000-0005-0000-0000-0000A7150000}"/>
    <cellStyle name="Normal 4 4 3 5 2 2 2" xfId="16175" xr:uid="{6FFBEB29-01CB-4B22-B4FE-9E9EDDBDE7EE}"/>
    <cellStyle name="Normal 4 4 3 5 2 2 3" xfId="24615" xr:uid="{FCC00AC2-D122-4940-871C-C61C263530EA}"/>
    <cellStyle name="Normal 4 4 3 5 2 3" xfId="11957" xr:uid="{D6E0BB35-EBA9-46ED-9650-BC9D86111669}"/>
    <cellStyle name="Normal 4 4 3 5 2 4" xfId="20398" xr:uid="{5874465E-FCFF-4089-917E-DA0721091234}"/>
    <cellStyle name="Normal 4 4 3 5 3" xfId="5588" xr:uid="{00000000-0005-0000-0000-0000A8150000}"/>
    <cellStyle name="Normal 4 4 3 5 3 2" xfId="14030" xr:uid="{570E5396-D319-4007-8584-B022C4E51A12}"/>
    <cellStyle name="Normal 4 4 3 5 3 3" xfId="22470" xr:uid="{47675327-71C4-4D8A-858F-70F26786D723}"/>
    <cellStyle name="Normal 4 4 3 5 4" xfId="9812" xr:uid="{CFC88C9F-28E7-4CA9-A049-3EF50DD9942C}"/>
    <cellStyle name="Normal 4 4 3 5 5" xfId="18253" xr:uid="{061153F9-6154-4C5C-9EF8-E5EB14DAFA19}"/>
    <cellStyle name="Normal 4 4 3 6" xfId="1693" xr:uid="{00000000-0005-0000-0000-0000A9150000}"/>
    <cellStyle name="Normal 4 4 3 6 2" xfId="3923" xr:uid="{00000000-0005-0000-0000-0000AA150000}"/>
    <cellStyle name="Normal 4 4 3 6 2 2" xfId="8146" xr:uid="{00000000-0005-0000-0000-0000AB150000}"/>
    <cellStyle name="Normal 4 4 3 6 2 2 2" xfId="16588" xr:uid="{B83E86F0-20A9-4EF2-9D8D-3C40B969F4AC}"/>
    <cellStyle name="Normal 4 4 3 6 2 2 3" xfId="25028" xr:uid="{C6FF5273-2B86-4909-B7ED-C6E37A2A76AB}"/>
    <cellStyle name="Normal 4 4 3 6 2 3" xfId="12370" xr:uid="{05B6BD4C-3DD4-4408-83F2-08938A4D71BD}"/>
    <cellStyle name="Normal 4 4 3 6 2 4" xfId="20811" xr:uid="{433C087E-F4BD-4E83-A885-B092EF3BBF71}"/>
    <cellStyle name="Normal 4 4 3 6 3" xfId="6001" xr:uid="{00000000-0005-0000-0000-0000AC150000}"/>
    <cellStyle name="Normal 4 4 3 6 3 2" xfId="14443" xr:uid="{D4232817-1834-4517-B360-D225F839F361}"/>
    <cellStyle name="Normal 4 4 3 6 3 3" xfId="22883" xr:uid="{1EC61A18-812C-4CE4-A6A0-588FD33E865C}"/>
    <cellStyle name="Normal 4 4 3 6 4" xfId="10225" xr:uid="{1EC6458C-C2D7-4B1A-A031-76E819684588}"/>
    <cellStyle name="Normal 4 4 3 6 5" xfId="18666" xr:uid="{DABBED91-AAA0-4D83-BC57-0C4C63BE6FE1}"/>
    <cellStyle name="Normal 4 4 3 7" xfId="2107" xr:uid="{00000000-0005-0000-0000-0000AD150000}"/>
    <cellStyle name="Normal 4 4 3 7 2" xfId="4336" xr:uid="{00000000-0005-0000-0000-0000AE150000}"/>
    <cellStyle name="Normal 4 4 3 7 2 2" xfId="8559" xr:uid="{00000000-0005-0000-0000-0000AF150000}"/>
    <cellStyle name="Normal 4 4 3 7 2 2 2" xfId="17001" xr:uid="{A18BE5F8-67F6-4827-A6AF-27E7F43CD41E}"/>
    <cellStyle name="Normal 4 4 3 7 2 2 3" xfId="25441" xr:uid="{AB885FDE-2836-4565-B813-F1F28BA9725E}"/>
    <cellStyle name="Normal 4 4 3 7 2 3" xfId="12783" xr:uid="{4542A4A0-7164-4CA4-9A93-561D2B17275B}"/>
    <cellStyle name="Normal 4 4 3 7 2 4" xfId="21224" xr:uid="{4AD1D9A0-1BE3-4BBD-AFE7-674EEEB9763D}"/>
    <cellStyle name="Normal 4 4 3 7 3" xfId="6414" xr:uid="{00000000-0005-0000-0000-0000B0150000}"/>
    <cellStyle name="Normal 4 4 3 7 3 2" xfId="14856" xr:uid="{791F2B60-ADA3-4A34-B700-58453B330ED7}"/>
    <cellStyle name="Normal 4 4 3 7 3 3" xfId="23296" xr:uid="{7F6E2DE8-D4BA-47F3-B1A6-A354BEAB82CF}"/>
    <cellStyle name="Normal 4 4 3 7 4" xfId="10638" xr:uid="{0D85C76E-DB86-491B-A786-F2025E1F838F}"/>
    <cellStyle name="Normal 4 4 3 7 5" xfId="19079" xr:uid="{CA6B43BD-FA2C-46D8-B3DC-C8F6D871CAB1}"/>
    <cellStyle name="Normal 4 4 3 8" xfId="2543" xr:uid="{00000000-0005-0000-0000-0000B1150000}"/>
    <cellStyle name="Normal 4 4 3 8 2" xfId="6827" xr:uid="{00000000-0005-0000-0000-0000B2150000}"/>
    <cellStyle name="Normal 4 4 3 8 2 2" xfId="15269" xr:uid="{64FEA741-F508-4FEB-9EE1-CA8D88254026}"/>
    <cellStyle name="Normal 4 4 3 8 2 3" xfId="23709" xr:uid="{8D7F7B2C-EB45-48A3-8125-38B07650A8F1}"/>
    <cellStyle name="Normal 4 4 3 8 3" xfId="11051" xr:uid="{6FCE4B08-1AD6-4A43-878F-55EA36DB43AC}"/>
    <cellStyle name="Normal 4 4 3 8 4" xfId="19492" xr:uid="{530F5054-0174-450A-A880-7C99B6C58024}"/>
    <cellStyle name="Normal 4 4 3 9" xfId="4762" xr:uid="{00000000-0005-0000-0000-0000B3150000}"/>
    <cellStyle name="Normal 4 4 3 9 2" xfId="13204" xr:uid="{D37AD440-8C8A-4EE5-A925-577CC52916D8}"/>
    <cellStyle name="Normal 4 4 3 9 3" xfId="21644" xr:uid="{5FA5D7D8-F728-4291-A59E-895B6CD9229F}"/>
    <cellStyle name="Normal 4 4 4" xfId="391" xr:uid="{00000000-0005-0000-0000-0000B4150000}"/>
    <cellStyle name="Normal 4 4 4 10" xfId="17431" xr:uid="{D3C66F7C-B5D8-435D-93A2-D872E7F44757}"/>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15767" xr:uid="{5479FE24-CD4F-4AE0-9EC9-A93CDD6995C6}"/>
    <cellStyle name="Normal 4 4 4 2 2 2 2 3" xfId="24207" xr:uid="{25AA1181-6F57-4203-AD47-D029D643DC52}"/>
    <cellStyle name="Normal 4 4 4 2 2 2 3" xfId="11549" xr:uid="{1F0D006C-0E61-475E-B054-60CB1C42B6B5}"/>
    <cellStyle name="Normal 4 4 4 2 2 2 4" xfId="19990" xr:uid="{1356B3EF-BCBA-4125-985B-DD1C0C0FE5FF}"/>
    <cellStyle name="Normal 4 4 4 2 2 3" xfId="5180" xr:uid="{00000000-0005-0000-0000-0000B9150000}"/>
    <cellStyle name="Normal 4 4 4 2 2 3 2" xfId="13622" xr:uid="{F3B883E0-2CF2-4AEE-B1B6-43C0BF895CF3}"/>
    <cellStyle name="Normal 4 4 4 2 2 3 3" xfId="22062" xr:uid="{23FB0AE7-6BE1-465A-964D-3561449B5105}"/>
    <cellStyle name="Normal 4 4 4 2 2 4" xfId="9404" xr:uid="{1F8B1DF0-0AC4-4490-9B95-01EB9B59EF06}"/>
    <cellStyle name="Normal 4 4 4 2 2 5" xfId="17845" xr:uid="{44D6E30D-8097-47D6-9AFA-D2A33B276ED1}"/>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16180" xr:uid="{D1EB2B72-2787-462D-8A00-A35EEB0B3F4F}"/>
    <cellStyle name="Normal 4 4 4 2 3 2 2 3" xfId="24620" xr:uid="{DF83825D-9481-46B0-94B1-12AC5BFB867B}"/>
    <cellStyle name="Normal 4 4 4 2 3 2 3" xfId="11962" xr:uid="{E6DCEB1A-5A07-408F-BF77-0B5177B6475E}"/>
    <cellStyle name="Normal 4 4 4 2 3 2 4" xfId="20403" xr:uid="{818FECD3-6AE7-43BA-938F-9A91CBFA2F48}"/>
    <cellStyle name="Normal 4 4 4 2 3 3" xfId="5593" xr:uid="{00000000-0005-0000-0000-0000BD150000}"/>
    <cellStyle name="Normal 4 4 4 2 3 3 2" xfId="14035" xr:uid="{DC730E9A-DD24-4CA2-AEBB-F7DC5D9506C5}"/>
    <cellStyle name="Normal 4 4 4 2 3 3 3" xfId="22475" xr:uid="{93CCBE73-FA3A-4741-B67E-8D618FDCE949}"/>
    <cellStyle name="Normal 4 4 4 2 3 4" xfId="9817" xr:uid="{C62A5A68-1263-4E11-B03B-EFBC33C19007}"/>
    <cellStyle name="Normal 4 4 4 2 3 5" xfId="18258" xr:uid="{564061A6-25E3-4ADA-AC86-DE2523724660}"/>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16593" xr:uid="{6E7A8F11-4157-42E4-8F7B-1629B47CDA69}"/>
    <cellStyle name="Normal 4 4 4 2 4 2 2 3" xfId="25033" xr:uid="{7C070124-C849-4003-9B7D-18288167769D}"/>
    <cellStyle name="Normal 4 4 4 2 4 2 3" xfId="12375" xr:uid="{DAD764E9-83E6-413D-8ABF-C4B3B5265101}"/>
    <cellStyle name="Normal 4 4 4 2 4 2 4" xfId="20816" xr:uid="{DEEB6374-E218-4AFD-9078-1D4A5566511D}"/>
    <cellStyle name="Normal 4 4 4 2 4 3" xfId="6006" xr:uid="{00000000-0005-0000-0000-0000C1150000}"/>
    <cellStyle name="Normal 4 4 4 2 4 3 2" xfId="14448" xr:uid="{6BFCCA95-8151-4F3F-9ADF-2874A266428B}"/>
    <cellStyle name="Normal 4 4 4 2 4 3 3" xfId="22888" xr:uid="{35DA1398-8616-441A-B880-A34D1C49F0A2}"/>
    <cellStyle name="Normal 4 4 4 2 4 4" xfId="10230" xr:uid="{BFE13DB5-A719-4B17-B1E9-9470BA574CC4}"/>
    <cellStyle name="Normal 4 4 4 2 4 5" xfId="18671" xr:uid="{CA42AC46-A6B5-4E1C-8BA4-16CCEB8901C9}"/>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17006" xr:uid="{5DCC9AD2-C21F-4C74-9A1C-15651C616246}"/>
    <cellStyle name="Normal 4 4 4 2 5 2 2 3" xfId="25446" xr:uid="{AD02280C-2E1B-4C63-A54B-7F2985214EB5}"/>
    <cellStyle name="Normal 4 4 4 2 5 2 3" xfId="12788" xr:uid="{77820224-9631-4706-B01A-A3BAF75AF52B}"/>
    <cellStyle name="Normal 4 4 4 2 5 2 4" xfId="21229" xr:uid="{7F5ED718-18EB-4587-AEA0-7625147EFECC}"/>
    <cellStyle name="Normal 4 4 4 2 5 3" xfId="6419" xr:uid="{00000000-0005-0000-0000-0000C5150000}"/>
    <cellStyle name="Normal 4 4 4 2 5 3 2" xfId="14861" xr:uid="{5665FBD6-DE46-439F-9E45-0504C7BD29BA}"/>
    <cellStyle name="Normal 4 4 4 2 5 3 3" xfId="23301" xr:uid="{48F83978-BCAC-42ED-A1E9-71B5A7BE2B0E}"/>
    <cellStyle name="Normal 4 4 4 2 5 4" xfId="10643" xr:uid="{F2FAE8CE-DE92-46DE-BFAA-9EF9F215B09A}"/>
    <cellStyle name="Normal 4 4 4 2 5 5" xfId="19084" xr:uid="{6471CE77-40EE-4FDF-84FA-1F1E12D9CBF7}"/>
    <cellStyle name="Normal 4 4 4 2 6" xfId="2548" xr:uid="{00000000-0005-0000-0000-0000C6150000}"/>
    <cellStyle name="Normal 4 4 4 2 6 2" xfId="6832" xr:uid="{00000000-0005-0000-0000-0000C7150000}"/>
    <cellStyle name="Normal 4 4 4 2 6 2 2" xfId="15274" xr:uid="{1ED98D6F-FBB4-422E-983B-8086A9CB60AB}"/>
    <cellStyle name="Normal 4 4 4 2 6 2 3" xfId="23714" xr:uid="{440796A9-87DD-4FF4-96F2-2D1D10FFE82B}"/>
    <cellStyle name="Normal 4 4 4 2 6 3" xfId="11056" xr:uid="{78A6B1E9-70CE-4A6C-9B95-F72F89B75C0E}"/>
    <cellStyle name="Normal 4 4 4 2 6 4" xfId="19497" xr:uid="{5A4D66E8-F58B-4C7B-8A93-0CBC714B78A3}"/>
    <cellStyle name="Normal 4 4 4 2 7" xfId="4767" xr:uid="{00000000-0005-0000-0000-0000C8150000}"/>
    <cellStyle name="Normal 4 4 4 2 7 2" xfId="13209" xr:uid="{C6E8775B-BB5B-4440-B241-03F35AD04BDF}"/>
    <cellStyle name="Normal 4 4 4 2 7 3" xfId="21649" xr:uid="{CD0D0236-8B36-4437-8C0E-D6117EC844C2}"/>
    <cellStyle name="Normal 4 4 4 2 8" xfId="8991" xr:uid="{6C4BA151-7702-4679-9499-F6DC81517872}"/>
    <cellStyle name="Normal 4 4 4 2 9" xfId="17432" xr:uid="{4BC6E35C-1E67-4514-9D43-15CE326894C1}"/>
    <cellStyle name="Normal 4 4 4 3" xfId="866" xr:uid="{00000000-0005-0000-0000-0000C9150000}"/>
    <cellStyle name="Normal 4 4 4 3 2" xfId="3101" xr:uid="{00000000-0005-0000-0000-0000CA150000}"/>
    <cellStyle name="Normal 4 4 4 3 2 2" xfId="7324" xr:uid="{00000000-0005-0000-0000-0000CB150000}"/>
    <cellStyle name="Normal 4 4 4 3 2 2 2" xfId="15766" xr:uid="{DD013051-8848-4DD2-B694-199006891ED1}"/>
    <cellStyle name="Normal 4 4 4 3 2 2 3" xfId="24206" xr:uid="{82A65EDA-D47C-46D1-8071-94FC078FC388}"/>
    <cellStyle name="Normal 4 4 4 3 2 3" xfId="11548" xr:uid="{155D2D68-3C1D-4A73-A5D1-34ACBA5000F9}"/>
    <cellStyle name="Normal 4 4 4 3 2 4" xfId="19989" xr:uid="{9C1DE7BC-6A56-40BC-AFDA-9AA23DB9444E}"/>
    <cellStyle name="Normal 4 4 4 3 3" xfId="5179" xr:uid="{00000000-0005-0000-0000-0000CC150000}"/>
    <cellStyle name="Normal 4 4 4 3 3 2" xfId="13621" xr:uid="{E8846626-029F-4996-891C-74AB4ADE9ED9}"/>
    <cellStyle name="Normal 4 4 4 3 3 3" xfId="22061" xr:uid="{6642462F-167D-4FC0-8841-026EDA84E19A}"/>
    <cellStyle name="Normal 4 4 4 3 4" xfId="9403" xr:uid="{EDB7FB7E-489B-4E8C-9F8D-F0A5B99E8B60}"/>
    <cellStyle name="Normal 4 4 4 3 5" xfId="17844" xr:uid="{D1A88BDB-8591-4874-9C76-62528C4D060D}"/>
    <cellStyle name="Normal 4 4 4 4" xfId="1284" xr:uid="{00000000-0005-0000-0000-0000CD150000}"/>
    <cellStyle name="Normal 4 4 4 4 2" xfId="3514" xr:uid="{00000000-0005-0000-0000-0000CE150000}"/>
    <cellStyle name="Normal 4 4 4 4 2 2" xfId="7737" xr:uid="{00000000-0005-0000-0000-0000CF150000}"/>
    <cellStyle name="Normal 4 4 4 4 2 2 2" xfId="16179" xr:uid="{4BF8055B-210A-4E55-885F-3619EFDD7FA1}"/>
    <cellStyle name="Normal 4 4 4 4 2 2 3" xfId="24619" xr:uid="{2EE5019D-C958-4F7B-AA7C-25BE17A9AB6B}"/>
    <cellStyle name="Normal 4 4 4 4 2 3" xfId="11961" xr:uid="{DF9EA338-CDA5-4EBD-BC74-DCDF9A8FEA10}"/>
    <cellStyle name="Normal 4 4 4 4 2 4" xfId="20402" xr:uid="{536479C0-45C4-4B8E-848C-C5AF17FFAC81}"/>
    <cellStyle name="Normal 4 4 4 4 3" xfId="5592" xr:uid="{00000000-0005-0000-0000-0000D0150000}"/>
    <cellStyle name="Normal 4 4 4 4 3 2" xfId="14034" xr:uid="{E41C7F4B-13D6-43CF-B418-7AF98AC1BF6D}"/>
    <cellStyle name="Normal 4 4 4 4 3 3" xfId="22474" xr:uid="{6ECB6477-FC01-4E3A-82DD-4575E2601072}"/>
    <cellStyle name="Normal 4 4 4 4 4" xfId="9816" xr:uid="{1A4B7038-2CFE-48AA-88CD-812F963CBA87}"/>
    <cellStyle name="Normal 4 4 4 4 5" xfId="18257" xr:uid="{8E8E598D-621F-4AD2-AA1A-CE7BF4F1BB90}"/>
    <cellStyle name="Normal 4 4 4 5" xfId="1697" xr:uid="{00000000-0005-0000-0000-0000D1150000}"/>
    <cellStyle name="Normal 4 4 4 5 2" xfId="3927" xr:uid="{00000000-0005-0000-0000-0000D2150000}"/>
    <cellStyle name="Normal 4 4 4 5 2 2" xfId="8150" xr:uid="{00000000-0005-0000-0000-0000D3150000}"/>
    <cellStyle name="Normal 4 4 4 5 2 2 2" xfId="16592" xr:uid="{A8A770ED-1B07-4610-9377-E42BB633A274}"/>
    <cellStyle name="Normal 4 4 4 5 2 2 3" xfId="25032" xr:uid="{8F9FC7F9-8371-4156-9DC7-E819B385745C}"/>
    <cellStyle name="Normal 4 4 4 5 2 3" xfId="12374" xr:uid="{B9EE3B29-D28A-4C59-BD96-6B4F82D5AE7C}"/>
    <cellStyle name="Normal 4 4 4 5 2 4" xfId="20815" xr:uid="{C878CBB0-CAB6-4127-A3EC-D177107B64E9}"/>
    <cellStyle name="Normal 4 4 4 5 3" xfId="6005" xr:uid="{00000000-0005-0000-0000-0000D4150000}"/>
    <cellStyle name="Normal 4 4 4 5 3 2" xfId="14447" xr:uid="{40861A2C-5A71-42D7-92DD-C413E083BA06}"/>
    <cellStyle name="Normal 4 4 4 5 3 3" xfId="22887" xr:uid="{74C54959-87C5-4D54-9E2E-C8EA870AB2C5}"/>
    <cellStyle name="Normal 4 4 4 5 4" xfId="10229" xr:uid="{692146E6-D61F-4C6D-8023-FD8B5C1AA5E8}"/>
    <cellStyle name="Normal 4 4 4 5 5" xfId="18670" xr:uid="{B74CEBE3-CCB2-41B7-8B28-AB0F37ACEFD5}"/>
    <cellStyle name="Normal 4 4 4 6" xfId="2111" xr:uid="{00000000-0005-0000-0000-0000D5150000}"/>
    <cellStyle name="Normal 4 4 4 6 2" xfId="4340" xr:uid="{00000000-0005-0000-0000-0000D6150000}"/>
    <cellStyle name="Normal 4 4 4 6 2 2" xfId="8563" xr:uid="{00000000-0005-0000-0000-0000D7150000}"/>
    <cellStyle name="Normal 4 4 4 6 2 2 2" xfId="17005" xr:uid="{D988DBD0-8168-4D9E-A679-B49C9B27A94D}"/>
    <cellStyle name="Normal 4 4 4 6 2 2 3" xfId="25445" xr:uid="{126538B4-6B65-415A-B3F7-44E579D8DA82}"/>
    <cellStyle name="Normal 4 4 4 6 2 3" xfId="12787" xr:uid="{1F2B3FBA-5040-4CCE-9014-8C07B1E71156}"/>
    <cellStyle name="Normal 4 4 4 6 2 4" xfId="21228" xr:uid="{DD30088F-64C2-427D-884D-56A65EB7A674}"/>
    <cellStyle name="Normal 4 4 4 6 3" xfId="6418" xr:uid="{00000000-0005-0000-0000-0000D8150000}"/>
    <cellStyle name="Normal 4 4 4 6 3 2" xfId="14860" xr:uid="{F5185A0C-BBA2-4B10-B288-5D10C35AFE67}"/>
    <cellStyle name="Normal 4 4 4 6 3 3" xfId="23300" xr:uid="{7EACE982-BDB1-4794-8D06-06FB55959F81}"/>
    <cellStyle name="Normal 4 4 4 6 4" xfId="10642" xr:uid="{006A165B-AA1E-41C1-999B-35F33EC2274F}"/>
    <cellStyle name="Normal 4 4 4 6 5" xfId="19083" xr:uid="{CAA99215-F543-4D34-B067-9920A227BCE0}"/>
    <cellStyle name="Normal 4 4 4 7" xfId="2547" xr:uid="{00000000-0005-0000-0000-0000D9150000}"/>
    <cellStyle name="Normal 4 4 4 7 2" xfId="6831" xr:uid="{00000000-0005-0000-0000-0000DA150000}"/>
    <cellStyle name="Normal 4 4 4 7 2 2" xfId="15273" xr:uid="{931787DF-2FC3-4459-9437-FF4E275B7F27}"/>
    <cellStyle name="Normal 4 4 4 7 2 3" xfId="23713" xr:uid="{9EC31F5D-45C1-4E28-82B3-4EBAE7769C09}"/>
    <cellStyle name="Normal 4 4 4 7 3" xfId="11055" xr:uid="{C0AA93F8-8015-4F40-AA28-F5013C2EA5AF}"/>
    <cellStyle name="Normal 4 4 4 7 4" xfId="19496" xr:uid="{DD0DFCE5-943A-4076-B694-DB207B050D0C}"/>
    <cellStyle name="Normal 4 4 4 8" xfId="4766" xr:uid="{00000000-0005-0000-0000-0000DB150000}"/>
    <cellStyle name="Normal 4 4 4 8 2" xfId="13208" xr:uid="{B2E06D27-05BA-45E5-8D06-F0D19954A3B9}"/>
    <cellStyle name="Normal 4 4 4 8 3" xfId="21648" xr:uid="{03FB4B97-F25A-45A9-BCE8-84DD0ECCF200}"/>
    <cellStyle name="Normal 4 4 4 9" xfId="8990" xr:uid="{E25E60C5-E26E-4363-9BBB-F99A22419C3C}"/>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2 2 2" xfId="15768" xr:uid="{326DE69E-297A-45AD-A3A2-4743298D1F4E}"/>
    <cellStyle name="Normal 4 4 5 2 2 2 3" xfId="24208" xr:uid="{CCBC3A46-F536-4FFF-A0B9-82D1646AB1A2}"/>
    <cellStyle name="Normal 4 4 5 2 2 3" xfId="11550" xr:uid="{673D3868-44BE-428B-9B48-BBEA09D7125E}"/>
    <cellStyle name="Normal 4 4 5 2 2 4" xfId="19991" xr:uid="{EE39BADC-B440-4B0E-8B6B-E16C632FD618}"/>
    <cellStyle name="Normal 4 4 5 2 3" xfId="5181" xr:uid="{00000000-0005-0000-0000-0000E0150000}"/>
    <cellStyle name="Normal 4 4 5 2 3 2" xfId="13623" xr:uid="{E8562938-EA0C-4D2C-AEA2-F328CAD85F22}"/>
    <cellStyle name="Normal 4 4 5 2 3 3" xfId="22063" xr:uid="{E75C0DCB-CF24-4EA2-9FFB-B172C56B8E3D}"/>
    <cellStyle name="Normal 4 4 5 2 4" xfId="9405" xr:uid="{B295B959-E41F-4C25-BB10-991C95F57301}"/>
    <cellStyle name="Normal 4 4 5 2 5" xfId="17846" xr:uid="{2BA30B82-8816-4C29-8FD8-391044094AC1}"/>
    <cellStyle name="Normal 4 4 5 3" xfId="1286" xr:uid="{00000000-0005-0000-0000-0000E1150000}"/>
    <cellStyle name="Normal 4 4 5 3 2" xfId="3516" xr:uid="{00000000-0005-0000-0000-0000E2150000}"/>
    <cellStyle name="Normal 4 4 5 3 2 2" xfId="7739" xr:uid="{00000000-0005-0000-0000-0000E3150000}"/>
    <cellStyle name="Normal 4 4 5 3 2 2 2" xfId="16181" xr:uid="{06916EFC-4B00-413C-B764-8D78AFDCB319}"/>
    <cellStyle name="Normal 4 4 5 3 2 2 3" xfId="24621" xr:uid="{9262CFE6-58A6-4982-A865-FC2375A851BF}"/>
    <cellStyle name="Normal 4 4 5 3 2 3" xfId="11963" xr:uid="{65E8927A-252B-41CD-A9A2-6E042EF54FB4}"/>
    <cellStyle name="Normal 4 4 5 3 2 4" xfId="20404" xr:uid="{486D2B54-1F4C-480D-935D-DA5C10FBE56D}"/>
    <cellStyle name="Normal 4 4 5 3 3" xfId="5594" xr:uid="{00000000-0005-0000-0000-0000E4150000}"/>
    <cellStyle name="Normal 4 4 5 3 3 2" xfId="14036" xr:uid="{9BF14D18-B69B-42A0-B11C-465B4ECD2C63}"/>
    <cellStyle name="Normal 4 4 5 3 3 3" xfId="22476" xr:uid="{574E4134-6E56-49C5-8EA3-792D0786A29F}"/>
    <cellStyle name="Normal 4 4 5 3 4" xfId="9818" xr:uid="{30337828-9FCE-4B6F-B42C-F08A2E56EFD4}"/>
    <cellStyle name="Normal 4 4 5 3 5" xfId="18259" xr:uid="{16B0D5EB-08BE-4BE4-8EA3-515720C2767A}"/>
    <cellStyle name="Normal 4 4 5 4" xfId="1699" xr:uid="{00000000-0005-0000-0000-0000E5150000}"/>
    <cellStyle name="Normal 4 4 5 4 2" xfId="3929" xr:uid="{00000000-0005-0000-0000-0000E6150000}"/>
    <cellStyle name="Normal 4 4 5 4 2 2" xfId="8152" xr:uid="{00000000-0005-0000-0000-0000E7150000}"/>
    <cellStyle name="Normal 4 4 5 4 2 2 2" xfId="16594" xr:uid="{91399178-CB14-464E-A496-7A6123F9795E}"/>
    <cellStyle name="Normal 4 4 5 4 2 2 3" xfId="25034" xr:uid="{55C0426E-9668-4101-85A6-AEABED71F9CB}"/>
    <cellStyle name="Normal 4 4 5 4 2 3" xfId="12376" xr:uid="{499FA0F7-FD4B-4710-B762-0159337F7651}"/>
    <cellStyle name="Normal 4 4 5 4 2 4" xfId="20817" xr:uid="{0B0BB3FA-0925-4499-84DF-635345A5CEE1}"/>
    <cellStyle name="Normal 4 4 5 4 3" xfId="6007" xr:uid="{00000000-0005-0000-0000-0000E8150000}"/>
    <cellStyle name="Normal 4 4 5 4 3 2" xfId="14449" xr:uid="{DAC93DE3-E852-4918-B385-A4C65C2CDD49}"/>
    <cellStyle name="Normal 4 4 5 4 3 3" xfId="22889" xr:uid="{08B33358-F71B-43FF-AB43-C67C68E5D5A6}"/>
    <cellStyle name="Normal 4 4 5 4 4" xfId="10231" xr:uid="{A5F16C6C-990C-42CC-9E1E-0F2D026DABD3}"/>
    <cellStyle name="Normal 4 4 5 4 5" xfId="18672" xr:uid="{7146D003-96E1-4137-8E65-675237012C7D}"/>
    <cellStyle name="Normal 4 4 5 5" xfId="2113" xr:uid="{00000000-0005-0000-0000-0000E9150000}"/>
    <cellStyle name="Normal 4 4 5 5 2" xfId="4342" xr:uid="{00000000-0005-0000-0000-0000EA150000}"/>
    <cellStyle name="Normal 4 4 5 5 2 2" xfId="8565" xr:uid="{00000000-0005-0000-0000-0000EB150000}"/>
    <cellStyle name="Normal 4 4 5 5 2 2 2" xfId="17007" xr:uid="{6D94A2A0-6FE8-4E6A-9313-ABD81428DDAB}"/>
    <cellStyle name="Normal 4 4 5 5 2 2 3" xfId="25447" xr:uid="{BC63B469-83B9-47C3-ADE9-54C005DEEC9D}"/>
    <cellStyle name="Normal 4 4 5 5 2 3" xfId="12789" xr:uid="{10994D75-C235-4883-A75A-8378743AF6D0}"/>
    <cellStyle name="Normal 4 4 5 5 2 4" xfId="21230" xr:uid="{928EDDE0-AB2A-4D6F-B5B1-BBB54DDAD240}"/>
    <cellStyle name="Normal 4 4 5 5 3" xfId="6420" xr:uid="{00000000-0005-0000-0000-0000EC150000}"/>
    <cellStyle name="Normal 4 4 5 5 3 2" xfId="14862" xr:uid="{6B8EEC9C-E198-4982-BC3E-A11C2163ABBF}"/>
    <cellStyle name="Normal 4 4 5 5 3 3" xfId="23302" xr:uid="{BC104125-5A9B-4D24-AC49-DD76BAF57F16}"/>
    <cellStyle name="Normal 4 4 5 5 4" xfId="10644" xr:uid="{EB4FAC44-0485-483F-A388-52C04191D3D4}"/>
    <cellStyle name="Normal 4 4 5 5 5" xfId="19085" xr:uid="{CC1E75AF-366A-453E-B37C-16D3CC7CBBD8}"/>
    <cellStyle name="Normal 4 4 5 6" xfId="2549" xr:uid="{00000000-0005-0000-0000-0000ED150000}"/>
    <cellStyle name="Normal 4 4 5 6 2" xfId="6833" xr:uid="{00000000-0005-0000-0000-0000EE150000}"/>
    <cellStyle name="Normal 4 4 5 6 2 2" xfId="15275" xr:uid="{8FC64FB0-A77B-4A4A-95E7-873396E2F629}"/>
    <cellStyle name="Normal 4 4 5 6 2 3" xfId="23715" xr:uid="{AD0D0F04-1E5E-4C17-B16A-E474A0E99583}"/>
    <cellStyle name="Normal 4 4 5 6 3" xfId="11057" xr:uid="{F1BA86C1-10AE-4E8D-B018-245DF91FF132}"/>
    <cellStyle name="Normal 4 4 5 6 4" xfId="19498" xr:uid="{0DD966D1-FC4B-43DA-9B2B-4C79A62AE4B4}"/>
    <cellStyle name="Normal 4 4 5 7" xfId="4768" xr:uid="{00000000-0005-0000-0000-0000EF150000}"/>
    <cellStyle name="Normal 4 4 5 7 2" xfId="13210" xr:uid="{1538F0F0-83AC-4DD4-B165-3B3BFD337C8F}"/>
    <cellStyle name="Normal 4 4 5 7 3" xfId="21650" xr:uid="{0F7314D1-6A67-473C-AB28-E79185769556}"/>
    <cellStyle name="Normal 4 4 5 8" xfId="8992" xr:uid="{9D17FEE9-81BF-4043-8575-F1D2C71D95D7}"/>
    <cellStyle name="Normal 4 4 5 9" xfId="17433" xr:uid="{9A6712A0-AE2A-4B23-A26F-9A74D6430089}"/>
    <cellStyle name="Normal 4 4 6" xfId="853" xr:uid="{00000000-0005-0000-0000-0000F0150000}"/>
    <cellStyle name="Normal 4 4 6 2" xfId="3088" xr:uid="{00000000-0005-0000-0000-0000F1150000}"/>
    <cellStyle name="Normal 4 4 6 2 2" xfId="7311" xr:uid="{00000000-0005-0000-0000-0000F2150000}"/>
    <cellStyle name="Normal 4 4 6 2 2 2" xfId="15753" xr:uid="{ABBE854C-197B-4496-8B70-42C4DCD2C822}"/>
    <cellStyle name="Normal 4 4 6 2 2 3" xfId="24193" xr:uid="{053AA283-8E18-4948-8F40-69B2D34CB6F5}"/>
    <cellStyle name="Normal 4 4 6 2 3" xfId="11535" xr:uid="{80781453-7185-4C7A-926C-56D2DB755A44}"/>
    <cellStyle name="Normal 4 4 6 2 4" xfId="19976" xr:uid="{7BACF3DE-41EA-4B67-802A-131FCA41B394}"/>
    <cellStyle name="Normal 4 4 6 3" xfId="5166" xr:uid="{00000000-0005-0000-0000-0000F3150000}"/>
    <cellStyle name="Normal 4 4 6 3 2" xfId="13608" xr:uid="{E506B30E-9866-46CB-BEA4-1615B22314E7}"/>
    <cellStyle name="Normal 4 4 6 3 3" xfId="22048" xr:uid="{08384E77-11DF-42BF-B041-1294A0D72B83}"/>
    <cellStyle name="Normal 4 4 6 4" xfId="9390" xr:uid="{DAF51C57-DA75-4271-991F-D9F6A74B2E04}"/>
    <cellStyle name="Normal 4 4 6 5" xfId="17831" xr:uid="{C6A46CCE-A0D3-4194-B486-4E337DF13A48}"/>
    <cellStyle name="Normal 4 4 7" xfId="1271" xr:uid="{00000000-0005-0000-0000-0000F4150000}"/>
    <cellStyle name="Normal 4 4 7 2" xfId="3501" xr:uid="{00000000-0005-0000-0000-0000F5150000}"/>
    <cellStyle name="Normal 4 4 7 2 2" xfId="7724" xr:uid="{00000000-0005-0000-0000-0000F6150000}"/>
    <cellStyle name="Normal 4 4 7 2 2 2" xfId="16166" xr:uid="{687C1451-E7CA-49B0-9131-894E48C74FE5}"/>
    <cellStyle name="Normal 4 4 7 2 2 3" xfId="24606" xr:uid="{99266C82-F57D-43BC-8889-B8C2169CD0C9}"/>
    <cellStyle name="Normal 4 4 7 2 3" xfId="11948" xr:uid="{B92D3C11-AF93-4F3F-92E8-C554EE7A8A47}"/>
    <cellStyle name="Normal 4 4 7 2 4" xfId="20389" xr:uid="{FF465FD7-AD00-40F8-AE50-C5E4EB8B9C13}"/>
    <cellStyle name="Normal 4 4 7 3" xfId="5579" xr:uid="{00000000-0005-0000-0000-0000F7150000}"/>
    <cellStyle name="Normal 4 4 7 3 2" xfId="14021" xr:uid="{996CE135-C540-4784-8BB6-6DC362C66200}"/>
    <cellStyle name="Normal 4 4 7 3 3" xfId="22461" xr:uid="{0ABA7E67-C142-42BB-B175-CF268539FF53}"/>
    <cellStyle name="Normal 4 4 7 4" xfId="9803" xr:uid="{C0DF46B2-313B-4944-ADA7-7E2191D0E18F}"/>
    <cellStyle name="Normal 4 4 7 5" xfId="18244" xr:uid="{30B2CEDD-5453-43CB-9096-B3CEEEAB97EC}"/>
    <cellStyle name="Normal 4 4 8" xfId="1684" xr:uid="{00000000-0005-0000-0000-0000F8150000}"/>
    <cellStyle name="Normal 4 4 8 2" xfId="3914" xr:uid="{00000000-0005-0000-0000-0000F9150000}"/>
    <cellStyle name="Normal 4 4 8 2 2" xfId="8137" xr:uid="{00000000-0005-0000-0000-0000FA150000}"/>
    <cellStyle name="Normal 4 4 8 2 2 2" xfId="16579" xr:uid="{2FCE3623-A7FD-4F63-BE63-2E3E7D7D4108}"/>
    <cellStyle name="Normal 4 4 8 2 2 3" xfId="25019" xr:uid="{F0DB31A7-CA4A-4053-8987-E3F92726C0EB}"/>
    <cellStyle name="Normal 4 4 8 2 3" xfId="12361" xr:uid="{A33CC2F1-AE66-4ADC-B034-875F12A67814}"/>
    <cellStyle name="Normal 4 4 8 2 4" xfId="20802" xr:uid="{67EF450B-0166-44C0-A980-2C971087F512}"/>
    <cellStyle name="Normal 4 4 8 3" xfId="5992" xr:uid="{00000000-0005-0000-0000-0000FB150000}"/>
    <cellStyle name="Normal 4 4 8 3 2" xfId="14434" xr:uid="{FF4BE82B-120C-4723-B6B1-91FBB9F2A4EC}"/>
    <cellStyle name="Normal 4 4 8 3 3" xfId="22874" xr:uid="{1D35646B-0EC9-4A77-B52A-FBDDB14AD44F}"/>
    <cellStyle name="Normal 4 4 8 4" xfId="10216" xr:uid="{FBA7D97C-1BD7-417E-BE5C-22F6AD22BF38}"/>
    <cellStyle name="Normal 4 4 8 5" xfId="18657" xr:uid="{07D6510C-CDD8-442D-8EE7-3A9CC6FF330B}"/>
    <cellStyle name="Normal 4 4 9" xfId="2098" xr:uid="{00000000-0005-0000-0000-0000FC150000}"/>
    <cellStyle name="Normal 4 4 9 2" xfId="4327" xr:uid="{00000000-0005-0000-0000-0000FD150000}"/>
    <cellStyle name="Normal 4 4 9 2 2" xfId="8550" xr:uid="{00000000-0005-0000-0000-0000FE150000}"/>
    <cellStyle name="Normal 4 4 9 2 2 2" xfId="16992" xr:uid="{DCF66B45-E30A-4267-B9D2-73D2E82A32CC}"/>
    <cellStyle name="Normal 4 4 9 2 2 3" xfId="25432" xr:uid="{9EBEED86-C20E-4BC8-9E4E-0A02F44C8738}"/>
    <cellStyle name="Normal 4 4 9 2 3" xfId="12774" xr:uid="{BDCA60C4-3D29-4C25-BD4D-0A4068D8DACB}"/>
    <cellStyle name="Normal 4 4 9 2 4" xfId="21215" xr:uid="{CD1BE010-8750-4707-912F-619AD57CEEDD}"/>
    <cellStyle name="Normal 4 4 9 3" xfId="6405" xr:uid="{00000000-0005-0000-0000-0000FF150000}"/>
    <cellStyle name="Normal 4 4 9 3 2" xfId="14847" xr:uid="{968D005B-9F41-4077-A778-3A534554D3FB}"/>
    <cellStyle name="Normal 4 4 9 3 3" xfId="23287" xr:uid="{4FAA0489-CF9C-459D-866C-3A0AC0A317DA}"/>
    <cellStyle name="Normal 4 4 9 4" xfId="10629" xr:uid="{0C7BEBFF-DF92-468C-93DA-719910E64723}"/>
    <cellStyle name="Normal 4 4 9 5" xfId="19070" xr:uid="{CAA2935E-AE73-4608-8DF9-E13872490E20}"/>
    <cellStyle name="Normal 4 5" xfId="394" xr:uid="{00000000-0005-0000-0000-000000160000}"/>
    <cellStyle name="Normal 4 6" xfId="395" xr:uid="{00000000-0005-0000-0000-000001160000}"/>
    <cellStyle name="Normal 4 6 10" xfId="4769" xr:uid="{00000000-0005-0000-0000-000002160000}"/>
    <cellStyle name="Normal 4 6 10 2" xfId="13211" xr:uid="{5395A6E1-CE9D-4200-913D-41CA47243AF7}"/>
    <cellStyle name="Normal 4 6 10 3" xfId="21651" xr:uid="{FB069F98-CA61-4749-89C0-DEBCA826E064}"/>
    <cellStyle name="Normal 4 6 11" xfId="8993" xr:uid="{F9D69D53-4271-49EC-9239-3BDEF21C726F}"/>
    <cellStyle name="Normal 4 6 12" xfId="17434" xr:uid="{B46238B8-3CE4-4691-BCC5-11DAF08CA0A4}"/>
    <cellStyle name="Normal 4 6 2" xfId="396" xr:uid="{00000000-0005-0000-0000-000003160000}"/>
    <cellStyle name="Normal 4 6 2 10" xfId="8994" xr:uid="{27143F6B-3B77-44E9-9371-1EAB23681B67}"/>
    <cellStyle name="Normal 4 6 2 11" xfId="17435" xr:uid="{2E583963-3FEC-446C-88D5-630ABF6FB945}"/>
    <cellStyle name="Normal 4 6 2 2" xfId="397" xr:uid="{00000000-0005-0000-0000-000004160000}"/>
    <cellStyle name="Normal 4 6 2 2 10" xfId="17436" xr:uid="{F6C9D094-4558-4530-82D5-76F501D0E0C8}"/>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15772" xr:uid="{73E89A4B-1580-462A-876E-1402A34DF446}"/>
    <cellStyle name="Normal 4 6 2 2 2 2 2 2 3" xfId="24212" xr:uid="{4E79CD19-111A-4124-BB44-753BBFE1D6C0}"/>
    <cellStyle name="Normal 4 6 2 2 2 2 2 3" xfId="11554" xr:uid="{DE494067-899A-4A4B-8B07-F066BC3C2B49}"/>
    <cellStyle name="Normal 4 6 2 2 2 2 2 4" xfId="19995" xr:uid="{80AED4BD-D7D1-486F-9013-4A072BAEE8D1}"/>
    <cellStyle name="Normal 4 6 2 2 2 2 3" xfId="5185" xr:uid="{00000000-0005-0000-0000-000009160000}"/>
    <cellStyle name="Normal 4 6 2 2 2 2 3 2" xfId="13627" xr:uid="{7ECC2CBD-ECED-460E-AE5F-9051B4ECCFBE}"/>
    <cellStyle name="Normal 4 6 2 2 2 2 3 3" xfId="22067" xr:uid="{F19DA904-382C-477B-B796-9F4FB820E6E8}"/>
    <cellStyle name="Normal 4 6 2 2 2 2 4" xfId="9409" xr:uid="{89B1C29E-A81B-4CEE-A471-7A4FD269C92B}"/>
    <cellStyle name="Normal 4 6 2 2 2 2 5" xfId="17850" xr:uid="{00E73A22-D760-4C2C-8385-2AE7E0CFDE93}"/>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16185" xr:uid="{9CCE7394-8F3B-4C30-9ADD-0C21772F0CE0}"/>
    <cellStyle name="Normal 4 6 2 2 2 3 2 2 3" xfId="24625" xr:uid="{B58D1DF2-1EC8-48D2-8F44-EBBB52FD0190}"/>
    <cellStyle name="Normal 4 6 2 2 2 3 2 3" xfId="11967" xr:uid="{67F1370B-0C63-4576-9A0F-4B071CF79A9E}"/>
    <cellStyle name="Normal 4 6 2 2 2 3 2 4" xfId="20408" xr:uid="{90799D9C-AF4E-488A-96F7-9389590A1208}"/>
    <cellStyle name="Normal 4 6 2 2 2 3 3" xfId="5598" xr:uid="{00000000-0005-0000-0000-00000D160000}"/>
    <cellStyle name="Normal 4 6 2 2 2 3 3 2" xfId="14040" xr:uid="{2E46CDE0-091E-490B-AECD-57B188131CDA}"/>
    <cellStyle name="Normal 4 6 2 2 2 3 3 3" xfId="22480" xr:uid="{686511E7-D828-4C3D-BA1A-FDD431F5BFF6}"/>
    <cellStyle name="Normal 4 6 2 2 2 3 4" xfId="9822" xr:uid="{0A8E7A28-720C-4DA4-8518-2C577BEB1C85}"/>
    <cellStyle name="Normal 4 6 2 2 2 3 5" xfId="18263" xr:uid="{949BEE6D-39BD-4ABC-98AC-7629916025EF}"/>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16598" xr:uid="{35C1D482-C48D-4AC6-9034-863C59147BA2}"/>
    <cellStyle name="Normal 4 6 2 2 2 4 2 2 3" xfId="25038" xr:uid="{2818D3F0-0AF4-4A52-8BA3-32931283F8DE}"/>
    <cellStyle name="Normal 4 6 2 2 2 4 2 3" xfId="12380" xr:uid="{128BBACE-7681-4E87-9434-FDEB8EC4F312}"/>
    <cellStyle name="Normal 4 6 2 2 2 4 2 4" xfId="20821" xr:uid="{D911013D-D7E6-4773-A476-654BA42B6B17}"/>
    <cellStyle name="Normal 4 6 2 2 2 4 3" xfId="6011" xr:uid="{00000000-0005-0000-0000-000011160000}"/>
    <cellStyle name="Normal 4 6 2 2 2 4 3 2" xfId="14453" xr:uid="{8A71C307-40BA-4C84-A5EC-AD374E223580}"/>
    <cellStyle name="Normal 4 6 2 2 2 4 3 3" xfId="22893" xr:uid="{764FF030-628A-422E-B88B-32F2B1614D5C}"/>
    <cellStyle name="Normal 4 6 2 2 2 4 4" xfId="10235" xr:uid="{CE39FB1E-5463-4AC7-8C95-6D60A2AEC17D}"/>
    <cellStyle name="Normal 4 6 2 2 2 4 5" xfId="18676" xr:uid="{E0776D09-729E-4DF1-9D5C-C8CC42098B6C}"/>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17011" xr:uid="{DB3D438D-41CE-4AD5-AEFC-05B6E06935C4}"/>
    <cellStyle name="Normal 4 6 2 2 2 5 2 2 3" xfId="25451" xr:uid="{20D96AFD-A598-47B7-B3AE-6FDE33B5C0CB}"/>
    <cellStyle name="Normal 4 6 2 2 2 5 2 3" xfId="12793" xr:uid="{C8EFE033-E238-410D-BD21-B338C5FA78BB}"/>
    <cellStyle name="Normal 4 6 2 2 2 5 2 4" xfId="21234" xr:uid="{B0B999F7-6A0F-4C4E-80AD-73E7FA31F00D}"/>
    <cellStyle name="Normal 4 6 2 2 2 5 3" xfId="6424" xr:uid="{00000000-0005-0000-0000-000015160000}"/>
    <cellStyle name="Normal 4 6 2 2 2 5 3 2" xfId="14866" xr:uid="{1BA035B2-6D9C-4B5B-87FB-B9739BFB9177}"/>
    <cellStyle name="Normal 4 6 2 2 2 5 3 3" xfId="23306" xr:uid="{2DE37138-1B86-45C1-BAB5-4574E8874704}"/>
    <cellStyle name="Normal 4 6 2 2 2 5 4" xfId="10648" xr:uid="{A9BD35A4-44F0-4764-9A41-53AFF004FFAD}"/>
    <cellStyle name="Normal 4 6 2 2 2 5 5" xfId="19089" xr:uid="{BC08B1CA-4A7C-405C-96AA-7B64EDBE52BE}"/>
    <cellStyle name="Normal 4 6 2 2 2 6" xfId="2553" xr:uid="{00000000-0005-0000-0000-000016160000}"/>
    <cellStyle name="Normal 4 6 2 2 2 6 2" xfId="6837" xr:uid="{00000000-0005-0000-0000-000017160000}"/>
    <cellStyle name="Normal 4 6 2 2 2 6 2 2" xfId="15279" xr:uid="{0879EFB8-90E5-41EE-87FA-074162892E3F}"/>
    <cellStyle name="Normal 4 6 2 2 2 6 2 3" xfId="23719" xr:uid="{1EB99EB7-0816-4DCD-8D30-52C6EE50099C}"/>
    <cellStyle name="Normal 4 6 2 2 2 6 3" xfId="11061" xr:uid="{128D6362-1E9E-404B-9E6A-BC72B4FCAA10}"/>
    <cellStyle name="Normal 4 6 2 2 2 6 4" xfId="19502" xr:uid="{ACD83BB0-7EB9-423C-8A6D-F467D1EED0C6}"/>
    <cellStyle name="Normal 4 6 2 2 2 7" xfId="4772" xr:uid="{00000000-0005-0000-0000-000018160000}"/>
    <cellStyle name="Normal 4 6 2 2 2 7 2" xfId="13214" xr:uid="{D0F1D095-B479-40A0-BB99-777250E98BFE}"/>
    <cellStyle name="Normal 4 6 2 2 2 7 3" xfId="21654" xr:uid="{5BFDE266-2ED3-497F-BA23-101050124051}"/>
    <cellStyle name="Normal 4 6 2 2 2 8" xfId="8996" xr:uid="{55BF5672-F0B2-4822-9FAB-EE49E9C96FDE}"/>
    <cellStyle name="Normal 4 6 2 2 2 9" xfId="17437" xr:uid="{F7EDA553-E2D0-4531-A5AA-61FDBF50944D}"/>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15771" xr:uid="{9EAB3317-204F-4E5E-9D66-3F9A16BF6F27}"/>
    <cellStyle name="Normal 4 6 2 2 3 2 2 3" xfId="24211" xr:uid="{0996FA73-3F89-4B19-B697-FB994AF4D48C}"/>
    <cellStyle name="Normal 4 6 2 2 3 2 3" xfId="11553" xr:uid="{349D5F0C-E3CF-4C98-BF33-89BDDB929B9D}"/>
    <cellStyle name="Normal 4 6 2 2 3 2 4" xfId="19994" xr:uid="{287EF92E-9A18-45F5-9317-B9808E0C9D29}"/>
    <cellStyle name="Normal 4 6 2 2 3 3" xfId="5184" xr:uid="{00000000-0005-0000-0000-00001C160000}"/>
    <cellStyle name="Normal 4 6 2 2 3 3 2" xfId="13626" xr:uid="{D53577B9-47A3-46B8-949F-82BEFFA0DA00}"/>
    <cellStyle name="Normal 4 6 2 2 3 3 3" xfId="22066" xr:uid="{32816D23-283E-4875-9445-8C4593AD8B73}"/>
    <cellStyle name="Normal 4 6 2 2 3 4" xfId="9408" xr:uid="{AF005FBB-9097-445B-905C-0FF9740321B3}"/>
    <cellStyle name="Normal 4 6 2 2 3 5" xfId="17849" xr:uid="{DC87FABB-BD3F-450F-B70A-8A87C5ED9E24}"/>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16184" xr:uid="{68E496F7-3894-482C-8085-19D5E8BF8A55}"/>
    <cellStyle name="Normal 4 6 2 2 4 2 2 3" xfId="24624" xr:uid="{90EF58E8-7F1B-40CD-9E55-D17568AF1003}"/>
    <cellStyle name="Normal 4 6 2 2 4 2 3" xfId="11966" xr:uid="{D37C96C8-3A69-4318-8151-E91A9740956F}"/>
    <cellStyle name="Normal 4 6 2 2 4 2 4" xfId="20407" xr:uid="{19074EEA-5AA2-4AD3-8785-50714EFF3615}"/>
    <cellStyle name="Normal 4 6 2 2 4 3" xfId="5597" xr:uid="{00000000-0005-0000-0000-000020160000}"/>
    <cellStyle name="Normal 4 6 2 2 4 3 2" xfId="14039" xr:uid="{8CBDB164-CE22-4E86-92AB-E020C9CA224D}"/>
    <cellStyle name="Normal 4 6 2 2 4 3 3" xfId="22479" xr:uid="{479E86AF-3BF1-400D-A267-1F605E4120BB}"/>
    <cellStyle name="Normal 4 6 2 2 4 4" xfId="9821" xr:uid="{50A77D1E-3ABD-49BF-8111-8F685C835156}"/>
    <cellStyle name="Normal 4 6 2 2 4 5" xfId="18262" xr:uid="{8A87E6C0-A0A6-4AF1-B059-A0CC2CC847A5}"/>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16597" xr:uid="{48284F74-A776-446B-B3F7-CE67484BDF6A}"/>
    <cellStyle name="Normal 4 6 2 2 5 2 2 3" xfId="25037" xr:uid="{02C69CB5-3586-4BDA-959F-13AD7989F595}"/>
    <cellStyle name="Normal 4 6 2 2 5 2 3" xfId="12379" xr:uid="{2673137D-3716-48B8-9A92-0D117699489D}"/>
    <cellStyle name="Normal 4 6 2 2 5 2 4" xfId="20820" xr:uid="{FAA359FA-EC77-462B-87DD-73A29A0FDA79}"/>
    <cellStyle name="Normal 4 6 2 2 5 3" xfId="6010" xr:uid="{00000000-0005-0000-0000-000024160000}"/>
    <cellStyle name="Normal 4 6 2 2 5 3 2" xfId="14452" xr:uid="{F34D189D-5AD9-4EFC-8BE5-02D8CB7B2DE4}"/>
    <cellStyle name="Normal 4 6 2 2 5 3 3" xfId="22892" xr:uid="{E920C9A9-2D1A-44E0-AEDA-AD851480EF0A}"/>
    <cellStyle name="Normal 4 6 2 2 5 4" xfId="10234" xr:uid="{5AAF2086-E8C1-4F39-A911-E84760525D02}"/>
    <cellStyle name="Normal 4 6 2 2 5 5" xfId="18675" xr:uid="{DCD9E6A3-B5C3-4081-B769-2EB8760A4956}"/>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17010" xr:uid="{7B31413B-6D80-44AA-A21A-6D55D3163388}"/>
    <cellStyle name="Normal 4 6 2 2 6 2 2 3" xfId="25450" xr:uid="{437F9149-8257-406F-9C6E-FFD5E627CB9B}"/>
    <cellStyle name="Normal 4 6 2 2 6 2 3" xfId="12792" xr:uid="{52C83D0D-9EDB-40D4-9068-7EFD827F7279}"/>
    <cellStyle name="Normal 4 6 2 2 6 2 4" xfId="21233" xr:uid="{2891C8B7-09F9-4544-AEB7-7F105B4E4600}"/>
    <cellStyle name="Normal 4 6 2 2 6 3" xfId="6423" xr:uid="{00000000-0005-0000-0000-000028160000}"/>
    <cellStyle name="Normal 4 6 2 2 6 3 2" xfId="14865" xr:uid="{DD248A24-8302-47E0-A571-2540675A6654}"/>
    <cellStyle name="Normal 4 6 2 2 6 3 3" xfId="23305" xr:uid="{72CF6F28-A55B-4AC4-99A9-20369E1BF72C}"/>
    <cellStyle name="Normal 4 6 2 2 6 4" xfId="10647" xr:uid="{A67F1508-79F7-4BBC-937E-F66EB58D80CA}"/>
    <cellStyle name="Normal 4 6 2 2 6 5" xfId="19088" xr:uid="{C2F0C36D-514E-4A02-A553-91C13DCF09BD}"/>
    <cellStyle name="Normal 4 6 2 2 7" xfId="2552" xr:uid="{00000000-0005-0000-0000-000029160000}"/>
    <cellStyle name="Normal 4 6 2 2 7 2" xfId="6836" xr:uid="{00000000-0005-0000-0000-00002A160000}"/>
    <cellStyle name="Normal 4 6 2 2 7 2 2" xfId="15278" xr:uid="{88C4C194-7596-42D3-A8A9-F286B0B33CCF}"/>
    <cellStyle name="Normal 4 6 2 2 7 2 3" xfId="23718" xr:uid="{CA33BEE3-428C-43B4-8CC7-A93E12FFEB6D}"/>
    <cellStyle name="Normal 4 6 2 2 7 3" xfId="11060" xr:uid="{210A0B2F-1F3E-4AC4-AEE4-6F3083CD809C}"/>
    <cellStyle name="Normal 4 6 2 2 7 4" xfId="19501" xr:uid="{0E1AF646-8F5B-4376-8CFD-2A5E898EF8C9}"/>
    <cellStyle name="Normal 4 6 2 2 8" xfId="4771" xr:uid="{00000000-0005-0000-0000-00002B160000}"/>
    <cellStyle name="Normal 4 6 2 2 8 2" xfId="13213" xr:uid="{C1A98358-ACC6-426F-BB32-6C4E86A30161}"/>
    <cellStyle name="Normal 4 6 2 2 8 3" xfId="21653" xr:uid="{06A97481-915C-422A-B98C-A958F1C3345A}"/>
    <cellStyle name="Normal 4 6 2 2 9" xfId="8995" xr:uid="{67B967F6-33E2-46F6-A709-F8FC2900A70E}"/>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15773" xr:uid="{B27C6E50-EDB9-4243-AFDA-445D9CFBB883}"/>
    <cellStyle name="Normal 4 6 2 3 2 2 2 3" xfId="24213" xr:uid="{4A45B668-C755-4B0C-8C55-92D55DBCF078}"/>
    <cellStyle name="Normal 4 6 2 3 2 2 3" xfId="11555" xr:uid="{2B3C1F8D-17A8-400E-8DC4-89E6C7F665FC}"/>
    <cellStyle name="Normal 4 6 2 3 2 2 4" xfId="19996" xr:uid="{C62F2104-1009-477A-8718-EC6F84710221}"/>
    <cellStyle name="Normal 4 6 2 3 2 3" xfId="5186" xr:uid="{00000000-0005-0000-0000-000030160000}"/>
    <cellStyle name="Normal 4 6 2 3 2 3 2" xfId="13628" xr:uid="{AC3DF83F-6BA1-4906-B2A9-6EF4A9E0C225}"/>
    <cellStyle name="Normal 4 6 2 3 2 3 3" xfId="22068" xr:uid="{C26367B8-010A-4675-84C1-22D7828DE61C}"/>
    <cellStyle name="Normal 4 6 2 3 2 4" xfId="9410" xr:uid="{960CE6D9-61FB-433E-9F82-85093283AD53}"/>
    <cellStyle name="Normal 4 6 2 3 2 5" xfId="17851" xr:uid="{EEFF2B19-F8A0-4D4B-BB21-B84F097A0F43}"/>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16186" xr:uid="{798E2184-C208-4480-9D92-F24CA84C341A}"/>
    <cellStyle name="Normal 4 6 2 3 3 2 2 3" xfId="24626" xr:uid="{CEE99DBC-1717-412A-B2AB-2941BA52B8D4}"/>
    <cellStyle name="Normal 4 6 2 3 3 2 3" xfId="11968" xr:uid="{EB86A85B-35FC-46F8-B4A9-5B889DEC086F}"/>
    <cellStyle name="Normal 4 6 2 3 3 2 4" xfId="20409" xr:uid="{3653404E-22A6-4311-9619-480BB8129BA6}"/>
    <cellStyle name="Normal 4 6 2 3 3 3" xfId="5599" xr:uid="{00000000-0005-0000-0000-000034160000}"/>
    <cellStyle name="Normal 4 6 2 3 3 3 2" xfId="14041" xr:uid="{22BE4BA6-0D0E-4F10-83A1-16E55FFB27D3}"/>
    <cellStyle name="Normal 4 6 2 3 3 3 3" xfId="22481" xr:uid="{F1ADCB51-C04A-4D18-BDC8-4B929D52405A}"/>
    <cellStyle name="Normal 4 6 2 3 3 4" xfId="9823" xr:uid="{1886700B-FF86-40F9-A274-B6D782DF3D0A}"/>
    <cellStyle name="Normal 4 6 2 3 3 5" xfId="18264" xr:uid="{5E532814-83B4-49F2-8EFA-55BDFD5990BE}"/>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16599" xr:uid="{C9A35CE4-2768-4BAF-90A3-7135D3DEA465}"/>
    <cellStyle name="Normal 4 6 2 3 4 2 2 3" xfId="25039" xr:uid="{5A592B21-E6BD-4F50-8A8C-D296FDF23738}"/>
    <cellStyle name="Normal 4 6 2 3 4 2 3" xfId="12381" xr:uid="{46977797-B28B-4767-8271-20D52D66656A}"/>
    <cellStyle name="Normal 4 6 2 3 4 2 4" xfId="20822" xr:uid="{5C89CF34-07E7-4B57-9C61-74ADF82BA421}"/>
    <cellStyle name="Normal 4 6 2 3 4 3" xfId="6012" xr:uid="{00000000-0005-0000-0000-000038160000}"/>
    <cellStyle name="Normal 4 6 2 3 4 3 2" xfId="14454" xr:uid="{B89C7147-9CAA-4CB3-A518-FBD70E62A04D}"/>
    <cellStyle name="Normal 4 6 2 3 4 3 3" xfId="22894" xr:uid="{29A55B2F-DCAE-42A5-BB30-1E015A6F99E6}"/>
    <cellStyle name="Normal 4 6 2 3 4 4" xfId="10236" xr:uid="{6470A446-B34B-4B23-8CF5-46FB826EC25F}"/>
    <cellStyle name="Normal 4 6 2 3 4 5" xfId="18677" xr:uid="{B04982DB-9DE5-42B5-8526-103322283E6D}"/>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17012" xr:uid="{587DEB0B-EC5B-49A0-BD5B-136A528282F0}"/>
    <cellStyle name="Normal 4 6 2 3 5 2 2 3" xfId="25452" xr:uid="{9E5C5411-00B4-4190-8990-4F4CEA415925}"/>
    <cellStyle name="Normal 4 6 2 3 5 2 3" xfId="12794" xr:uid="{F8F7F81F-3649-447A-BFF5-EE2BB377282A}"/>
    <cellStyle name="Normal 4 6 2 3 5 2 4" xfId="21235" xr:uid="{A5525704-EEBC-48D7-B839-55C7FAC12D0D}"/>
    <cellStyle name="Normal 4 6 2 3 5 3" xfId="6425" xr:uid="{00000000-0005-0000-0000-00003C160000}"/>
    <cellStyle name="Normal 4 6 2 3 5 3 2" xfId="14867" xr:uid="{B77AE710-000E-4A69-BEA7-3D4FDCA47BDF}"/>
    <cellStyle name="Normal 4 6 2 3 5 3 3" xfId="23307" xr:uid="{0A0EC370-EC2B-432B-97DE-D74568A298BE}"/>
    <cellStyle name="Normal 4 6 2 3 5 4" xfId="10649" xr:uid="{C309EF45-BFE7-4BF5-A20B-D9EB879470F7}"/>
    <cellStyle name="Normal 4 6 2 3 5 5" xfId="19090" xr:uid="{6EC3FBB0-CA34-44C8-9DFC-6A9E300E822F}"/>
    <cellStyle name="Normal 4 6 2 3 6" xfId="2554" xr:uid="{00000000-0005-0000-0000-00003D160000}"/>
    <cellStyle name="Normal 4 6 2 3 6 2" xfId="6838" xr:uid="{00000000-0005-0000-0000-00003E160000}"/>
    <cellStyle name="Normal 4 6 2 3 6 2 2" xfId="15280" xr:uid="{CC2CFD25-D85A-4E44-929D-D3C62C61471C}"/>
    <cellStyle name="Normal 4 6 2 3 6 2 3" xfId="23720" xr:uid="{F29C5DCB-0746-44B3-99C3-DB43C252BF5E}"/>
    <cellStyle name="Normal 4 6 2 3 6 3" xfId="11062" xr:uid="{672972EA-B98E-4F53-BBA1-2CF684A18089}"/>
    <cellStyle name="Normal 4 6 2 3 6 4" xfId="19503" xr:uid="{E13FD437-3002-4154-83C9-9BE205F935D2}"/>
    <cellStyle name="Normal 4 6 2 3 7" xfId="4773" xr:uid="{00000000-0005-0000-0000-00003F160000}"/>
    <cellStyle name="Normal 4 6 2 3 7 2" xfId="13215" xr:uid="{63EEA035-A0A0-422A-8A4E-9514CE70E7F8}"/>
    <cellStyle name="Normal 4 6 2 3 7 3" xfId="21655" xr:uid="{791D900C-E41F-403A-8480-A7DD547C6B33}"/>
    <cellStyle name="Normal 4 6 2 3 8" xfId="8997" xr:uid="{62C015BF-04DE-4DBE-A75F-DB9688125DD0}"/>
    <cellStyle name="Normal 4 6 2 3 9" xfId="17438" xr:uid="{F8D5C752-26B1-4020-8CC7-008DE854D1E3}"/>
    <cellStyle name="Normal 4 6 2 4" xfId="870" xr:uid="{00000000-0005-0000-0000-000040160000}"/>
    <cellStyle name="Normal 4 6 2 4 2" xfId="3105" xr:uid="{00000000-0005-0000-0000-000041160000}"/>
    <cellStyle name="Normal 4 6 2 4 2 2" xfId="7328" xr:uid="{00000000-0005-0000-0000-000042160000}"/>
    <cellStyle name="Normal 4 6 2 4 2 2 2" xfId="15770" xr:uid="{31203FE2-B733-4D3D-8C29-DDB7BA8F2964}"/>
    <cellStyle name="Normal 4 6 2 4 2 2 3" xfId="24210" xr:uid="{DD3F09F5-E0A6-43E3-A142-0BBB95B2A3FB}"/>
    <cellStyle name="Normal 4 6 2 4 2 3" xfId="11552" xr:uid="{1B834290-C326-48E4-A1D0-071AEB3ACD7D}"/>
    <cellStyle name="Normal 4 6 2 4 2 4" xfId="19993" xr:uid="{09F3B627-FE37-489D-9EEC-2760227430D0}"/>
    <cellStyle name="Normal 4 6 2 4 3" xfId="5183" xr:uid="{00000000-0005-0000-0000-000043160000}"/>
    <cellStyle name="Normal 4 6 2 4 3 2" xfId="13625" xr:uid="{E7894CEC-1B3C-4F9E-AFCB-8D032FAB1F10}"/>
    <cellStyle name="Normal 4 6 2 4 3 3" xfId="22065" xr:uid="{2F566BC6-3A4A-47B0-8D54-E12B1A5523CF}"/>
    <cellStyle name="Normal 4 6 2 4 4" xfId="9407" xr:uid="{FB5B1CD0-CA5F-41DD-9FDB-FC8ACB78A516}"/>
    <cellStyle name="Normal 4 6 2 4 5" xfId="17848" xr:uid="{03358F68-F2C0-4C15-9AEB-6CBCEF417A47}"/>
    <cellStyle name="Normal 4 6 2 5" xfId="1288" xr:uid="{00000000-0005-0000-0000-000044160000}"/>
    <cellStyle name="Normal 4 6 2 5 2" xfId="3518" xr:uid="{00000000-0005-0000-0000-000045160000}"/>
    <cellStyle name="Normal 4 6 2 5 2 2" xfId="7741" xr:uid="{00000000-0005-0000-0000-000046160000}"/>
    <cellStyle name="Normal 4 6 2 5 2 2 2" xfId="16183" xr:uid="{50542EA2-0B9E-4C17-8863-340C7CB035C5}"/>
    <cellStyle name="Normal 4 6 2 5 2 2 3" xfId="24623" xr:uid="{F8C3886C-4C08-461D-9FDF-63D3217ADE5E}"/>
    <cellStyle name="Normal 4 6 2 5 2 3" xfId="11965" xr:uid="{0D13E089-D1EF-4AD3-A052-A871BA7973B4}"/>
    <cellStyle name="Normal 4 6 2 5 2 4" xfId="20406" xr:uid="{BB84D484-E9CE-480D-BF5C-882641D43C73}"/>
    <cellStyle name="Normal 4 6 2 5 3" xfId="5596" xr:uid="{00000000-0005-0000-0000-000047160000}"/>
    <cellStyle name="Normal 4 6 2 5 3 2" xfId="14038" xr:uid="{CD940F33-56FE-4C13-A1B5-57112CC44B87}"/>
    <cellStyle name="Normal 4 6 2 5 3 3" xfId="22478" xr:uid="{2A735BB0-E96C-4786-93B2-3382A3A29C68}"/>
    <cellStyle name="Normal 4 6 2 5 4" xfId="9820" xr:uid="{FF666522-D9EB-4387-89E2-4BFAAADC0A21}"/>
    <cellStyle name="Normal 4 6 2 5 5" xfId="18261" xr:uid="{F2B7DEFE-91DB-4086-9774-283F8D68EAEA}"/>
    <cellStyle name="Normal 4 6 2 6" xfId="1701" xr:uid="{00000000-0005-0000-0000-000048160000}"/>
    <cellStyle name="Normal 4 6 2 6 2" xfId="3931" xr:uid="{00000000-0005-0000-0000-000049160000}"/>
    <cellStyle name="Normal 4 6 2 6 2 2" xfId="8154" xr:uid="{00000000-0005-0000-0000-00004A160000}"/>
    <cellStyle name="Normal 4 6 2 6 2 2 2" xfId="16596" xr:uid="{0D058EE1-67DC-4527-9082-F01A24A29CDB}"/>
    <cellStyle name="Normal 4 6 2 6 2 2 3" xfId="25036" xr:uid="{EEADD0A2-8A82-4412-B6A8-48C3BB793F3D}"/>
    <cellStyle name="Normal 4 6 2 6 2 3" xfId="12378" xr:uid="{90E7E01B-5161-4AB0-83C8-E11FC970B40A}"/>
    <cellStyle name="Normal 4 6 2 6 2 4" xfId="20819" xr:uid="{3EEF35B2-80D2-447B-90DF-1BD5181F04D0}"/>
    <cellStyle name="Normal 4 6 2 6 3" xfId="6009" xr:uid="{00000000-0005-0000-0000-00004B160000}"/>
    <cellStyle name="Normal 4 6 2 6 3 2" xfId="14451" xr:uid="{9CC189AD-FC25-4711-B9C8-DB8D09A82F2C}"/>
    <cellStyle name="Normal 4 6 2 6 3 3" xfId="22891" xr:uid="{C6BB8685-62C1-4432-854D-B6E335B93BBC}"/>
    <cellStyle name="Normal 4 6 2 6 4" xfId="10233" xr:uid="{B8C8EAB7-A1E4-414E-9947-52101DC9B745}"/>
    <cellStyle name="Normal 4 6 2 6 5" xfId="18674" xr:uid="{C3F99841-49A1-485D-89B3-96887E8014A5}"/>
    <cellStyle name="Normal 4 6 2 7" xfId="2115" xr:uid="{00000000-0005-0000-0000-00004C160000}"/>
    <cellStyle name="Normal 4 6 2 7 2" xfId="4344" xr:uid="{00000000-0005-0000-0000-00004D160000}"/>
    <cellStyle name="Normal 4 6 2 7 2 2" xfId="8567" xr:uid="{00000000-0005-0000-0000-00004E160000}"/>
    <cellStyle name="Normal 4 6 2 7 2 2 2" xfId="17009" xr:uid="{021E4431-93CE-4301-A369-F3A9E2A38AED}"/>
    <cellStyle name="Normal 4 6 2 7 2 2 3" xfId="25449" xr:uid="{C1BA85FA-D0D9-42DF-9775-DC96F0BF425C}"/>
    <cellStyle name="Normal 4 6 2 7 2 3" xfId="12791" xr:uid="{0D7BCC7B-F43B-45AF-9548-7BA9F30E22C6}"/>
    <cellStyle name="Normal 4 6 2 7 2 4" xfId="21232" xr:uid="{FD87D42D-72B0-42B4-B07C-56B9566B6E5D}"/>
    <cellStyle name="Normal 4 6 2 7 3" xfId="6422" xr:uid="{00000000-0005-0000-0000-00004F160000}"/>
    <cellStyle name="Normal 4 6 2 7 3 2" xfId="14864" xr:uid="{5347976E-3FD6-4592-AF7A-8C7B89C9D871}"/>
    <cellStyle name="Normal 4 6 2 7 3 3" xfId="23304" xr:uid="{5192DA70-5954-40B1-B73D-5CC8DF20537D}"/>
    <cellStyle name="Normal 4 6 2 7 4" xfId="10646" xr:uid="{B7C2AD45-01D7-4D5C-99DF-AC2C18DDC537}"/>
    <cellStyle name="Normal 4 6 2 7 5" xfId="19087" xr:uid="{041007BD-EB1B-423D-9C06-D8D31ED55ECC}"/>
    <cellStyle name="Normal 4 6 2 8" xfId="2551" xr:uid="{00000000-0005-0000-0000-000050160000}"/>
    <cellStyle name="Normal 4 6 2 8 2" xfId="6835" xr:uid="{00000000-0005-0000-0000-000051160000}"/>
    <cellStyle name="Normal 4 6 2 8 2 2" xfId="15277" xr:uid="{C845554D-5FFA-4196-A876-A8AFDF23CFB4}"/>
    <cellStyle name="Normal 4 6 2 8 2 3" xfId="23717" xr:uid="{54C9F87E-C790-476F-8FB8-939FB4D855E6}"/>
    <cellStyle name="Normal 4 6 2 8 3" xfId="11059" xr:uid="{03762C15-7A26-460E-A0F1-6477A8E2015A}"/>
    <cellStyle name="Normal 4 6 2 8 4" xfId="19500" xr:uid="{BAC55EC0-9CE5-479A-93F0-CA87F3B682FB}"/>
    <cellStyle name="Normal 4 6 2 9" xfId="4770" xr:uid="{00000000-0005-0000-0000-000052160000}"/>
    <cellStyle name="Normal 4 6 2 9 2" xfId="13212" xr:uid="{DF28E612-2550-4936-BA88-1CB97550598E}"/>
    <cellStyle name="Normal 4 6 2 9 3" xfId="21652" xr:uid="{544305F6-570C-47A9-BD20-F10A5024F5FE}"/>
    <cellStyle name="Normal 4 6 3" xfId="400" xr:uid="{00000000-0005-0000-0000-000053160000}"/>
    <cellStyle name="Normal 4 6 3 10" xfId="17439" xr:uid="{3E862451-F272-442A-BCF0-4BA3013D287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15775" xr:uid="{D2ADFD56-157B-49F0-8C72-0218958D3881}"/>
    <cellStyle name="Normal 4 6 3 2 2 2 2 3" xfId="24215" xr:uid="{4064CDCB-5AE5-4701-8107-225FF22522A0}"/>
    <cellStyle name="Normal 4 6 3 2 2 2 3" xfId="11557" xr:uid="{8F768078-2A37-4B8A-98AA-03F23226C23A}"/>
    <cellStyle name="Normal 4 6 3 2 2 2 4" xfId="19998" xr:uid="{E0A64436-C543-490B-AA0A-C6FDAE40322F}"/>
    <cellStyle name="Normal 4 6 3 2 2 3" xfId="5188" xr:uid="{00000000-0005-0000-0000-000058160000}"/>
    <cellStyle name="Normal 4 6 3 2 2 3 2" xfId="13630" xr:uid="{71426EC8-7EB7-4B0C-BAFB-C724596BC9DF}"/>
    <cellStyle name="Normal 4 6 3 2 2 3 3" xfId="22070" xr:uid="{960E0FFE-F039-4BE4-8058-297016448A54}"/>
    <cellStyle name="Normal 4 6 3 2 2 4" xfId="9412" xr:uid="{C5F0DC82-8F8F-403C-86C3-8E25BB2FD11C}"/>
    <cellStyle name="Normal 4 6 3 2 2 5" xfId="17853" xr:uid="{7F41F04C-82E9-4069-91BE-85D8AB887136}"/>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16188" xr:uid="{DB587FB0-1A5D-4A44-B6CD-F2F7F1E47606}"/>
    <cellStyle name="Normal 4 6 3 2 3 2 2 3" xfId="24628" xr:uid="{7825EBF3-88AE-462B-B771-D98F5D4D0A49}"/>
    <cellStyle name="Normal 4 6 3 2 3 2 3" xfId="11970" xr:uid="{F53558AA-AE01-4A43-BD78-B3EAC5FFCC19}"/>
    <cellStyle name="Normal 4 6 3 2 3 2 4" xfId="20411" xr:uid="{1F8B423F-863E-4FD3-BB81-9BEF795147ED}"/>
    <cellStyle name="Normal 4 6 3 2 3 3" xfId="5601" xr:uid="{00000000-0005-0000-0000-00005C160000}"/>
    <cellStyle name="Normal 4 6 3 2 3 3 2" xfId="14043" xr:uid="{6AF595A9-C300-440C-8069-3A13D3F45AC4}"/>
    <cellStyle name="Normal 4 6 3 2 3 3 3" xfId="22483" xr:uid="{AA03A1CA-75AD-476C-8EFC-5C4FFBB55691}"/>
    <cellStyle name="Normal 4 6 3 2 3 4" xfId="9825" xr:uid="{18BBC541-0F2C-4357-AD84-26858A9DAC43}"/>
    <cellStyle name="Normal 4 6 3 2 3 5" xfId="18266" xr:uid="{8302F5AE-529A-4CC1-865E-A07F3A851EE0}"/>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16601" xr:uid="{890539D5-2B4B-411D-95BE-CFF779942E3F}"/>
    <cellStyle name="Normal 4 6 3 2 4 2 2 3" xfId="25041" xr:uid="{268863E7-09D5-48F1-9CEA-2C19305DF035}"/>
    <cellStyle name="Normal 4 6 3 2 4 2 3" xfId="12383" xr:uid="{79F4FFE4-D9FE-4F2F-BBD4-6B10F95703D3}"/>
    <cellStyle name="Normal 4 6 3 2 4 2 4" xfId="20824" xr:uid="{20A23EB2-9A4C-416A-AD13-0B6F707FFE75}"/>
    <cellStyle name="Normal 4 6 3 2 4 3" xfId="6014" xr:uid="{00000000-0005-0000-0000-000060160000}"/>
    <cellStyle name="Normal 4 6 3 2 4 3 2" xfId="14456" xr:uid="{D36A0413-E45D-4042-92A7-94D4A78D48BF}"/>
    <cellStyle name="Normal 4 6 3 2 4 3 3" xfId="22896" xr:uid="{37D5883B-1C76-4B3E-B427-FE12C5F22C23}"/>
    <cellStyle name="Normal 4 6 3 2 4 4" xfId="10238" xr:uid="{4EEE8175-B4E7-4F0B-BE28-1978DC40E46C}"/>
    <cellStyle name="Normal 4 6 3 2 4 5" xfId="18679" xr:uid="{F8A6F4D6-022D-4A06-BA53-5C6389D28394}"/>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17014" xr:uid="{40A6CC80-7327-4148-BCA3-C81D570B6285}"/>
    <cellStyle name="Normal 4 6 3 2 5 2 2 3" xfId="25454" xr:uid="{7A20C26E-8814-463E-9190-543999AB877C}"/>
    <cellStyle name="Normal 4 6 3 2 5 2 3" xfId="12796" xr:uid="{543277A9-85BB-4216-B09E-02FE49F877D1}"/>
    <cellStyle name="Normal 4 6 3 2 5 2 4" xfId="21237" xr:uid="{C041D07F-14F3-4392-922F-A59327CBC068}"/>
    <cellStyle name="Normal 4 6 3 2 5 3" xfId="6427" xr:uid="{00000000-0005-0000-0000-000064160000}"/>
    <cellStyle name="Normal 4 6 3 2 5 3 2" xfId="14869" xr:uid="{8F7CDCF2-80AE-4E97-B408-A6DC46429680}"/>
    <cellStyle name="Normal 4 6 3 2 5 3 3" xfId="23309" xr:uid="{3A74FF34-9CEE-4D82-96F9-9A4228855748}"/>
    <cellStyle name="Normal 4 6 3 2 5 4" xfId="10651" xr:uid="{197B37A0-7571-4762-AFA2-1F38B86A695A}"/>
    <cellStyle name="Normal 4 6 3 2 5 5" xfId="19092" xr:uid="{876E54FD-94D6-4B2F-86C0-B955AE2F753B}"/>
    <cellStyle name="Normal 4 6 3 2 6" xfId="2556" xr:uid="{00000000-0005-0000-0000-000065160000}"/>
    <cellStyle name="Normal 4 6 3 2 6 2" xfId="6840" xr:uid="{00000000-0005-0000-0000-000066160000}"/>
    <cellStyle name="Normal 4 6 3 2 6 2 2" xfId="15282" xr:uid="{06F59A51-9543-4578-81AF-45D576DAE8CB}"/>
    <cellStyle name="Normal 4 6 3 2 6 2 3" xfId="23722" xr:uid="{266F0961-41F6-4BFD-8232-8AEF1241B543}"/>
    <cellStyle name="Normal 4 6 3 2 6 3" xfId="11064" xr:uid="{FD4CE727-45A1-4DF5-9DC1-44531C8F7EFB}"/>
    <cellStyle name="Normal 4 6 3 2 6 4" xfId="19505" xr:uid="{66981272-35C2-4EFF-92B2-B93777C40B44}"/>
    <cellStyle name="Normal 4 6 3 2 7" xfId="4775" xr:uid="{00000000-0005-0000-0000-000067160000}"/>
    <cellStyle name="Normal 4 6 3 2 7 2" xfId="13217" xr:uid="{E3EBF538-1161-4D02-9EA6-65B05603048C}"/>
    <cellStyle name="Normal 4 6 3 2 7 3" xfId="21657" xr:uid="{94FD7A47-987D-4A75-BAF4-A0194FFA226E}"/>
    <cellStyle name="Normal 4 6 3 2 8" xfId="8999" xr:uid="{C46D6CE1-4AB2-434D-A5E4-4CB0C29CC155}"/>
    <cellStyle name="Normal 4 6 3 2 9" xfId="17440" xr:uid="{8061B4EC-86D7-4796-B016-A24F8040375E}"/>
    <cellStyle name="Normal 4 6 3 3" xfId="874" xr:uid="{00000000-0005-0000-0000-000068160000}"/>
    <cellStyle name="Normal 4 6 3 3 2" xfId="3109" xr:uid="{00000000-0005-0000-0000-000069160000}"/>
    <cellStyle name="Normal 4 6 3 3 2 2" xfId="7332" xr:uid="{00000000-0005-0000-0000-00006A160000}"/>
    <cellStyle name="Normal 4 6 3 3 2 2 2" xfId="15774" xr:uid="{F6283F5C-C683-4EA9-B90C-286ACFEC9D5C}"/>
    <cellStyle name="Normal 4 6 3 3 2 2 3" xfId="24214" xr:uid="{5FA90E1B-92CB-41F9-B5B4-AE0969DF6E08}"/>
    <cellStyle name="Normal 4 6 3 3 2 3" xfId="11556" xr:uid="{29A57B84-550F-40FE-ABAC-19E6BD0E7D29}"/>
    <cellStyle name="Normal 4 6 3 3 2 4" xfId="19997" xr:uid="{1F06C51F-6EBB-48EA-9457-F4264EADD53A}"/>
    <cellStyle name="Normal 4 6 3 3 3" xfId="5187" xr:uid="{00000000-0005-0000-0000-00006B160000}"/>
    <cellStyle name="Normal 4 6 3 3 3 2" xfId="13629" xr:uid="{4C904B43-5B64-41D0-906E-1DF11C33F2B4}"/>
    <cellStyle name="Normal 4 6 3 3 3 3" xfId="22069" xr:uid="{0B19AFA4-ECCA-44E5-BA88-F93DB2845B86}"/>
    <cellStyle name="Normal 4 6 3 3 4" xfId="9411" xr:uid="{46D6F024-28C4-46F4-8AC4-2B218B6F82D7}"/>
    <cellStyle name="Normal 4 6 3 3 5" xfId="17852" xr:uid="{0383089C-7B81-4F52-AD99-633589182B11}"/>
    <cellStyle name="Normal 4 6 3 4" xfId="1292" xr:uid="{00000000-0005-0000-0000-00006C160000}"/>
    <cellStyle name="Normal 4 6 3 4 2" xfId="3522" xr:uid="{00000000-0005-0000-0000-00006D160000}"/>
    <cellStyle name="Normal 4 6 3 4 2 2" xfId="7745" xr:uid="{00000000-0005-0000-0000-00006E160000}"/>
    <cellStyle name="Normal 4 6 3 4 2 2 2" xfId="16187" xr:uid="{D284F0F4-2385-4A95-A74C-833A0BE4AC2C}"/>
    <cellStyle name="Normal 4 6 3 4 2 2 3" xfId="24627" xr:uid="{7FCB4EF0-6D6A-4495-B344-3127ADE8CAD4}"/>
    <cellStyle name="Normal 4 6 3 4 2 3" xfId="11969" xr:uid="{C2487B6D-DE43-4CD8-87B3-39E572541DAD}"/>
    <cellStyle name="Normal 4 6 3 4 2 4" xfId="20410" xr:uid="{86A46564-B12D-48F2-826A-15E9BEED3460}"/>
    <cellStyle name="Normal 4 6 3 4 3" xfId="5600" xr:uid="{00000000-0005-0000-0000-00006F160000}"/>
    <cellStyle name="Normal 4 6 3 4 3 2" xfId="14042" xr:uid="{6CD95CAE-61B6-483B-B44D-9D5A5BE3CAAC}"/>
    <cellStyle name="Normal 4 6 3 4 3 3" xfId="22482" xr:uid="{C37FED62-A07A-451B-9FCF-5D21D41BB36B}"/>
    <cellStyle name="Normal 4 6 3 4 4" xfId="9824" xr:uid="{30DBF873-3D96-47F2-8CFC-70E708DF9354}"/>
    <cellStyle name="Normal 4 6 3 4 5" xfId="18265" xr:uid="{A098194C-DCEB-4712-BBDB-8017C3D6AE55}"/>
    <cellStyle name="Normal 4 6 3 5" xfId="1705" xr:uid="{00000000-0005-0000-0000-000070160000}"/>
    <cellStyle name="Normal 4 6 3 5 2" xfId="3935" xr:uid="{00000000-0005-0000-0000-000071160000}"/>
    <cellStyle name="Normal 4 6 3 5 2 2" xfId="8158" xr:uid="{00000000-0005-0000-0000-000072160000}"/>
    <cellStyle name="Normal 4 6 3 5 2 2 2" xfId="16600" xr:uid="{AADA1212-8081-45EE-8041-0521A82F83BA}"/>
    <cellStyle name="Normal 4 6 3 5 2 2 3" xfId="25040" xr:uid="{1C66BD69-146E-4B14-9993-FC98FB962FC3}"/>
    <cellStyle name="Normal 4 6 3 5 2 3" xfId="12382" xr:uid="{1357570E-0209-4D38-B6E8-5023621874F5}"/>
    <cellStyle name="Normal 4 6 3 5 2 4" xfId="20823" xr:uid="{3BCCEAE7-6F29-4EDE-8B12-956C8285C565}"/>
    <cellStyle name="Normal 4 6 3 5 3" xfId="6013" xr:uid="{00000000-0005-0000-0000-000073160000}"/>
    <cellStyle name="Normal 4 6 3 5 3 2" xfId="14455" xr:uid="{5EFDA771-DF8C-407D-8613-C0AA1E6C0D98}"/>
    <cellStyle name="Normal 4 6 3 5 3 3" xfId="22895" xr:uid="{387AC528-7E11-40EC-BABC-F042C9792DF6}"/>
    <cellStyle name="Normal 4 6 3 5 4" xfId="10237" xr:uid="{A300FC94-B296-4A01-8D65-B515F2C8B288}"/>
    <cellStyle name="Normal 4 6 3 5 5" xfId="18678" xr:uid="{F45DAEE0-DF48-481F-B455-403686F85326}"/>
    <cellStyle name="Normal 4 6 3 6" xfId="2119" xr:uid="{00000000-0005-0000-0000-000074160000}"/>
    <cellStyle name="Normal 4 6 3 6 2" xfId="4348" xr:uid="{00000000-0005-0000-0000-000075160000}"/>
    <cellStyle name="Normal 4 6 3 6 2 2" xfId="8571" xr:uid="{00000000-0005-0000-0000-000076160000}"/>
    <cellStyle name="Normal 4 6 3 6 2 2 2" xfId="17013" xr:uid="{C544E64A-EE37-4FD5-958E-CBCB262841FD}"/>
    <cellStyle name="Normal 4 6 3 6 2 2 3" xfId="25453" xr:uid="{E0FED1C8-4027-4B09-AB39-BFCFBDC25FF7}"/>
    <cellStyle name="Normal 4 6 3 6 2 3" xfId="12795" xr:uid="{D97969AB-792B-46E1-985F-7A1FDE977466}"/>
    <cellStyle name="Normal 4 6 3 6 2 4" xfId="21236" xr:uid="{841B647B-BD22-41FD-832C-DAD51AB183E3}"/>
    <cellStyle name="Normal 4 6 3 6 3" xfId="6426" xr:uid="{00000000-0005-0000-0000-000077160000}"/>
    <cellStyle name="Normal 4 6 3 6 3 2" xfId="14868" xr:uid="{1CB9CCFD-3F63-4C91-B655-BDAFD5E94E4F}"/>
    <cellStyle name="Normal 4 6 3 6 3 3" xfId="23308" xr:uid="{5B78B0E9-95B4-4E1D-BE9B-3921128A1206}"/>
    <cellStyle name="Normal 4 6 3 6 4" xfId="10650" xr:uid="{59B3C7CA-CFD8-4362-8B48-BEF7A070303C}"/>
    <cellStyle name="Normal 4 6 3 6 5" xfId="19091" xr:uid="{BF19F999-1F23-423B-A1B3-7CE750EACCE3}"/>
    <cellStyle name="Normal 4 6 3 7" xfId="2555" xr:uid="{00000000-0005-0000-0000-000078160000}"/>
    <cellStyle name="Normal 4 6 3 7 2" xfId="6839" xr:uid="{00000000-0005-0000-0000-000079160000}"/>
    <cellStyle name="Normal 4 6 3 7 2 2" xfId="15281" xr:uid="{D43F6FEC-44E8-408A-9B55-194917A04B6A}"/>
    <cellStyle name="Normal 4 6 3 7 2 3" xfId="23721" xr:uid="{5268E505-0FE5-47A4-9050-8C25A55AD29D}"/>
    <cellStyle name="Normal 4 6 3 7 3" xfId="11063" xr:uid="{58C1CBDA-5586-4E5A-9F2A-2F7EB1AF4A7A}"/>
    <cellStyle name="Normal 4 6 3 7 4" xfId="19504" xr:uid="{935652A4-6657-4957-AF3D-7BDAC2D6CA36}"/>
    <cellStyle name="Normal 4 6 3 8" xfId="4774" xr:uid="{00000000-0005-0000-0000-00007A160000}"/>
    <cellStyle name="Normal 4 6 3 8 2" xfId="13216" xr:uid="{68F90C97-9669-466F-87D8-5E62736A3B79}"/>
    <cellStyle name="Normal 4 6 3 8 3" xfId="21656" xr:uid="{E0E703C1-5E5F-4F01-9A29-D485056F2E18}"/>
    <cellStyle name="Normal 4 6 3 9" xfId="8998" xr:uid="{687CB8B0-FDBB-48E3-B983-C5ADA60B21F4}"/>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2 2 2" xfId="15776" xr:uid="{AFF1B4A6-4553-4724-BFEA-B9CDC0E86ED2}"/>
    <cellStyle name="Normal 4 6 4 2 2 2 3" xfId="24216" xr:uid="{DF2C4E0E-626D-45E4-AED1-2775B8F85510}"/>
    <cellStyle name="Normal 4 6 4 2 2 3" xfId="11558" xr:uid="{DE0CE02F-67D6-4184-8A99-B3C228F0A446}"/>
    <cellStyle name="Normal 4 6 4 2 2 4" xfId="19999" xr:uid="{2F9B5332-ADE6-4154-8229-B570336F414E}"/>
    <cellStyle name="Normal 4 6 4 2 3" xfId="5189" xr:uid="{00000000-0005-0000-0000-00007F160000}"/>
    <cellStyle name="Normal 4 6 4 2 3 2" xfId="13631" xr:uid="{72C78479-6DC1-4909-9ADC-3AD4A993A1C0}"/>
    <cellStyle name="Normal 4 6 4 2 3 3" xfId="22071" xr:uid="{761C46B6-AD34-4E5A-9B82-C2B5D3BB3EDD}"/>
    <cellStyle name="Normal 4 6 4 2 4" xfId="9413" xr:uid="{E406F8C1-0A59-47A7-9D27-0EE19BA69CDF}"/>
    <cellStyle name="Normal 4 6 4 2 5" xfId="17854" xr:uid="{32CCAA7F-8234-4700-9E9A-C2F612973B14}"/>
    <cellStyle name="Normal 4 6 4 3" xfId="1294" xr:uid="{00000000-0005-0000-0000-000080160000}"/>
    <cellStyle name="Normal 4 6 4 3 2" xfId="3524" xr:uid="{00000000-0005-0000-0000-000081160000}"/>
    <cellStyle name="Normal 4 6 4 3 2 2" xfId="7747" xr:uid="{00000000-0005-0000-0000-000082160000}"/>
    <cellStyle name="Normal 4 6 4 3 2 2 2" xfId="16189" xr:uid="{B9AB4F1F-BE00-47D9-87FA-25178EB9ADEC}"/>
    <cellStyle name="Normal 4 6 4 3 2 2 3" xfId="24629" xr:uid="{1EAA353F-DBB5-4F39-9BB0-C600263B6B7D}"/>
    <cellStyle name="Normal 4 6 4 3 2 3" xfId="11971" xr:uid="{40A6A2AB-9BA9-4C66-9BD5-E13BFB8DF789}"/>
    <cellStyle name="Normal 4 6 4 3 2 4" xfId="20412" xr:uid="{A85144E6-64FB-4DAB-908B-E0D24204BA2A}"/>
    <cellStyle name="Normal 4 6 4 3 3" xfId="5602" xr:uid="{00000000-0005-0000-0000-000083160000}"/>
    <cellStyle name="Normal 4 6 4 3 3 2" xfId="14044" xr:uid="{4477EBD4-6E35-4997-9467-6D1F962FC648}"/>
    <cellStyle name="Normal 4 6 4 3 3 3" xfId="22484" xr:uid="{86B1AD19-051B-4075-A7D8-4DC179E2B0F5}"/>
    <cellStyle name="Normal 4 6 4 3 4" xfId="9826" xr:uid="{4DA79C54-7485-4F29-9CD8-19BFE3773020}"/>
    <cellStyle name="Normal 4 6 4 3 5" xfId="18267" xr:uid="{7A155504-EB80-4975-A697-6459BC51D0DE}"/>
    <cellStyle name="Normal 4 6 4 4" xfId="1707" xr:uid="{00000000-0005-0000-0000-000084160000}"/>
    <cellStyle name="Normal 4 6 4 4 2" xfId="3937" xr:uid="{00000000-0005-0000-0000-000085160000}"/>
    <cellStyle name="Normal 4 6 4 4 2 2" xfId="8160" xr:uid="{00000000-0005-0000-0000-000086160000}"/>
    <cellStyle name="Normal 4 6 4 4 2 2 2" xfId="16602" xr:uid="{A43AB2F8-9454-4C89-9824-6D7387C04BAD}"/>
    <cellStyle name="Normal 4 6 4 4 2 2 3" xfId="25042" xr:uid="{5AA5D23D-BF9B-4865-A8A7-EA9933855B22}"/>
    <cellStyle name="Normal 4 6 4 4 2 3" xfId="12384" xr:uid="{E69E12C2-A073-4805-92A5-1F47739A4725}"/>
    <cellStyle name="Normal 4 6 4 4 2 4" xfId="20825" xr:uid="{211D43B0-0C96-438B-BE4B-B9E216C17B8E}"/>
    <cellStyle name="Normal 4 6 4 4 3" xfId="6015" xr:uid="{00000000-0005-0000-0000-000087160000}"/>
    <cellStyle name="Normal 4 6 4 4 3 2" xfId="14457" xr:uid="{5DF5FCFB-B0B7-40C5-8BEB-11FC799B2187}"/>
    <cellStyle name="Normal 4 6 4 4 3 3" xfId="22897" xr:uid="{80B901FE-3FC5-4024-8416-082B30A5DFA7}"/>
    <cellStyle name="Normal 4 6 4 4 4" xfId="10239" xr:uid="{3C2AD36A-FCDF-4A36-8407-44038F0C5D93}"/>
    <cellStyle name="Normal 4 6 4 4 5" xfId="18680" xr:uid="{0DE1D20D-D18A-49B6-BC6F-3F3CEC3EBDD9}"/>
    <cellStyle name="Normal 4 6 4 5" xfId="2121" xr:uid="{00000000-0005-0000-0000-000088160000}"/>
    <cellStyle name="Normal 4 6 4 5 2" xfId="4350" xr:uid="{00000000-0005-0000-0000-000089160000}"/>
    <cellStyle name="Normal 4 6 4 5 2 2" xfId="8573" xr:uid="{00000000-0005-0000-0000-00008A160000}"/>
    <cellStyle name="Normal 4 6 4 5 2 2 2" xfId="17015" xr:uid="{741158B1-9FA3-424F-A40E-8FE9B42ECB61}"/>
    <cellStyle name="Normal 4 6 4 5 2 2 3" xfId="25455" xr:uid="{EA523D08-E3B5-4919-96D9-A953DEC9A0EE}"/>
    <cellStyle name="Normal 4 6 4 5 2 3" xfId="12797" xr:uid="{CFB81B95-E88D-40B9-829D-C950E2285F40}"/>
    <cellStyle name="Normal 4 6 4 5 2 4" xfId="21238" xr:uid="{D7C4EB11-98D1-444A-8F86-8488D4E3AC7F}"/>
    <cellStyle name="Normal 4 6 4 5 3" xfId="6428" xr:uid="{00000000-0005-0000-0000-00008B160000}"/>
    <cellStyle name="Normal 4 6 4 5 3 2" xfId="14870" xr:uid="{EC7498A2-A4E4-4101-B31F-D1F8BF66BCAC}"/>
    <cellStyle name="Normal 4 6 4 5 3 3" xfId="23310" xr:uid="{46AF4AAC-7A57-4CA8-9263-4F37B2BA7154}"/>
    <cellStyle name="Normal 4 6 4 5 4" xfId="10652" xr:uid="{43DD40E9-0C83-479B-ABCD-09DE07FE4A8B}"/>
    <cellStyle name="Normal 4 6 4 5 5" xfId="19093" xr:uid="{ECF744F2-6C20-4E6F-BEEF-CB620BE26B46}"/>
    <cellStyle name="Normal 4 6 4 6" xfId="2557" xr:uid="{00000000-0005-0000-0000-00008C160000}"/>
    <cellStyle name="Normal 4 6 4 6 2" xfId="6841" xr:uid="{00000000-0005-0000-0000-00008D160000}"/>
    <cellStyle name="Normal 4 6 4 6 2 2" xfId="15283" xr:uid="{E542E399-6A27-4FD5-9A11-181F02039DA6}"/>
    <cellStyle name="Normal 4 6 4 6 2 3" xfId="23723" xr:uid="{F1A56C53-8909-4A78-8A4B-B85DB063473A}"/>
    <cellStyle name="Normal 4 6 4 6 3" xfId="11065" xr:uid="{2A4225D4-88A0-47E0-B821-5B8BFB90CD1D}"/>
    <cellStyle name="Normal 4 6 4 6 4" xfId="19506" xr:uid="{CAC29629-80B5-440E-B41F-1A0B2E0208A1}"/>
    <cellStyle name="Normal 4 6 4 7" xfId="4776" xr:uid="{00000000-0005-0000-0000-00008E160000}"/>
    <cellStyle name="Normal 4 6 4 7 2" xfId="13218" xr:uid="{90014039-A0EC-4F09-92F0-025CC9FE0A09}"/>
    <cellStyle name="Normal 4 6 4 7 3" xfId="21658" xr:uid="{7322232F-44C4-4236-AD2A-105D33C3A1F9}"/>
    <cellStyle name="Normal 4 6 4 8" xfId="9000" xr:uid="{1036BFBA-F633-4E94-BD7D-7BB6DF32A455}"/>
    <cellStyle name="Normal 4 6 4 9" xfId="17441" xr:uid="{6A99E1CF-22A8-4EF9-812C-BC18A1B700D5}"/>
    <cellStyle name="Normal 4 6 5" xfId="869" xr:uid="{00000000-0005-0000-0000-00008F160000}"/>
    <cellStyle name="Normal 4 6 5 2" xfId="3104" xr:uid="{00000000-0005-0000-0000-000090160000}"/>
    <cellStyle name="Normal 4 6 5 2 2" xfId="7327" xr:uid="{00000000-0005-0000-0000-000091160000}"/>
    <cellStyle name="Normal 4 6 5 2 2 2" xfId="15769" xr:uid="{1164FAC3-C1E6-4003-8BEE-58DE7D058329}"/>
    <cellStyle name="Normal 4 6 5 2 2 3" xfId="24209" xr:uid="{E4CA150C-B73E-45D4-BF9B-6430EFA6B0DC}"/>
    <cellStyle name="Normal 4 6 5 2 3" xfId="11551" xr:uid="{55854647-2C7A-4956-AC31-5DCF88FB90D5}"/>
    <cellStyle name="Normal 4 6 5 2 4" xfId="19992" xr:uid="{C34A4B76-04B2-4845-BCC4-EE245EB652ED}"/>
    <cellStyle name="Normal 4 6 5 3" xfId="5182" xr:uid="{00000000-0005-0000-0000-000092160000}"/>
    <cellStyle name="Normal 4 6 5 3 2" xfId="13624" xr:uid="{B1E0CC6F-767E-47D6-A6D7-A48B08B47F7A}"/>
    <cellStyle name="Normal 4 6 5 3 3" xfId="22064" xr:uid="{61280DFE-47FA-4C57-A571-D5DBA13E9C6A}"/>
    <cellStyle name="Normal 4 6 5 4" xfId="9406" xr:uid="{FF540C78-C60D-4C58-959E-0630189F043C}"/>
    <cellStyle name="Normal 4 6 5 5" xfId="17847" xr:uid="{74EE13EC-5882-456F-BBA2-A17A706DDE4C}"/>
    <cellStyle name="Normal 4 6 6" xfId="1287" xr:uid="{00000000-0005-0000-0000-000093160000}"/>
    <cellStyle name="Normal 4 6 6 2" xfId="3517" xr:uid="{00000000-0005-0000-0000-000094160000}"/>
    <cellStyle name="Normal 4 6 6 2 2" xfId="7740" xr:uid="{00000000-0005-0000-0000-000095160000}"/>
    <cellStyle name="Normal 4 6 6 2 2 2" xfId="16182" xr:uid="{070DA6CA-B112-4640-98C1-49829F797645}"/>
    <cellStyle name="Normal 4 6 6 2 2 3" xfId="24622" xr:uid="{CF1AF14B-518B-4A8B-96C3-0A1EE6CE5553}"/>
    <cellStyle name="Normal 4 6 6 2 3" xfId="11964" xr:uid="{18D77B43-ECE1-4F80-8036-92F217D7E0CD}"/>
    <cellStyle name="Normal 4 6 6 2 4" xfId="20405" xr:uid="{8050E58B-1327-4885-A307-45EB0DDDC5E1}"/>
    <cellStyle name="Normal 4 6 6 3" xfId="5595" xr:uid="{00000000-0005-0000-0000-000096160000}"/>
    <cellStyle name="Normal 4 6 6 3 2" xfId="14037" xr:uid="{C61E86D1-2E47-4578-816B-DC7E0E173F73}"/>
    <cellStyle name="Normal 4 6 6 3 3" xfId="22477" xr:uid="{1C8AC8E9-9BAF-4E46-BF14-BB378A8C3AC2}"/>
    <cellStyle name="Normal 4 6 6 4" xfId="9819" xr:uid="{AFD13B0D-994F-4D9E-AAD8-761B61404289}"/>
    <cellStyle name="Normal 4 6 6 5" xfId="18260" xr:uid="{1325CFB8-75A7-45FF-9277-582D6681E8EB}"/>
    <cellStyle name="Normal 4 6 7" xfId="1700" xr:uid="{00000000-0005-0000-0000-000097160000}"/>
    <cellStyle name="Normal 4 6 7 2" xfId="3930" xr:uid="{00000000-0005-0000-0000-000098160000}"/>
    <cellStyle name="Normal 4 6 7 2 2" xfId="8153" xr:uid="{00000000-0005-0000-0000-000099160000}"/>
    <cellStyle name="Normal 4 6 7 2 2 2" xfId="16595" xr:uid="{50F9D931-8027-4484-9093-8CF76E8068F4}"/>
    <cellStyle name="Normal 4 6 7 2 2 3" xfId="25035" xr:uid="{6A03DFEC-FA89-4374-9BB6-50D0F539E8EB}"/>
    <cellStyle name="Normal 4 6 7 2 3" xfId="12377" xr:uid="{C0CBE9DD-18FF-4685-B0E6-EDA843E2EC61}"/>
    <cellStyle name="Normal 4 6 7 2 4" xfId="20818" xr:uid="{9DE2F6F7-2F35-4762-968D-9A82F59A52BA}"/>
    <cellStyle name="Normal 4 6 7 3" xfId="6008" xr:uid="{00000000-0005-0000-0000-00009A160000}"/>
    <cellStyle name="Normal 4 6 7 3 2" xfId="14450" xr:uid="{B8C6442B-53D1-4EFD-98F6-89E3D187AA7A}"/>
    <cellStyle name="Normal 4 6 7 3 3" xfId="22890" xr:uid="{11376C61-A625-4B44-8D0C-CD5DA23767D5}"/>
    <cellStyle name="Normal 4 6 7 4" xfId="10232" xr:uid="{DFC59F95-0341-4736-AB84-839FB5837ECA}"/>
    <cellStyle name="Normal 4 6 7 5" xfId="18673" xr:uid="{19C8257C-0A7C-4AD5-880A-420BDEC6E940}"/>
    <cellStyle name="Normal 4 6 8" xfId="2114" xr:uid="{00000000-0005-0000-0000-00009B160000}"/>
    <cellStyle name="Normal 4 6 8 2" xfId="4343" xr:uid="{00000000-0005-0000-0000-00009C160000}"/>
    <cellStyle name="Normal 4 6 8 2 2" xfId="8566" xr:uid="{00000000-0005-0000-0000-00009D160000}"/>
    <cellStyle name="Normal 4 6 8 2 2 2" xfId="17008" xr:uid="{D469E67D-B624-4A6E-96F9-655E3D5E78E6}"/>
    <cellStyle name="Normal 4 6 8 2 2 3" xfId="25448" xr:uid="{A92A937D-CBFA-4329-B5B3-C7735A6E818F}"/>
    <cellStyle name="Normal 4 6 8 2 3" xfId="12790" xr:uid="{C14F3F71-7E08-49CB-8F38-BF64FFEC2F30}"/>
    <cellStyle name="Normal 4 6 8 2 4" xfId="21231" xr:uid="{C2E9605F-8A80-4F62-B7FA-72607F6BF18A}"/>
    <cellStyle name="Normal 4 6 8 3" xfId="6421" xr:uid="{00000000-0005-0000-0000-00009E160000}"/>
    <cellStyle name="Normal 4 6 8 3 2" xfId="14863" xr:uid="{EADABE28-4157-4A5F-B288-37BCD70A9E50}"/>
    <cellStyle name="Normal 4 6 8 3 3" xfId="23303" xr:uid="{52BA115A-158F-41B0-A835-4C6DFCDC86E9}"/>
    <cellStyle name="Normal 4 6 8 4" xfId="10645" xr:uid="{9CED0646-E468-418A-9EF5-7C82630D993A}"/>
    <cellStyle name="Normal 4 6 8 5" xfId="19086" xr:uid="{DA0D2ACF-9AB4-4467-AFE2-9CA1DC1F2DCF}"/>
    <cellStyle name="Normal 4 6 9" xfId="2550" xr:uid="{00000000-0005-0000-0000-00009F160000}"/>
    <cellStyle name="Normal 4 6 9 2" xfId="6834" xr:uid="{00000000-0005-0000-0000-0000A0160000}"/>
    <cellStyle name="Normal 4 6 9 2 2" xfId="15276" xr:uid="{7D705621-2A7D-470E-AEA5-3B72B1503F8D}"/>
    <cellStyle name="Normal 4 6 9 2 3" xfId="23716" xr:uid="{6781A0E3-BFB2-47C5-867D-1D494F8551EC}"/>
    <cellStyle name="Normal 4 6 9 3" xfId="11058" xr:uid="{24FF8A24-86DD-4871-A154-1F7A29C251C3}"/>
    <cellStyle name="Normal 4 6 9 4" xfId="19499" xr:uid="{B860433F-9284-494C-814A-945214CEA42C}"/>
    <cellStyle name="Normal 4 7" xfId="403" xr:uid="{00000000-0005-0000-0000-0000A1160000}"/>
    <cellStyle name="Normal 4 7 10" xfId="17442" xr:uid="{B1D38843-649D-418E-A700-DC6803194117}"/>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2 2 2" xfId="15778" xr:uid="{AE25CDC0-37CD-41DB-AD71-A2AFE233C932}"/>
    <cellStyle name="Normal 4 7 2 2 2 2 3" xfId="24218" xr:uid="{90834A6E-FE46-494F-9D8F-EF50EFDFD627}"/>
    <cellStyle name="Normal 4 7 2 2 2 3" xfId="11560" xr:uid="{6203179C-116E-443F-9EFA-7CC5CCC1F6AC}"/>
    <cellStyle name="Normal 4 7 2 2 2 4" xfId="20001" xr:uid="{5C1338C5-6717-4C8C-AECB-1D609B4FE111}"/>
    <cellStyle name="Normal 4 7 2 2 3" xfId="5191" xr:uid="{00000000-0005-0000-0000-0000A6160000}"/>
    <cellStyle name="Normal 4 7 2 2 3 2" xfId="13633" xr:uid="{D9CCD30D-6232-4A28-966A-C7C6877A92D8}"/>
    <cellStyle name="Normal 4 7 2 2 3 3" xfId="22073" xr:uid="{57A01AA5-DD89-498E-80C4-E6D3C6C616E7}"/>
    <cellStyle name="Normal 4 7 2 2 4" xfId="9415" xr:uid="{1443F963-030E-4ACD-96F0-77EF0DA26F2A}"/>
    <cellStyle name="Normal 4 7 2 2 5" xfId="17856" xr:uid="{D221F1AC-8DCE-4043-9E91-48EE41058E1E}"/>
    <cellStyle name="Normal 4 7 2 3" xfId="1296" xr:uid="{00000000-0005-0000-0000-0000A7160000}"/>
    <cellStyle name="Normal 4 7 2 3 2" xfId="3526" xr:uid="{00000000-0005-0000-0000-0000A8160000}"/>
    <cellStyle name="Normal 4 7 2 3 2 2" xfId="7749" xr:uid="{00000000-0005-0000-0000-0000A9160000}"/>
    <cellStyle name="Normal 4 7 2 3 2 2 2" xfId="16191" xr:uid="{0CF7E932-1BE8-4F8E-B51D-F309191DC2EC}"/>
    <cellStyle name="Normal 4 7 2 3 2 2 3" xfId="24631" xr:uid="{47D63A31-D9E0-4C11-B6E3-11BF14CE59E5}"/>
    <cellStyle name="Normal 4 7 2 3 2 3" xfId="11973" xr:uid="{ADB7199D-3A80-4F79-98CE-07CE6926D9C8}"/>
    <cellStyle name="Normal 4 7 2 3 2 4" xfId="20414" xr:uid="{C14831D4-6E30-4CB7-A46D-8904B52711EB}"/>
    <cellStyle name="Normal 4 7 2 3 3" xfId="5604" xr:uid="{00000000-0005-0000-0000-0000AA160000}"/>
    <cellStyle name="Normal 4 7 2 3 3 2" xfId="14046" xr:uid="{244C218A-A8C7-4D03-87F4-5F9D3FDF0180}"/>
    <cellStyle name="Normal 4 7 2 3 3 3" xfId="22486" xr:uid="{C349D562-3438-4BE8-B383-327A836B4E1A}"/>
    <cellStyle name="Normal 4 7 2 3 4" xfId="9828" xr:uid="{227FBE29-D0A5-4DB6-8C4E-A0E3036F8027}"/>
    <cellStyle name="Normal 4 7 2 3 5" xfId="18269" xr:uid="{DAA42B14-02DE-4192-9476-E834B75AB9ED}"/>
    <cellStyle name="Normal 4 7 2 4" xfId="1709" xr:uid="{00000000-0005-0000-0000-0000AB160000}"/>
    <cellStyle name="Normal 4 7 2 4 2" xfId="3939" xr:uid="{00000000-0005-0000-0000-0000AC160000}"/>
    <cellStyle name="Normal 4 7 2 4 2 2" xfId="8162" xr:uid="{00000000-0005-0000-0000-0000AD160000}"/>
    <cellStyle name="Normal 4 7 2 4 2 2 2" xfId="16604" xr:uid="{7269DFE1-E616-4426-ACF3-636502E65690}"/>
    <cellStyle name="Normal 4 7 2 4 2 2 3" xfId="25044" xr:uid="{D2934569-36F8-4F9A-97C0-67BC3DD56F49}"/>
    <cellStyle name="Normal 4 7 2 4 2 3" xfId="12386" xr:uid="{BD4E7C44-6345-4A1B-81AA-B0E6799B883E}"/>
    <cellStyle name="Normal 4 7 2 4 2 4" xfId="20827" xr:uid="{804AF4B5-AB3B-4F58-A3C1-157BD4255734}"/>
    <cellStyle name="Normal 4 7 2 4 3" xfId="6017" xr:uid="{00000000-0005-0000-0000-0000AE160000}"/>
    <cellStyle name="Normal 4 7 2 4 3 2" xfId="14459" xr:uid="{BB59BC67-80D6-4DD2-A676-0C4AC11EDFCD}"/>
    <cellStyle name="Normal 4 7 2 4 3 3" xfId="22899" xr:uid="{EC233BE0-28F0-42A5-879C-BF06D7E5E85E}"/>
    <cellStyle name="Normal 4 7 2 4 4" xfId="10241" xr:uid="{3FE7018F-BFFD-492C-A900-F2E84317C253}"/>
    <cellStyle name="Normal 4 7 2 4 5" xfId="18682" xr:uid="{30C43ECB-A2B2-40E2-A61E-F1026950EC50}"/>
    <cellStyle name="Normal 4 7 2 5" xfId="2123" xr:uid="{00000000-0005-0000-0000-0000AF160000}"/>
    <cellStyle name="Normal 4 7 2 5 2" xfId="4352" xr:uid="{00000000-0005-0000-0000-0000B0160000}"/>
    <cellStyle name="Normal 4 7 2 5 2 2" xfId="8575" xr:uid="{00000000-0005-0000-0000-0000B1160000}"/>
    <cellStyle name="Normal 4 7 2 5 2 2 2" xfId="17017" xr:uid="{C259644F-7834-41FC-845A-5643E41B8548}"/>
    <cellStyle name="Normal 4 7 2 5 2 2 3" xfId="25457" xr:uid="{FEC5BAF6-705C-4916-83B9-76589F25F7F1}"/>
    <cellStyle name="Normal 4 7 2 5 2 3" xfId="12799" xr:uid="{ADA45E2D-7287-4241-8C98-F22C338030A4}"/>
    <cellStyle name="Normal 4 7 2 5 2 4" xfId="21240" xr:uid="{E7539985-DBA5-402F-A395-D3189484D1BC}"/>
    <cellStyle name="Normal 4 7 2 5 3" xfId="6430" xr:uid="{00000000-0005-0000-0000-0000B2160000}"/>
    <cellStyle name="Normal 4 7 2 5 3 2" xfId="14872" xr:uid="{9936EB8D-35FB-45DD-BEB9-61CC4F284169}"/>
    <cellStyle name="Normal 4 7 2 5 3 3" xfId="23312" xr:uid="{D82BE609-C186-476C-9AC6-1FDD41739938}"/>
    <cellStyle name="Normal 4 7 2 5 4" xfId="10654" xr:uid="{304CEDA8-928C-4A47-BC1A-C91FB94A305F}"/>
    <cellStyle name="Normal 4 7 2 5 5" xfId="19095" xr:uid="{97C1552F-A0DF-4ADF-81AB-771BDC1E1C4C}"/>
    <cellStyle name="Normal 4 7 2 6" xfId="2559" xr:uid="{00000000-0005-0000-0000-0000B3160000}"/>
    <cellStyle name="Normal 4 7 2 6 2" xfId="6843" xr:uid="{00000000-0005-0000-0000-0000B4160000}"/>
    <cellStyle name="Normal 4 7 2 6 2 2" xfId="15285" xr:uid="{F7B5B140-D8D9-4551-ACD3-5B04691BFD01}"/>
    <cellStyle name="Normal 4 7 2 6 2 3" xfId="23725" xr:uid="{92BF69F9-806E-4AD3-B5A3-4476FE8F01E8}"/>
    <cellStyle name="Normal 4 7 2 6 3" xfId="11067" xr:uid="{A7458EB8-9C4C-4104-868E-F9EFE1415BE8}"/>
    <cellStyle name="Normal 4 7 2 6 4" xfId="19508" xr:uid="{3B218629-3766-4B13-A59D-BF4DFA2B3474}"/>
    <cellStyle name="Normal 4 7 2 7" xfId="4778" xr:uid="{00000000-0005-0000-0000-0000B5160000}"/>
    <cellStyle name="Normal 4 7 2 7 2" xfId="13220" xr:uid="{A2E71499-378A-4C2E-9A1B-275F2CBEA893}"/>
    <cellStyle name="Normal 4 7 2 7 3" xfId="21660" xr:uid="{87EDC779-CA58-4757-ACB4-F7F97EC397D8}"/>
    <cellStyle name="Normal 4 7 2 8" xfId="9002" xr:uid="{F936D63F-A783-4D84-9245-085B35F1E24A}"/>
    <cellStyle name="Normal 4 7 2 9" xfId="17443" xr:uid="{36DC26C2-B8A8-4FDC-B24D-CE2322A3B13F}"/>
    <cellStyle name="Normal 4 7 3" xfId="877" xr:uid="{00000000-0005-0000-0000-0000B6160000}"/>
    <cellStyle name="Normal 4 7 3 2" xfId="3112" xr:uid="{00000000-0005-0000-0000-0000B7160000}"/>
    <cellStyle name="Normal 4 7 3 2 2" xfId="7335" xr:uid="{00000000-0005-0000-0000-0000B8160000}"/>
    <cellStyle name="Normal 4 7 3 2 2 2" xfId="15777" xr:uid="{CE925586-C165-476A-9B7B-5447756268B6}"/>
    <cellStyle name="Normal 4 7 3 2 2 3" xfId="24217" xr:uid="{89452F43-05E0-4CC0-BF63-BCD13E980BE2}"/>
    <cellStyle name="Normal 4 7 3 2 3" xfId="11559" xr:uid="{FBB9939D-6FD7-4214-B5B5-4CB18B604219}"/>
    <cellStyle name="Normal 4 7 3 2 4" xfId="20000" xr:uid="{9D8787EF-3ED1-4051-BF04-3DB142E8802D}"/>
    <cellStyle name="Normal 4 7 3 3" xfId="5190" xr:uid="{00000000-0005-0000-0000-0000B9160000}"/>
    <cellStyle name="Normal 4 7 3 3 2" xfId="13632" xr:uid="{A0832C6A-3C80-4B19-8AA1-B8D511B1C0ED}"/>
    <cellStyle name="Normal 4 7 3 3 3" xfId="22072" xr:uid="{94E99936-D846-4AC9-8887-2D9B7D59F41C}"/>
    <cellStyle name="Normal 4 7 3 4" xfId="9414" xr:uid="{2D0540B4-E857-4372-8C66-0607C21C4348}"/>
    <cellStyle name="Normal 4 7 3 5" xfId="17855" xr:uid="{B92D6B4D-C586-4B75-AB5A-F4C58731B0C7}"/>
    <cellStyle name="Normal 4 7 4" xfId="1295" xr:uid="{00000000-0005-0000-0000-0000BA160000}"/>
    <cellStyle name="Normal 4 7 4 2" xfId="3525" xr:uid="{00000000-0005-0000-0000-0000BB160000}"/>
    <cellStyle name="Normal 4 7 4 2 2" xfId="7748" xr:uid="{00000000-0005-0000-0000-0000BC160000}"/>
    <cellStyle name="Normal 4 7 4 2 2 2" xfId="16190" xr:uid="{D3172375-01EA-4715-9444-D78D895FBCE5}"/>
    <cellStyle name="Normal 4 7 4 2 2 3" xfId="24630" xr:uid="{7406A7E5-A929-4BB6-AA9D-FB5979A2AB9D}"/>
    <cellStyle name="Normal 4 7 4 2 3" xfId="11972" xr:uid="{9FAE6DF3-0270-4489-8FDF-A983C4E5ED7D}"/>
    <cellStyle name="Normal 4 7 4 2 4" xfId="20413" xr:uid="{D88F8E8C-6D74-4CD9-8054-FC94BFA1265C}"/>
    <cellStyle name="Normal 4 7 4 3" xfId="5603" xr:uid="{00000000-0005-0000-0000-0000BD160000}"/>
    <cellStyle name="Normal 4 7 4 3 2" xfId="14045" xr:uid="{48B15786-10A6-4C89-836A-C8316EEC278E}"/>
    <cellStyle name="Normal 4 7 4 3 3" xfId="22485" xr:uid="{ECA726EF-9143-4B64-B30C-ADDEDEFF9601}"/>
    <cellStyle name="Normal 4 7 4 4" xfId="9827" xr:uid="{1785CE62-3EC6-4800-966D-E298BDE05CBA}"/>
    <cellStyle name="Normal 4 7 4 5" xfId="18268" xr:uid="{47B12945-3765-41E3-B474-99F5B30B062B}"/>
    <cellStyle name="Normal 4 7 5" xfId="1708" xr:uid="{00000000-0005-0000-0000-0000BE160000}"/>
    <cellStyle name="Normal 4 7 5 2" xfId="3938" xr:uid="{00000000-0005-0000-0000-0000BF160000}"/>
    <cellStyle name="Normal 4 7 5 2 2" xfId="8161" xr:uid="{00000000-0005-0000-0000-0000C0160000}"/>
    <cellStyle name="Normal 4 7 5 2 2 2" xfId="16603" xr:uid="{5C433358-DA9D-41ED-8039-92C0F47EE194}"/>
    <cellStyle name="Normal 4 7 5 2 2 3" xfId="25043" xr:uid="{26317D72-E624-4717-816E-6940933FBB22}"/>
    <cellStyle name="Normal 4 7 5 2 3" xfId="12385" xr:uid="{5DA16D4D-8DC1-4CD2-9BFC-5D94D0FCAB4C}"/>
    <cellStyle name="Normal 4 7 5 2 4" xfId="20826" xr:uid="{83AE7BFD-10FC-4EDE-9AE8-FC8938ED3F85}"/>
    <cellStyle name="Normal 4 7 5 3" xfId="6016" xr:uid="{00000000-0005-0000-0000-0000C1160000}"/>
    <cellStyle name="Normal 4 7 5 3 2" xfId="14458" xr:uid="{B337B8C7-5B16-4491-AB9B-F9C4E1270F0F}"/>
    <cellStyle name="Normal 4 7 5 3 3" xfId="22898" xr:uid="{1D76DAC0-980D-405F-892B-1DDA783330A6}"/>
    <cellStyle name="Normal 4 7 5 4" xfId="10240" xr:uid="{FBEDF6E2-86BC-433E-9E91-20E3E33CF362}"/>
    <cellStyle name="Normal 4 7 5 5" xfId="18681" xr:uid="{5B5CA12E-E03F-4539-B0D4-8E59C7607817}"/>
    <cellStyle name="Normal 4 7 6" xfId="2122" xr:uid="{00000000-0005-0000-0000-0000C2160000}"/>
    <cellStyle name="Normal 4 7 6 2" xfId="4351" xr:uid="{00000000-0005-0000-0000-0000C3160000}"/>
    <cellStyle name="Normal 4 7 6 2 2" xfId="8574" xr:uid="{00000000-0005-0000-0000-0000C4160000}"/>
    <cellStyle name="Normal 4 7 6 2 2 2" xfId="17016" xr:uid="{7827D9C4-50D0-4778-9C46-4E6EA117E0BC}"/>
    <cellStyle name="Normal 4 7 6 2 2 3" xfId="25456" xr:uid="{FDC9BFFC-9166-4CAB-A51D-6ED19B3C3859}"/>
    <cellStyle name="Normal 4 7 6 2 3" xfId="12798" xr:uid="{2580B80B-5EDB-4588-B75A-8C8AC0A49E0A}"/>
    <cellStyle name="Normal 4 7 6 2 4" xfId="21239" xr:uid="{199AC234-38B4-4C7A-8EFA-BE71F866B732}"/>
    <cellStyle name="Normal 4 7 6 3" xfId="6429" xr:uid="{00000000-0005-0000-0000-0000C5160000}"/>
    <cellStyle name="Normal 4 7 6 3 2" xfId="14871" xr:uid="{6AED25FB-23E7-412E-8470-DEA009E97215}"/>
    <cellStyle name="Normal 4 7 6 3 3" xfId="23311" xr:uid="{47995FEC-2027-45E2-809E-37C0B2CAFB9B}"/>
    <cellStyle name="Normal 4 7 6 4" xfId="10653" xr:uid="{0B572CE2-636D-45B0-8542-9EBF018F3D80}"/>
    <cellStyle name="Normal 4 7 6 5" xfId="19094" xr:uid="{4F64D173-F57E-4EC9-81A2-020C6865AB32}"/>
    <cellStyle name="Normal 4 7 7" xfId="2558" xr:uid="{00000000-0005-0000-0000-0000C6160000}"/>
    <cellStyle name="Normal 4 7 7 2" xfId="6842" xr:uid="{00000000-0005-0000-0000-0000C7160000}"/>
    <cellStyle name="Normal 4 7 7 2 2" xfId="15284" xr:uid="{40EA0B1F-A877-4411-A3BF-C5DB5D3F7EF2}"/>
    <cellStyle name="Normal 4 7 7 2 3" xfId="23724" xr:uid="{22705037-94C5-453D-9212-101BCF052722}"/>
    <cellStyle name="Normal 4 7 7 3" xfId="11066" xr:uid="{BD0C93E9-7D46-46ED-9B45-F4CEC6F535B4}"/>
    <cellStyle name="Normal 4 7 7 4" xfId="19507" xr:uid="{70AEA70B-A3FC-4881-9EAA-9B184A449108}"/>
    <cellStyle name="Normal 4 7 8" xfId="4777" xr:uid="{00000000-0005-0000-0000-0000C8160000}"/>
    <cellStyle name="Normal 4 7 8 2" xfId="13219" xr:uid="{0BDCF780-7051-4F4E-998F-B574DBB9F4AD}"/>
    <cellStyle name="Normal 4 7 8 3" xfId="21659" xr:uid="{1CACA10C-7EDB-4C97-BCCE-DC062C6FF028}"/>
    <cellStyle name="Normal 4 7 9" xfId="9001" xr:uid="{EB46616E-792E-4CDF-84E7-E429CC747A6F}"/>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2 2 2" xfId="15779" xr:uid="{765379D9-7898-44A2-AB68-C95BB2EA7FEC}"/>
    <cellStyle name="Normal 4 8 2 2 2 3" xfId="24219" xr:uid="{F7243D35-685B-4A7F-9FDB-8F900F90A623}"/>
    <cellStyle name="Normal 4 8 2 2 3" xfId="11561" xr:uid="{8771C989-2F49-42A9-A810-0C36F4CC5DCF}"/>
    <cellStyle name="Normal 4 8 2 2 4" xfId="20002" xr:uid="{73F06212-9D05-4D4E-9853-200520D90F27}"/>
    <cellStyle name="Normal 4 8 2 3" xfId="5192" xr:uid="{00000000-0005-0000-0000-0000CD160000}"/>
    <cellStyle name="Normal 4 8 2 3 2" xfId="13634" xr:uid="{B6357624-195F-46B7-A7F3-77B2C91F7336}"/>
    <cellStyle name="Normal 4 8 2 3 3" xfId="22074" xr:uid="{A02727BF-B676-4874-9AAE-87D9BBDBA5DD}"/>
    <cellStyle name="Normal 4 8 2 4" xfId="9416" xr:uid="{32CABA69-ACA7-4E1D-B15A-3C07D4C08198}"/>
    <cellStyle name="Normal 4 8 2 5" xfId="17857" xr:uid="{C8E63C9C-13F9-4448-9561-6CE41DD49F92}"/>
    <cellStyle name="Normal 4 8 3" xfId="1297" xr:uid="{00000000-0005-0000-0000-0000CE160000}"/>
    <cellStyle name="Normal 4 8 3 2" xfId="3527" xr:uid="{00000000-0005-0000-0000-0000CF160000}"/>
    <cellStyle name="Normal 4 8 3 2 2" xfId="7750" xr:uid="{00000000-0005-0000-0000-0000D0160000}"/>
    <cellStyle name="Normal 4 8 3 2 2 2" xfId="16192" xr:uid="{6861D0DE-147D-4D15-BBA3-612A9489D027}"/>
    <cellStyle name="Normal 4 8 3 2 2 3" xfId="24632" xr:uid="{AAD82FAC-2891-45BA-8882-DD87E118F9D1}"/>
    <cellStyle name="Normal 4 8 3 2 3" xfId="11974" xr:uid="{4B79B98E-8494-44A3-9B78-0B01B0F6CA50}"/>
    <cellStyle name="Normal 4 8 3 2 4" xfId="20415" xr:uid="{C6058BEB-F74F-461E-A3D4-45431085815A}"/>
    <cellStyle name="Normal 4 8 3 3" xfId="5605" xr:uid="{00000000-0005-0000-0000-0000D1160000}"/>
    <cellStyle name="Normal 4 8 3 3 2" xfId="14047" xr:uid="{02380068-3A5D-4DF5-8ED5-531AD2C6989C}"/>
    <cellStyle name="Normal 4 8 3 3 3" xfId="22487" xr:uid="{EFDEE04A-5509-4A54-810D-99A063C51BF5}"/>
    <cellStyle name="Normal 4 8 3 4" xfId="9829" xr:uid="{08A9021D-886D-4F95-A218-24D69274F9B3}"/>
    <cellStyle name="Normal 4 8 3 5" xfId="18270" xr:uid="{BB090D6B-AB0B-4DEC-81A7-0F2E2092B3AD}"/>
    <cellStyle name="Normal 4 8 4" xfId="1710" xr:uid="{00000000-0005-0000-0000-0000D2160000}"/>
    <cellStyle name="Normal 4 8 4 2" xfId="3940" xr:uid="{00000000-0005-0000-0000-0000D3160000}"/>
    <cellStyle name="Normal 4 8 4 2 2" xfId="8163" xr:uid="{00000000-0005-0000-0000-0000D4160000}"/>
    <cellStyle name="Normal 4 8 4 2 2 2" xfId="16605" xr:uid="{B5883C36-CB9D-4D66-B18E-A874B02384EE}"/>
    <cellStyle name="Normal 4 8 4 2 2 3" xfId="25045" xr:uid="{08F1250D-643E-4DE9-B6DF-8303F31A384A}"/>
    <cellStyle name="Normal 4 8 4 2 3" xfId="12387" xr:uid="{CE009289-0871-4935-9C20-AE33D5D1F109}"/>
    <cellStyle name="Normal 4 8 4 2 4" xfId="20828" xr:uid="{17872C14-9D2A-4B5B-899F-997A7AFDF8D4}"/>
    <cellStyle name="Normal 4 8 4 3" xfId="6018" xr:uid="{00000000-0005-0000-0000-0000D5160000}"/>
    <cellStyle name="Normal 4 8 4 3 2" xfId="14460" xr:uid="{249CD8C6-92AF-4B2E-A1ED-32CF856CA7FD}"/>
    <cellStyle name="Normal 4 8 4 3 3" xfId="22900" xr:uid="{23C7F13E-5257-43F2-B3D8-B2AA5BEF0D5A}"/>
    <cellStyle name="Normal 4 8 4 4" xfId="10242" xr:uid="{48B0168A-3C94-4DB8-93C0-7FEA3AF497E4}"/>
    <cellStyle name="Normal 4 8 4 5" xfId="18683" xr:uid="{990ED8EC-FD9F-4273-AC7A-E170F47A027C}"/>
    <cellStyle name="Normal 4 8 5" xfId="2124" xr:uid="{00000000-0005-0000-0000-0000D6160000}"/>
    <cellStyle name="Normal 4 8 5 2" xfId="4353" xr:uid="{00000000-0005-0000-0000-0000D7160000}"/>
    <cellStyle name="Normal 4 8 5 2 2" xfId="8576" xr:uid="{00000000-0005-0000-0000-0000D8160000}"/>
    <cellStyle name="Normal 4 8 5 2 2 2" xfId="17018" xr:uid="{D061A473-F4F7-44DF-BB4D-DBC25EB4BC73}"/>
    <cellStyle name="Normal 4 8 5 2 2 3" xfId="25458" xr:uid="{146CC48D-36F9-4021-938D-95452105DCDF}"/>
    <cellStyle name="Normal 4 8 5 2 3" xfId="12800" xr:uid="{986B51F6-EF19-49FA-92AB-2823CD3D2EB7}"/>
    <cellStyle name="Normal 4 8 5 2 4" xfId="21241" xr:uid="{94124320-126C-417E-AB9E-853A0C56E6FF}"/>
    <cellStyle name="Normal 4 8 5 3" xfId="6431" xr:uid="{00000000-0005-0000-0000-0000D9160000}"/>
    <cellStyle name="Normal 4 8 5 3 2" xfId="14873" xr:uid="{1471149E-A21C-4B56-B066-78F555A4F15F}"/>
    <cellStyle name="Normal 4 8 5 3 3" xfId="23313" xr:uid="{8A622106-1440-4C1C-A9B7-FF76DD7469C7}"/>
    <cellStyle name="Normal 4 8 5 4" xfId="10655" xr:uid="{D784D8D9-BB65-462D-B63E-3124543E2582}"/>
    <cellStyle name="Normal 4 8 5 5" xfId="19096" xr:uid="{B5E6244D-0078-4747-8772-66D42DA56945}"/>
    <cellStyle name="Normal 4 8 6" xfId="2560" xr:uid="{00000000-0005-0000-0000-0000DA160000}"/>
    <cellStyle name="Normal 4 8 6 2" xfId="6844" xr:uid="{00000000-0005-0000-0000-0000DB160000}"/>
    <cellStyle name="Normal 4 8 6 2 2" xfId="15286" xr:uid="{B11E286F-2452-4FDA-968E-5029FA324B83}"/>
    <cellStyle name="Normal 4 8 6 2 3" xfId="23726" xr:uid="{4BF2A0B7-9002-4E76-9D36-4E1FC9373A9E}"/>
    <cellStyle name="Normal 4 8 6 3" xfId="11068" xr:uid="{9C9E1E91-5EA1-4473-8971-0106854E4755}"/>
    <cellStyle name="Normal 4 8 6 4" xfId="19509" xr:uid="{E9864AAC-7450-4734-B52C-E68B146FB9CF}"/>
    <cellStyle name="Normal 4 8 7" xfId="4779" xr:uid="{00000000-0005-0000-0000-0000DC160000}"/>
    <cellStyle name="Normal 4 8 7 2" xfId="13221" xr:uid="{D3F3B477-7F08-4168-BB45-987AB674E943}"/>
    <cellStyle name="Normal 4 8 7 3" xfId="21661" xr:uid="{F3F1C586-F021-4E4E-B6FA-A3D66BE410C7}"/>
    <cellStyle name="Normal 4 8 8" xfId="9003" xr:uid="{2D3BC446-59D8-499D-8F86-A4DC2EABA64C}"/>
    <cellStyle name="Normal 4 8 9" xfId="17444" xr:uid="{89D32931-8691-4EF5-8E80-6A8F8351F856}"/>
    <cellStyle name="Normal 4 9" xfId="4716" xr:uid="{00000000-0005-0000-0000-0000DD160000}"/>
    <cellStyle name="Normal 4 9 2" xfId="13158" xr:uid="{C2C69B2A-7B06-48A0-978B-F0BFF8FE5850}"/>
    <cellStyle name="Normal 4 9 3" xfId="21598" xr:uid="{6B7C6791-9FE6-46D2-B2EE-1F3884D53B36}"/>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16606" xr:uid="{FAFFC7E4-21E6-4381-BE3D-5D7B84E30E78}"/>
    <cellStyle name="Normal 5 10 2 2 3" xfId="25046" xr:uid="{8CA5C567-6A26-405A-BAF7-7BCAE9A7840D}"/>
    <cellStyle name="Normal 5 10 2 3" xfId="12388" xr:uid="{E54DA5D2-1AE1-492D-B8ED-6005E5C6F020}"/>
    <cellStyle name="Normal 5 10 2 4" xfId="20829" xr:uid="{0EFBF366-4F0F-4358-8BBD-E76B1C6D5529}"/>
    <cellStyle name="Normal 5 10 3" xfId="6019" xr:uid="{00000000-0005-0000-0000-0000E2160000}"/>
    <cellStyle name="Normal 5 10 3 2" xfId="14461" xr:uid="{91E64892-031B-4DA2-B65E-8BC818988A0B}"/>
    <cellStyle name="Normal 5 10 3 3" xfId="22901" xr:uid="{B4D6A24E-5A35-4DD6-8C43-D86B8320132A}"/>
    <cellStyle name="Normal 5 10 4" xfId="10243" xr:uid="{60948BEA-BBF6-45F6-A8C7-8A43DB94A739}"/>
    <cellStyle name="Normal 5 10 5" xfId="18684" xr:uid="{4B92AC28-2ACA-4287-8B1F-6CB4A6D5209E}"/>
    <cellStyle name="Normal 5 11" xfId="2125" xr:uid="{00000000-0005-0000-0000-0000E3160000}"/>
    <cellStyle name="Normal 5 11 2" xfId="4354" xr:uid="{00000000-0005-0000-0000-0000E4160000}"/>
    <cellStyle name="Normal 5 11 2 2" xfId="8577" xr:uid="{00000000-0005-0000-0000-0000E5160000}"/>
    <cellStyle name="Normal 5 11 2 2 2" xfId="17019" xr:uid="{C2A80853-C080-4E42-8D52-69A20C845E10}"/>
    <cellStyle name="Normal 5 11 2 2 3" xfId="25459" xr:uid="{9ACC7DEC-0BDE-405B-ACE5-162CB864AF80}"/>
    <cellStyle name="Normal 5 11 2 3" xfId="12801" xr:uid="{7CB68A28-5D70-4029-9B41-9B3193B86C20}"/>
    <cellStyle name="Normal 5 11 2 4" xfId="21242" xr:uid="{C307B8BE-1E62-4DFF-9F9F-8B6C46D92CBF}"/>
    <cellStyle name="Normal 5 11 3" xfId="6432" xr:uid="{00000000-0005-0000-0000-0000E6160000}"/>
    <cellStyle name="Normal 5 11 3 2" xfId="14874" xr:uid="{FC1439BC-9053-46EC-AE7C-D018896B2720}"/>
    <cellStyle name="Normal 5 11 3 3" xfId="23314" xr:uid="{A6C04127-C538-4F26-BD44-2B573755A252}"/>
    <cellStyle name="Normal 5 11 4" xfId="10656" xr:uid="{65EE23C3-A2B6-4CD7-9547-6F6F05499EFC}"/>
    <cellStyle name="Normal 5 11 5" xfId="19097" xr:uid="{93620D1C-47B6-4607-A5A9-7617E7668322}"/>
    <cellStyle name="Normal 5 12" xfId="2561" xr:uid="{00000000-0005-0000-0000-0000E7160000}"/>
    <cellStyle name="Normal 5 12 2" xfId="6845" xr:uid="{00000000-0005-0000-0000-0000E8160000}"/>
    <cellStyle name="Normal 5 12 2 2" xfId="15287" xr:uid="{044BF4EC-037C-45BC-85C4-25E94BA42A1B}"/>
    <cellStyle name="Normal 5 12 2 3" xfId="23727" xr:uid="{2552BBDC-15BA-4F7E-ACEC-17412F8E6E20}"/>
    <cellStyle name="Normal 5 12 3" xfId="11069" xr:uid="{4F422D58-2CB4-4BA9-8D33-631832BA0FB5}"/>
    <cellStyle name="Normal 5 12 4" xfId="19510" xr:uid="{1F119539-95DA-45B4-9AA3-707DCC36CA0D}"/>
    <cellStyle name="Normal 5 13" xfId="4780" xr:uid="{00000000-0005-0000-0000-0000E9160000}"/>
    <cellStyle name="Normal 5 13 2" xfId="13222" xr:uid="{9CF89F10-1347-4338-8688-518833C4223D}"/>
    <cellStyle name="Normal 5 13 3" xfId="21662" xr:uid="{6B2C3053-762D-41B5-AF28-3B64AD41F7BB}"/>
    <cellStyle name="Normal 5 14" xfId="9004" xr:uid="{36535613-946D-4D95-BB14-0338645ABB3C}"/>
    <cellStyle name="Normal 5 15" xfId="17445" xr:uid="{4BB60312-10AB-41DD-861C-80E6B35F65E8}"/>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17020" xr:uid="{8D528BDD-9D52-489E-B155-4596891D048E}"/>
    <cellStyle name="Normal 5 2 10 2 2 3" xfId="25460" xr:uid="{682C7336-EF63-42C6-A0C2-D4037D89AD5D}"/>
    <cellStyle name="Normal 5 2 10 2 3" xfId="12802" xr:uid="{0BE2FA15-AC46-466D-B34D-DDBB0812B480}"/>
    <cellStyle name="Normal 5 2 10 2 4" xfId="21243" xr:uid="{45D3E9C6-F758-42FF-9D63-50851485DF26}"/>
    <cellStyle name="Normal 5 2 10 3" xfId="6433" xr:uid="{00000000-0005-0000-0000-0000EE160000}"/>
    <cellStyle name="Normal 5 2 10 3 2" xfId="14875" xr:uid="{A37AD096-4998-4777-9CC0-2DDC63AE69F2}"/>
    <cellStyle name="Normal 5 2 10 3 3" xfId="23315" xr:uid="{60F9DBB0-BF4E-47D6-A3EC-66BD6327D5A3}"/>
    <cellStyle name="Normal 5 2 10 4" xfId="10657" xr:uid="{386BED72-3AD2-4ED8-8361-6533C2F23B4E}"/>
    <cellStyle name="Normal 5 2 10 5" xfId="19098" xr:uid="{B6A61A62-7AF8-4731-9763-5CE8D371E003}"/>
    <cellStyle name="Normal 5 2 11" xfId="2562" xr:uid="{00000000-0005-0000-0000-0000EF160000}"/>
    <cellStyle name="Normal 5 2 11 2" xfId="6846" xr:uid="{00000000-0005-0000-0000-0000F0160000}"/>
    <cellStyle name="Normal 5 2 11 2 2" xfId="15288" xr:uid="{10DFFE45-F31A-4300-BDC3-19C797A2B141}"/>
    <cellStyle name="Normal 5 2 11 2 3" xfId="23728" xr:uid="{BA74216A-D077-4C85-9710-B3D2478A3BF3}"/>
    <cellStyle name="Normal 5 2 11 3" xfId="11070" xr:uid="{9CE96DC9-380A-40BF-9A41-0ADC257481E5}"/>
    <cellStyle name="Normal 5 2 11 4" xfId="19511" xr:uid="{5A71F0F5-C341-4DA0-8F99-E9B9A9AA37AF}"/>
    <cellStyle name="Normal 5 2 12" xfId="4781" xr:uid="{00000000-0005-0000-0000-0000F1160000}"/>
    <cellStyle name="Normal 5 2 12 2" xfId="13223" xr:uid="{E8B7B004-D18C-42E7-A3F0-968BE9806622}"/>
    <cellStyle name="Normal 5 2 12 3" xfId="21663" xr:uid="{97608600-2FE1-402A-84C0-89A8F2407146}"/>
    <cellStyle name="Normal 5 2 13" xfId="9005" xr:uid="{632584E6-CC8F-44A1-9E4E-17BED6324DAB}"/>
    <cellStyle name="Normal 5 2 14" xfId="17446" xr:uid="{70270AF2-EC70-4F11-AFE0-F6CC78BBC9E9}"/>
    <cellStyle name="Normal 5 2 2" xfId="408" xr:uid="{00000000-0005-0000-0000-0000F2160000}"/>
    <cellStyle name="Normal 5 2 2 10" xfId="2563" xr:uid="{00000000-0005-0000-0000-0000F3160000}"/>
    <cellStyle name="Normal 5 2 2 10 2" xfId="6847" xr:uid="{00000000-0005-0000-0000-0000F4160000}"/>
    <cellStyle name="Normal 5 2 2 10 2 2" xfId="15289" xr:uid="{92B22022-4861-46D8-BE1C-F567768EBD09}"/>
    <cellStyle name="Normal 5 2 2 10 2 3" xfId="23729" xr:uid="{D07DEBC8-E344-498B-9846-09F7659D8BF0}"/>
    <cellStyle name="Normal 5 2 2 10 3" xfId="11071" xr:uid="{855D02B3-4E00-4075-AC8D-DA173ACA1754}"/>
    <cellStyle name="Normal 5 2 2 10 4" xfId="19512" xr:uid="{65B00DDC-C3AA-4750-8714-B52E77597667}"/>
    <cellStyle name="Normal 5 2 2 11" xfId="4782" xr:uid="{00000000-0005-0000-0000-0000F5160000}"/>
    <cellStyle name="Normal 5 2 2 11 2" xfId="13224" xr:uid="{7DD5D1C7-ECA0-4B25-A66A-8167B694D105}"/>
    <cellStyle name="Normal 5 2 2 11 3" xfId="21664" xr:uid="{38FCA83F-5BDD-4105-8DA4-A6FDB82B2CF1}"/>
    <cellStyle name="Normal 5 2 2 12" xfId="9006" xr:uid="{CEAB872B-5085-46C9-AD94-D6EDEC027B4F}"/>
    <cellStyle name="Normal 5 2 2 13" xfId="17447" xr:uid="{5D149D95-DF06-4E44-934F-0A8C3B33137A}"/>
    <cellStyle name="Normal 5 2 2 2" xfId="409" xr:uid="{00000000-0005-0000-0000-0000F6160000}"/>
    <cellStyle name="Normal 5 2 2 2 10" xfId="4783" xr:uid="{00000000-0005-0000-0000-0000F7160000}"/>
    <cellStyle name="Normal 5 2 2 2 10 2" xfId="13225" xr:uid="{40CA072B-A604-4C66-9CE1-D96B2492CD17}"/>
    <cellStyle name="Normal 5 2 2 2 10 3" xfId="21665" xr:uid="{75D659E4-21ED-4D68-AF61-95BB2C0A7295}"/>
    <cellStyle name="Normal 5 2 2 2 11" xfId="9007" xr:uid="{65A18CA1-F52B-49FF-86EF-F03F786FA996}"/>
    <cellStyle name="Normal 5 2 2 2 12" xfId="17448" xr:uid="{6D47DEDF-8D84-4AC1-9EB0-71AE1F520211}"/>
    <cellStyle name="Normal 5 2 2 2 2" xfId="410" xr:uid="{00000000-0005-0000-0000-0000F8160000}"/>
    <cellStyle name="Normal 5 2 2 2 2 10" xfId="9008" xr:uid="{DFE46C4E-5B2C-4E27-8808-36CCEC5E16F0}"/>
    <cellStyle name="Normal 5 2 2 2 2 11" xfId="17449" xr:uid="{684D02A1-87CB-40D9-A5F1-001429A4A849}"/>
    <cellStyle name="Normal 5 2 2 2 2 2" xfId="411" xr:uid="{00000000-0005-0000-0000-0000F9160000}"/>
    <cellStyle name="Normal 5 2 2 2 2 2 10" xfId="17450" xr:uid="{3E17C8E5-AD46-44FE-9B09-3212F10A8D29}"/>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15786" xr:uid="{FCCE03FD-D493-400B-AD6A-0B16AEE95355}"/>
    <cellStyle name="Normal 5 2 2 2 2 2 2 2 2 2 3" xfId="24226" xr:uid="{35F19D53-92E8-4CE5-A3B6-E265ED8A767C}"/>
    <cellStyle name="Normal 5 2 2 2 2 2 2 2 2 3" xfId="11568" xr:uid="{CEA75883-7C09-4AD6-B366-2E3D7EBD5AC4}"/>
    <cellStyle name="Normal 5 2 2 2 2 2 2 2 2 4" xfId="20009" xr:uid="{EC4BFB74-EA2D-4075-B858-55C2ADC0C9F7}"/>
    <cellStyle name="Normal 5 2 2 2 2 2 2 2 3" xfId="5199" xr:uid="{00000000-0005-0000-0000-0000FE160000}"/>
    <cellStyle name="Normal 5 2 2 2 2 2 2 2 3 2" xfId="13641" xr:uid="{AE442F61-1868-4526-873E-6183191DEDB4}"/>
    <cellStyle name="Normal 5 2 2 2 2 2 2 2 3 3" xfId="22081" xr:uid="{193CD03A-F2B1-4B32-834D-8C0B959BBCD1}"/>
    <cellStyle name="Normal 5 2 2 2 2 2 2 2 4" xfId="9423" xr:uid="{27904D49-56D5-4EC2-A0AE-2F8EEAA743ED}"/>
    <cellStyle name="Normal 5 2 2 2 2 2 2 2 5" xfId="17864" xr:uid="{A68E7955-86D5-4C91-BE4C-0AD5FB565CBA}"/>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16199" xr:uid="{52E6F0DD-3685-4C16-92F8-096AE734495E}"/>
    <cellStyle name="Normal 5 2 2 2 2 2 2 3 2 2 3" xfId="24639" xr:uid="{EB2DC8E6-65C9-45F5-AE32-0913292F4AA2}"/>
    <cellStyle name="Normal 5 2 2 2 2 2 2 3 2 3" xfId="11981" xr:uid="{299AE149-666B-439D-8FEE-E1FD4CDEDA66}"/>
    <cellStyle name="Normal 5 2 2 2 2 2 2 3 2 4" xfId="20422" xr:uid="{F5BFCA74-8252-4734-9D5D-671A5B9482AE}"/>
    <cellStyle name="Normal 5 2 2 2 2 2 2 3 3" xfId="5612" xr:uid="{00000000-0005-0000-0000-000002170000}"/>
    <cellStyle name="Normal 5 2 2 2 2 2 2 3 3 2" xfId="14054" xr:uid="{5A071B58-C82E-44D4-BB47-B8BDF3607E35}"/>
    <cellStyle name="Normal 5 2 2 2 2 2 2 3 3 3" xfId="22494" xr:uid="{30BA4EA6-2B4B-46DF-AB18-C094D1BA84CE}"/>
    <cellStyle name="Normal 5 2 2 2 2 2 2 3 4" xfId="9836" xr:uid="{843FF165-E3A0-4485-92C9-56B5FF33813B}"/>
    <cellStyle name="Normal 5 2 2 2 2 2 2 3 5" xfId="18277" xr:uid="{F18B5E8D-BF47-4C40-978D-B4DF4B7CB35B}"/>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16612" xr:uid="{C9FACEFB-DA73-4977-B1DA-DF0DBB9A74EB}"/>
    <cellStyle name="Normal 5 2 2 2 2 2 2 4 2 2 3" xfId="25052" xr:uid="{E32D6969-8010-426B-991A-AEC1F14A9E6D}"/>
    <cellStyle name="Normal 5 2 2 2 2 2 2 4 2 3" xfId="12394" xr:uid="{FF5666FE-A81E-48D1-A1F6-6CADEC249101}"/>
    <cellStyle name="Normal 5 2 2 2 2 2 2 4 2 4" xfId="20835" xr:uid="{DA2B821E-0A53-4DA1-9A41-FA68D6142477}"/>
    <cellStyle name="Normal 5 2 2 2 2 2 2 4 3" xfId="6025" xr:uid="{00000000-0005-0000-0000-000006170000}"/>
    <cellStyle name="Normal 5 2 2 2 2 2 2 4 3 2" xfId="14467" xr:uid="{54EFACF2-7AA0-47E6-8B18-A448E606CCED}"/>
    <cellStyle name="Normal 5 2 2 2 2 2 2 4 3 3" xfId="22907" xr:uid="{05DFEAC7-F930-4045-97EE-37E327B6A693}"/>
    <cellStyle name="Normal 5 2 2 2 2 2 2 4 4" xfId="10249" xr:uid="{B3F43F72-5315-4E10-B728-74618949B39F}"/>
    <cellStyle name="Normal 5 2 2 2 2 2 2 4 5" xfId="18690" xr:uid="{779F7F8C-2D62-4F30-BFF1-E3CDFC63B5F9}"/>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17025" xr:uid="{258100C0-016E-486D-B16F-DB95984FFC59}"/>
    <cellStyle name="Normal 5 2 2 2 2 2 2 5 2 2 3" xfId="25465" xr:uid="{09E05086-4BD3-43A0-8570-B276B9108D8D}"/>
    <cellStyle name="Normal 5 2 2 2 2 2 2 5 2 3" xfId="12807" xr:uid="{3A6DF4A9-4DF2-44B2-AE44-B503EC8C0DD9}"/>
    <cellStyle name="Normal 5 2 2 2 2 2 2 5 2 4" xfId="21248" xr:uid="{E12B7436-306F-48A1-9782-6E90EFEC3EAF}"/>
    <cellStyle name="Normal 5 2 2 2 2 2 2 5 3" xfId="6438" xr:uid="{00000000-0005-0000-0000-00000A170000}"/>
    <cellStyle name="Normal 5 2 2 2 2 2 2 5 3 2" xfId="14880" xr:uid="{1523EAA9-BEB7-4C3D-A1A6-B008B0939162}"/>
    <cellStyle name="Normal 5 2 2 2 2 2 2 5 3 3" xfId="23320" xr:uid="{6B56059F-2CA5-4608-9D4D-85346F6C3BCE}"/>
    <cellStyle name="Normal 5 2 2 2 2 2 2 5 4" xfId="10662" xr:uid="{21EB2E2D-D291-4639-BB4E-9BAEA8033087}"/>
    <cellStyle name="Normal 5 2 2 2 2 2 2 5 5" xfId="19103" xr:uid="{D5F6272F-00EE-4EA1-A2D5-ECEE3A111E1D}"/>
    <cellStyle name="Normal 5 2 2 2 2 2 2 6" xfId="2567" xr:uid="{00000000-0005-0000-0000-00000B170000}"/>
    <cellStyle name="Normal 5 2 2 2 2 2 2 6 2" xfId="6851" xr:uid="{00000000-0005-0000-0000-00000C170000}"/>
    <cellStyle name="Normal 5 2 2 2 2 2 2 6 2 2" xfId="15293" xr:uid="{30CAD229-DBAD-4CCA-94E8-8D03D6608C83}"/>
    <cellStyle name="Normal 5 2 2 2 2 2 2 6 2 3" xfId="23733" xr:uid="{E056521F-63EE-4AB8-955F-16AFA145D284}"/>
    <cellStyle name="Normal 5 2 2 2 2 2 2 6 3" xfId="11075" xr:uid="{3540C736-09E5-4E66-9875-0FCC3BE6E1E7}"/>
    <cellStyle name="Normal 5 2 2 2 2 2 2 6 4" xfId="19516" xr:uid="{5E29FE78-B7C0-4DF3-946F-FC25DC50655D}"/>
    <cellStyle name="Normal 5 2 2 2 2 2 2 7" xfId="4786" xr:uid="{00000000-0005-0000-0000-00000D170000}"/>
    <cellStyle name="Normal 5 2 2 2 2 2 2 7 2" xfId="13228" xr:uid="{6E3D44C6-C317-42CE-AD25-0AC7B99C90D9}"/>
    <cellStyle name="Normal 5 2 2 2 2 2 2 7 3" xfId="21668" xr:uid="{C52CA1DA-3B86-49D4-8307-FEE1E13D217D}"/>
    <cellStyle name="Normal 5 2 2 2 2 2 2 8" xfId="9010" xr:uid="{B0972B52-60FE-40D1-A920-63F176796C28}"/>
    <cellStyle name="Normal 5 2 2 2 2 2 2 9" xfId="17451" xr:uid="{013D42CE-59BE-41F7-972F-E5A116BA99F3}"/>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15785" xr:uid="{574CAE9D-936F-4069-B255-B1F0014CF63F}"/>
    <cellStyle name="Normal 5 2 2 2 2 2 3 2 2 3" xfId="24225" xr:uid="{1FA2D640-261A-4B03-BD28-7DB43B96314B}"/>
    <cellStyle name="Normal 5 2 2 2 2 2 3 2 3" xfId="11567" xr:uid="{17731FFE-822A-41E2-8996-BCC45F33F1C7}"/>
    <cellStyle name="Normal 5 2 2 2 2 2 3 2 4" xfId="20008" xr:uid="{6C4F864E-115A-42DC-80F7-A41F484D204A}"/>
    <cellStyle name="Normal 5 2 2 2 2 2 3 3" xfId="5198" xr:uid="{00000000-0005-0000-0000-000011170000}"/>
    <cellStyle name="Normal 5 2 2 2 2 2 3 3 2" xfId="13640" xr:uid="{EA2ED634-AC89-4D37-BBC0-6E28A27A60ED}"/>
    <cellStyle name="Normal 5 2 2 2 2 2 3 3 3" xfId="22080" xr:uid="{E64A9433-F25D-4A8C-BB21-D6840789AA05}"/>
    <cellStyle name="Normal 5 2 2 2 2 2 3 4" xfId="9422" xr:uid="{EFB6043D-27BB-4767-A5E5-44E699A1BFEB}"/>
    <cellStyle name="Normal 5 2 2 2 2 2 3 5" xfId="17863" xr:uid="{89A6F165-4FF0-4BE4-8297-2125DA032071}"/>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16198" xr:uid="{D1E9802D-A0C9-495D-BC74-A10E7AB28BEC}"/>
    <cellStyle name="Normal 5 2 2 2 2 2 4 2 2 3" xfId="24638" xr:uid="{D7676544-5D33-4606-843C-2084BE5EABA4}"/>
    <cellStyle name="Normal 5 2 2 2 2 2 4 2 3" xfId="11980" xr:uid="{A7F0890F-A118-4ED6-A6BC-305392DE3014}"/>
    <cellStyle name="Normal 5 2 2 2 2 2 4 2 4" xfId="20421" xr:uid="{3BB15E86-4D99-43EC-B4A5-029ED8717285}"/>
    <cellStyle name="Normal 5 2 2 2 2 2 4 3" xfId="5611" xr:uid="{00000000-0005-0000-0000-000015170000}"/>
    <cellStyle name="Normal 5 2 2 2 2 2 4 3 2" xfId="14053" xr:uid="{D9C6A659-A287-4087-8777-593A243A7F77}"/>
    <cellStyle name="Normal 5 2 2 2 2 2 4 3 3" xfId="22493" xr:uid="{4A69342E-B5B1-4A9B-AE04-F91C0EDD6FA2}"/>
    <cellStyle name="Normal 5 2 2 2 2 2 4 4" xfId="9835" xr:uid="{0C5B3D83-A79F-4D01-B488-2DB25469A7CC}"/>
    <cellStyle name="Normal 5 2 2 2 2 2 4 5" xfId="18276" xr:uid="{1E06EEE2-CDA5-40E9-AB84-E1666FE4B5A3}"/>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16611" xr:uid="{31A863BF-4A22-4B00-89F9-E83644E25F4D}"/>
    <cellStyle name="Normal 5 2 2 2 2 2 5 2 2 3" xfId="25051" xr:uid="{595168A4-6320-4680-B6D1-4D19B5D2E196}"/>
    <cellStyle name="Normal 5 2 2 2 2 2 5 2 3" xfId="12393" xr:uid="{CDDD0E0A-F43B-4556-ACCD-300033F1FFB9}"/>
    <cellStyle name="Normal 5 2 2 2 2 2 5 2 4" xfId="20834" xr:uid="{B7A65245-36E9-4125-B84C-ABB31D34D794}"/>
    <cellStyle name="Normal 5 2 2 2 2 2 5 3" xfId="6024" xr:uid="{00000000-0005-0000-0000-000019170000}"/>
    <cellStyle name="Normal 5 2 2 2 2 2 5 3 2" xfId="14466" xr:uid="{98663D87-8DDE-4085-B334-630EDD88164F}"/>
    <cellStyle name="Normal 5 2 2 2 2 2 5 3 3" xfId="22906" xr:uid="{2AB69FDA-B3C9-45DD-A067-DA5781DE031E}"/>
    <cellStyle name="Normal 5 2 2 2 2 2 5 4" xfId="10248" xr:uid="{64EBBA37-DE5D-4571-AC34-5C70205A7521}"/>
    <cellStyle name="Normal 5 2 2 2 2 2 5 5" xfId="18689" xr:uid="{51825DFE-4E97-456A-AD15-F3BBEE912E85}"/>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17024" xr:uid="{9362A40B-444B-4612-B3EA-2C973BF88994}"/>
    <cellStyle name="Normal 5 2 2 2 2 2 6 2 2 3" xfId="25464" xr:uid="{3F31148D-6EAC-4470-88CB-6FB909B92142}"/>
    <cellStyle name="Normal 5 2 2 2 2 2 6 2 3" xfId="12806" xr:uid="{31DD2730-0D4F-40CF-BA6F-0F438342B60C}"/>
    <cellStyle name="Normal 5 2 2 2 2 2 6 2 4" xfId="21247" xr:uid="{22E83A84-6356-4663-AB23-CFFBB3B884A1}"/>
    <cellStyle name="Normal 5 2 2 2 2 2 6 3" xfId="6437" xr:uid="{00000000-0005-0000-0000-00001D170000}"/>
    <cellStyle name="Normal 5 2 2 2 2 2 6 3 2" xfId="14879" xr:uid="{948BD79A-5D60-49E4-ADB7-7AFA1CE7BE14}"/>
    <cellStyle name="Normal 5 2 2 2 2 2 6 3 3" xfId="23319" xr:uid="{254EF64A-A103-4F5F-8259-95397F0BF7A1}"/>
    <cellStyle name="Normal 5 2 2 2 2 2 6 4" xfId="10661" xr:uid="{16E93F71-2DFD-41BD-9127-5EBB52DC2FD1}"/>
    <cellStyle name="Normal 5 2 2 2 2 2 6 5" xfId="19102" xr:uid="{9F001DD3-B693-4513-95C3-3D17CA7CABBB}"/>
    <cellStyle name="Normal 5 2 2 2 2 2 7" xfId="2566" xr:uid="{00000000-0005-0000-0000-00001E170000}"/>
    <cellStyle name="Normal 5 2 2 2 2 2 7 2" xfId="6850" xr:uid="{00000000-0005-0000-0000-00001F170000}"/>
    <cellStyle name="Normal 5 2 2 2 2 2 7 2 2" xfId="15292" xr:uid="{D4128E97-BE11-472B-B80B-89D9180CA6F6}"/>
    <cellStyle name="Normal 5 2 2 2 2 2 7 2 3" xfId="23732" xr:uid="{E8423974-9AF2-428F-B1A2-A0B60098B402}"/>
    <cellStyle name="Normal 5 2 2 2 2 2 7 3" xfId="11074" xr:uid="{65D64FE8-0A3D-4538-8AF9-454724A6029C}"/>
    <cellStyle name="Normal 5 2 2 2 2 2 7 4" xfId="19515" xr:uid="{52AAE713-C5E6-40BB-92B4-2404880D2033}"/>
    <cellStyle name="Normal 5 2 2 2 2 2 8" xfId="4785" xr:uid="{00000000-0005-0000-0000-000020170000}"/>
    <cellStyle name="Normal 5 2 2 2 2 2 8 2" xfId="13227" xr:uid="{02019D13-CD2A-43C7-A472-9B2049A9DCDF}"/>
    <cellStyle name="Normal 5 2 2 2 2 2 8 3" xfId="21667" xr:uid="{DB26614C-5CFD-4945-A45A-FD4CA491963D}"/>
    <cellStyle name="Normal 5 2 2 2 2 2 9" xfId="9009" xr:uid="{EA660161-894B-458D-AD77-BC6A1DEF8538}"/>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15787" xr:uid="{6954F88A-8A0C-437B-9248-D4B94BFCB062}"/>
    <cellStyle name="Normal 5 2 2 2 2 3 2 2 2 3" xfId="24227" xr:uid="{4256E6B4-4680-4F11-A3F7-F1220D26B863}"/>
    <cellStyle name="Normal 5 2 2 2 2 3 2 2 3" xfId="11569" xr:uid="{CD1AC2C4-BB13-4852-BFD3-47CBF26918AB}"/>
    <cellStyle name="Normal 5 2 2 2 2 3 2 2 4" xfId="20010" xr:uid="{74139C11-E076-4953-9878-FB1090AA4BD1}"/>
    <cellStyle name="Normal 5 2 2 2 2 3 2 3" xfId="5200" xr:uid="{00000000-0005-0000-0000-000025170000}"/>
    <cellStyle name="Normal 5 2 2 2 2 3 2 3 2" xfId="13642" xr:uid="{8BB60D13-EFC0-43A7-A52F-593E715BFF62}"/>
    <cellStyle name="Normal 5 2 2 2 2 3 2 3 3" xfId="22082" xr:uid="{8DE2FAEB-2F50-4CAD-9143-A975F2422EEB}"/>
    <cellStyle name="Normal 5 2 2 2 2 3 2 4" xfId="9424" xr:uid="{D3C21F0A-EE30-4390-9918-7F0F37ADD34C}"/>
    <cellStyle name="Normal 5 2 2 2 2 3 2 5" xfId="17865" xr:uid="{63F29354-7922-4AA7-8A0B-B30462E11BED}"/>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16200" xr:uid="{5476AAEB-D266-48BD-BD41-4BC6E5EBC840}"/>
    <cellStyle name="Normal 5 2 2 2 2 3 3 2 2 3" xfId="24640" xr:uid="{B49917D9-BB7B-4A83-82F6-691B1CEDE89A}"/>
    <cellStyle name="Normal 5 2 2 2 2 3 3 2 3" xfId="11982" xr:uid="{89E19F20-0C20-4EB5-A47D-59B874BD60B1}"/>
    <cellStyle name="Normal 5 2 2 2 2 3 3 2 4" xfId="20423" xr:uid="{727ECB24-CD4E-486D-A62D-BB1FA1A7CEA4}"/>
    <cellStyle name="Normal 5 2 2 2 2 3 3 3" xfId="5613" xr:uid="{00000000-0005-0000-0000-000029170000}"/>
    <cellStyle name="Normal 5 2 2 2 2 3 3 3 2" xfId="14055" xr:uid="{77087CA7-4AED-49DF-A807-B6A27FE59FC3}"/>
    <cellStyle name="Normal 5 2 2 2 2 3 3 3 3" xfId="22495" xr:uid="{17AFEDC5-92BA-42BD-9773-1F17622A5E57}"/>
    <cellStyle name="Normal 5 2 2 2 2 3 3 4" xfId="9837" xr:uid="{0A0B90A2-0294-4130-BB7E-5D446D166F5F}"/>
    <cellStyle name="Normal 5 2 2 2 2 3 3 5" xfId="18278" xr:uid="{F5A794A5-E88C-4F42-804D-E869071B0D6F}"/>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16613" xr:uid="{5DEF3322-D47D-4078-B5F9-808AB35B6576}"/>
    <cellStyle name="Normal 5 2 2 2 2 3 4 2 2 3" xfId="25053" xr:uid="{C2786B2E-4CD6-4494-9792-48575FC23E29}"/>
    <cellStyle name="Normal 5 2 2 2 2 3 4 2 3" xfId="12395" xr:uid="{FA13E296-17F3-4F31-B758-EF4E012563BB}"/>
    <cellStyle name="Normal 5 2 2 2 2 3 4 2 4" xfId="20836" xr:uid="{D731C7A7-92EC-482C-A0D6-1E79D3D76958}"/>
    <cellStyle name="Normal 5 2 2 2 2 3 4 3" xfId="6026" xr:uid="{00000000-0005-0000-0000-00002D170000}"/>
    <cellStyle name="Normal 5 2 2 2 2 3 4 3 2" xfId="14468" xr:uid="{B4547501-31BE-4636-B74D-3D4F1699C917}"/>
    <cellStyle name="Normal 5 2 2 2 2 3 4 3 3" xfId="22908" xr:uid="{83C4AA0D-9B3B-4C23-AAD8-FAF5BCC7E40F}"/>
    <cellStyle name="Normal 5 2 2 2 2 3 4 4" xfId="10250" xr:uid="{786A0E1E-8C3C-4CC7-8671-E1D6ABB23693}"/>
    <cellStyle name="Normal 5 2 2 2 2 3 4 5" xfId="18691" xr:uid="{2B03C887-8807-4F13-A437-CB59DE2E0E75}"/>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17026" xr:uid="{E1915108-ADCA-4315-B572-020DCD236A1C}"/>
    <cellStyle name="Normal 5 2 2 2 2 3 5 2 2 3" xfId="25466" xr:uid="{009A7DE9-2974-46BC-B4F1-CE4B0F82329C}"/>
    <cellStyle name="Normal 5 2 2 2 2 3 5 2 3" xfId="12808" xr:uid="{B896C487-F58A-45D2-97B5-9AD77E0AF719}"/>
    <cellStyle name="Normal 5 2 2 2 2 3 5 2 4" xfId="21249" xr:uid="{9862A8D0-CDB7-4B26-B804-FF244B0B5454}"/>
    <cellStyle name="Normal 5 2 2 2 2 3 5 3" xfId="6439" xr:uid="{00000000-0005-0000-0000-000031170000}"/>
    <cellStyle name="Normal 5 2 2 2 2 3 5 3 2" xfId="14881" xr:uid="{C2D0C533-959E-4E4A-9D3B-41FB91ED26B0}"/>
    <cellStyle name="Normal 5 2 2 2 2 3 5 3 3" xfId="23321" xr:uid="{AB6D296A-EB7E-435D-BBEE-47E12DBCCFAF}"/>
    <cellStyle name="Normal 5 2 2 2 2 3 5 4" xfId="10663" xr:uid="{FCBA02CF-F6A2-45E8-A017-A2DCCC228EC2}"/>
    <cellStyle name="Normal 5 2 2 2 2 3 5 5" xfId="19104" xr:uid="{F65FEF4D-78C6-4B80-88C8-70BBE4BEAB88}"/>
    <cellStyle name="Normal 5 2 2 2 2 3 6" xfId="2568" xr:uid="{00000000-0005-0000-0000-000032170000}"/>
    <cellStyle name="Normal 5 2 2 2 2 3 6 2" xfId="6852" xr:uid="{00000000-0005-0000-0000-000033170000}"/>
    <cellStyle name="Normal 5 2 2 2 2 3 6 2 2" xfId="15294" xr:uid="{9778A5B3-B20C-4BCF-8115-5F878FC5686E}"/>
    <cellStyle name="Normal 5 2 2 2 2 3 6 2 3" xfId="23734" xr:uid="{C1F8F741-DEEF-4CF9-B6E4-F3EDD6F9BA27}"/>
    <cellStyle name="Normal 5 2 2 2 2 3 6 3" xfId="11076" xr:uid="{2DA50C12-C5D8-4BFB-9A69-027806A6332F}"/>
    <cellStyle name="Normal 5 2 2 2 2 3 6 4" xfId="19517" xr:uid="{2D01527A-6DDE-445F-AEB7-A7C5B73008A4}"/>
    <cellStyle name="Normal 5 2 2 2 2 3 7" xfId="4787" xr:uid="{00000000-0005-0000-0000-000034170000}"/>
    <cellStyle name="Normal 5 2 2 2 2 3 7 2" xfId="13229" xr:uid="{BE52A01F-5825-4E2C-966C-9137AD7E58A6}"/>
    <cellStyle name="Normal 5 2 2 2 2 3 7 3" xfId="21669" xr:uid="{334F8C1E-DD51-4FC5-B908-7FA4984AA969}"/>
    <cellStyle name="Normal 5 2 2 2 2 3 8" xfId="9011" xr:uid="{C91267DB-48CC-46AE-90BA-131E149D9275}"/>
    <cellStyle name="Normal 5 2 2 2 2 3 9" xfId="17452" xr:uid="{183C77D1-5D13-430B-A1E8-71D054A36713}"/>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15784" xr:uid="{AE19C5D1-A6A0-44F2-90F4-333F7184EEBB}"/>
    <cellStyle name="Normal 5 2 2 2 2 4 2 2 3" xfId="24224" xr:uid="{52472CC5-D34B-4C3D-ADD3-279B3A36A717}"/>
    <cellStyle name="Normal 5 2 2 2 2 4 2 3" xfId="11566" xr:uid="{B768FE16-8149-4FAB-9750-98FC6E6546AB}"/>
    <cellStyle name="Normal 5 2 2 2 2 4 2 4" xfId="20007" xr:uid="{2EEDFB4D-1CF8-438E-A5B4-262D4DC44FC0}"/>
    <cellStyle name="Normal 5 2 2 2 2 4 3" xfId="5197" xr:uid="{00000000-0005-0000-0000-000038170000}"/>
    <cellStyle name="Normal 5 2 2 2 2 4 3 2" xfId="13639" xr:uid="{A64FC512-A80E-48A3-B943-EC2BFD90613F}"/>
    <cellStyle name="Normal 5 2 2 2 2 4 3 3" xfId="22079" xr:uid="{6ED25EA1-6A84-46F2-B247-D058E237D8A9}"/>
    <cellStyle name="Normal 5 2 2 2 2 4 4" xfId="9421" xr:uid="{9EC667FD-0447-45F4-BE29-171C9097B668}"/>
    <cellStyle name="Normal 5 2 2 2 2 4 5" xfId="17862" xr:uid="{3549DE28-5948-4ED5-83E8-4E475478D0D8}"/>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16197" xr:uid="{5C1D8828-D045-4F79-BB7D-A923E9D52519}"/>
    <cellStyle name="Normal 5 2 2 2 2 5 2 2 3" xfId="24637" xr:uid="{58DBDC35-DEA0-4266-A026-09B9B5522A19}"/>
    <cellStyle name="Normal 5 2 2 2 2 5 2 3" xfId="11979" xr:uid="{B6A23E93-ABC0-4F4F-85ED-96A75397C152}"/>
    <cellStyle name="Normal 5 2 2 2 2 5 2 4" xfId="20420" xr:uid="{A6CBE8FF-B7DC-4EBC-B297-C085F6A4EF8D}"/>
    <cellStyle name="Normal 5 2 2 2 2 5 3" xfId="5610" xr:uid="{00000000-0005-0000-0000-00003C170000}"/>
    <cellStyle name="Normal 5 2 2 2 2 5 3 2" xfId="14052" xr:uid="{243031C8-744F-43E9-980A-38A1954B7732}"/>
    <cellStyle name="Normal 5 2 2 2 2 5 3 3" xfId="22492" xr:uid="{26FE9D66-32A6-431B-B745-298535F38B93}"/>
    <cellStyle name="Normal 5 2 2 2 2 5 4" xfId="9834" xr:uid="{005CC480-0308-4730-96E8-A1033CD010B9}"/>
    <cellStyle name="Normal 5 2 2 2 2 5 5" xfId="18275" xr:uid="{2F3E2F3D-B726-4888-8D94-F0C20D8FF5FA}"/>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16610" xr:uid="{131867DE-3EBC-474A-BC4F-FC0CEB5504EE}"/>
    <cellStyle name="Normal 5 2 2 2 2 6 2 2 3" xfId="25050" xr:uid="{0377BDB4-58D3-4865-BFAB-4ABE955C2C40}"/>
    <cellStyle name="Normal 5 2 2 2 2 6 2 3" xfId="12392" xr:uid="{D1699929-143D-4563-AF2F-0E43F09B9656}"/>
    <cellStyle name="Normal 5 2 2 2 2 6 2 4" xfId="20833" xr:uid="{F6D423BB-F78F-4BF3-AD08-C21CB263BCD0}"/>
    <cellStyle name="Normal 5 2 2 2 2 6 3" xfId="6023" xr:uid="{00000000-0005-0000-0000-000040170000}"/>
    <cellStyle name="Normal 5 2 2 2 2 6 3 2" xfId="14465" xr:uid="{80F8B1EB-49F2-4C7C-AD0A-B7EE87B3D2A8}"/>
    <cellStyle name="Normal 5 2 2 2 2 6 3 3" xfId="22905" xr:uid="{DB47C428-9E61-4678-9374-810503AF4197}"/>
    <cellStyle name="Normal 5 2 2 2 2 6 4" xfId="10247" xr:uid="{547B5315-76E7-424C-8E7A-95005273431F}"/>
    <cellStyle name="Normal 5 2 2 2 2 6 5" xfId="18688" xr:uid="{135B28CA-EADE-4AA3-B7E9-5959B50FE334}"/>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17023" xr:uid="{CF044C89-8CAC-44C6-9E57-BB6B01A1636B}"/>
    <cellStyle name="Normal 5 2 2 2 2 7 2 2 3" xfId="25463" xr:uid="{2E726BCD-8C71-4C72-8B8B-E7081EB087CE}"/>
    <cellStyle name="Normal 5 2 2 2 2 7 2 3" xfId="12805" xr:uid="{684192C3-E4A9-4F4A-A029-EFCFE9494977}"/>
    <cellStyle name="Normal 5 2 2 2 2 7 2 4" xfId="21246" xr:uid="{98063387-3D60-4D52-8FA1-BC1866FB5725}"/>
    <cellStyle name="Normal 5 2 2 2 2 7 3" xfId="6436" xr:uid="{00000000-0005-0000-0000-000044170000}"/>
    <cellStyle name="Normal 5 2 2 2 2 7 3 2" xfId="14878" xr:uid="{91EF1D7E-CB1A-4603-B558-AEDE4B33B357}"/>
    <cellStyle name="Normal 5 2 2 2 2 7 3 3" xfId="23318" xr:uid="{0B114080-ECC6-4F94-8A49-E0AAFA8663E9}"/>
    <cellStyle name="Normal 5 2 2 2 2 7 4" xfId="10660" xr:uid="{FC7AB0F0-4A7F-45BC-B589-6DCC7263C7C6}"/>
    <cellStyle name="Normal 5 2 2 2 2 7 5" xfId="19101" xr:uid="{C8A58F2F-3E46-478C-B5C2-A7054D4F8EF8}"/>
    <cellStyle name="Normal 5 2 2 2 2 8" xfId="2565" xr:uid="{00000000-0005-0000-0000-000045170000}"/>
    <cellStyle name="Normal 5 2 2 2 2 8 2" xfId="6849" xr:uid="{00000000-0005-0000-0000-000046170000}"/>
    <cellStyle name="Normal 5 2 2 2 2 8 2 2" xfId="15291" xr:uid="{76C816EB-B57F-46C3-9479-F418C700596B}"/>
    <cellStyle name="Normal 5 2 2 2 2 8 2 3" xfId="23731" xr:uid="{5B3D7266-1F92-4E67-8B56-3C1B527A573B}"/>
    <cellStyle name="Normal 5 2 2 2 2 8 3" xfId="11073" xr:uid="{7002FCE7-5570-44F6-B109-B8E441D5C096}"/>
    <cellStyle name="Normal 5 2 2 2 2 8 4" xfId="19514" xr:uid="{33256A8D-4717-4794-B80B-B0A18A32E8B9}"/>
    <cellStyle name="Normal 5 2 2 2 2 9" xfId="4784" xr:uid="{00000000-0005-0000-0000-000047170000}"/>
    <cellStyle name="Normal 5 2 2 2 2 9 2" xfId="13226" xr:uid="{D1E1B8B5-E75E-42BD-ACA5-C29FB4853990}"/>
    <cellStyle name="Normal 5 2 2 2 2 9 3" xfId="21666" xr:uid="{4F54FE76-8230-4778-91BB-642AFA384253}"/>
    <cellStyle name="Normal 5 2 2 2 3" xfId="414" xr:uid="{00000000-0005-0000-0000-000048170000}"/>
    <cellStyle name="Normal 5 2 2 2 3 10" xfId="17453" xr:uid="{3A1AC8AB-E269-4F44-AA8C-914AB236410F}"/>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15789" xr:uid="{67DEB2B9-D0EE-4BED-8191-B44009D688B0}"/>
    <cellStyle name="Normal 5 2 2 2 3 2 2 2 2 3" xfId="24229" xr:uid="{D3A44442-10AD-4323-B73B-46482A551177}"/>
    <cellStyle name="Normal 5 2 2 2 3 2 2 2 3" xfId="11571" xr:uid="{FC7A7F5D-1C11-4160-9B03-2E56141DA586}"/>
    <cellStyle name="Normal 5 2 2 2 3 2 2 2 4" xfId="20012" xr:uid="{DC667E23-ACC1-48B3-9587-BD31B8A74C3B}"/>
    <cellStyle name="Normal 5 2 2 2 3 2 2 3" xfId="5202" xr:uid="{00000000-0005-0000-0000-00004D170000}"/>
    <cellStyle name="Normal 5 2 2 2 3 2 2 3 2" xfId="13644" xr:uid="{464354D6-582A-4BA6-8A24-3EAC2D7C8060}"/>
    <cellStyle name="Normal 5 2 2 2 3 2 2 3 3" xfId="22084" xr:uid="{5A783294-8A33-4373-A642-5FB6E28AFFE1}"/>
    <cellStyle name="Normal 5 2 2 2 3 2 2 4" xfId="9426" xr:uid="{10187F21-46DE-4BA9-A638-EFE9021F1C13}"/>
    <cellStyle name="Normal 5 2 2 2 3 2 2 5" xfId="17867" xr:uid="{57A4558F-393B-4C88-A339-F4C4F22E162C}"/>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16202" xr:uid="{F79A7ED1-BB41-4621-B444-F8AF53CF46E3}"/>
    <cellStyle name="Normal 5 2 2 2 3 2 3 2 2 3" xfId="24642" xr:uid="{DFA1A6CC-39E7-4DDD-B1B1-EBF485A97F35}"/>
    <cellStyle name="Normal 5 2 2 2 3 2 3 2 3" xfId="11984" xr:uid="{84A843A2-3B2D-4DE5-AC52-427A3A549990}"/>
    <cellStyle name="Normal 5 2 2 2 3 2 3 2 4" xfId="20425" xr:uid="{4A29D491-DC29-47D2-87F2-29569E1109F1}"/>
    <cellStyle name="Normal 5 2 2 2 3 2 3 3" xfId="5615" xr:uid="{00000000-0005-0000-0000-000051170000}"/>
    <cellStyle name="Normal 5 2 2 2 3 2 3 3 2" xfId="14057" xr:uid="{041B6A15-1FA7-428C-9730-B100E82A7693}"/>
    <cellStyle name="Normal 5 2 2 2 3 2 3 3 3" xfId="22497" xr:uid="{CDA01143-B479-4455-8E29-6DEF10948274}"/>
    <cellStyle name="Normal 5 2 2 2 3 2 3 4" xfId="9839" xr:uid="{0C9E5999-8A9F-41F5-9D3F-E0DA2CDB71DE}"/>
    <cellStyle name="Normal 5 2 2 2 3 2 3 5" xfId="18280" xr:uid="{5F174106-4AED-4A50-A47D-E197F46907BE}"/>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16615" xr:uid="{647F7666-3711-4814-8EE8-45BA689D8B12}"/>
    <cellStyle name="Normal 5 2 2 2 3 2 4 2 2 3" xfId="25055" xr:uid="{C6F722D8-4E08-4D0D-A496-3575FB9E21F5}"/>
    <cellStyle name="Normal 5 2 2 2 3 2 4 2 3" xfId="12397" xr:uid="{50803D4F-3BB2-472D-B73D-FA71A2033735}"/>
    <cellStyle name="Normal 5 2 2 2 3 2 4 2 4" xfId="20838" xr:uid="{29F13C40-40BA-47D5-91DF-C3BB9EFB5656}"/>
    <cellStyle name="Normal 5 2 2 2 3 2 4 3" xfId="6028" xr:uid="{00000000-0005-0000-0000-000055170000}"/>
    <cellStyle name="Normal 5 2 2 2 3 2 4 3 2" xfId="14470" xr:uid="{2CFCDA0F-6F94-4065-9DEE-5088803D86AE}"/>
    <cellStyle name="Normal 5 2 2 2 3 2 4 3 3" xfId="22910" xr:uid="{F04429C0-927F-4646-94E8-1660609A5E29}"/>
    <cellStyle name="Normal 5 2 2 2 3 2 4 4" xfId="10252" xr:uid="{F55DF67D-E888-4938-9232-1C7363723C16}"/>
    <cellStyle name="Normal 5 2 2 2 3 2 4 5" xfId="18693" xr:uid="{059C597F-1029-4B69-9342-9E1094D75BBF}"/>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17028" xr:uid="{891E48F6-9CC2-407E-9567-E8F155666FA7}"/>
    <cellStyle name="Normal 5 2 2 2 3 2 5 2 2 3" xfId="25468" xr:uid="{1C7D04C7-72D8-4085-8D6A-BD0A0A4E2FFA}"/>
    <cellStyle name="Normal 5 2 2 2 3 2 5 2 3" xfId="12810" xr:uid="{1B0E297C-6EDD-44B0-8302-CE70BCB885E6}"/>
    <cellStyle name="Normal 5 2 2 2 3 2 5 2 4" xfId="21251" xr:uid="{221692D1-CED8-41AF-AA46-4C5009227D6D}"/>
    <cellStyle name="Normal 5 2 2 2 3 2 5 3" xfId="6441" xr:uid="{00000000-0005-0000-0000-000059170000}"/>
    <cellStyle name="Normal 5 2 2 2 3 2 5 3 2" xfId="14883" xr:uid="{3290870E-9532-4E9A-B628-0DA218E07789}"/>
    <cellStyle name="Normal 5 2 2 2 3 2 5 3 3" xfId="23323" xr:uid="{09DE8ECA-C33B-4792-B128-55A85C79AA23}"/>
    <cellStyle name="Normal 5 2 2 2 3 2 5 4" xfId="10665" xr:uid="{2158485D-AF48-474C-AFDE-793ADC782347}"/>
    <cellStyle name="Normal 5 2 2 2 3 2 5 5" xfId="19106" xr:uid="{91471BC8-C16C-4E54-9E39-3CE38E8FC9A7}"/>
    <cellStyle name="Normal 5 2 2 2 3 2 6" xfId="2570" xr:uid="{00000000-0005-0000-0000-00005A170000}"/>
    <cellStyle name="Normal 5 2 2 2 3 2 6 2" xfId="6854" xr:uid="{00000000-0005-0000-0000-00005B170000}"/>
    <cellStyle name="Normal 5 2 2 2 3 2 6 2 2" xfId="15296" xr:uid="{32E2ED9D-6056-41E9-8E34-FECE509AE79F}"/>
    <cellStyle name="Normal 5 2 2 2 3 2 6 2 3" xfId="23736" xr:uid="{25F01306-3D8A-4FDF-9140-85528B5E23E5}"/>
    <cellStyle name="Normal 5 2 2 2 3 2 6 3" xfId="11078" xr:uid="{BD5AC3B8-487E-42B1-96A2-998F47526771}"/>
    <cellStyle name="Normal 5 2 2 2 3 2 6 4" xfId="19519" xr:uid="{F49265A1-C95C-43A1-8F46-4BE22D78297D}"/>
    <cellStyle name="Normal 5 2 2 2 3 2 7" xfId="4789" xr:uid="{00000000-0005-0000-0000-00005C170000}"/>
    <cellStyle name="Normal 5 2 2 2 3 2 7 2" xfId="13231" xr:uid="{86712171-97FE-4CEC-A24C-0008FB9602C0}"/>
    <cellStyle name="Normal 5 2 2 2 3 2 7 3" xfId="21671" xr:uid="{48AEA49A-D5D8-42F7-A378-17CD09D931AD}"/>
    <cellStyle name="Normal 5 2 2 2 3 2 8" xfId="9013" xr:uid="{44EA9475-B317-4872-A4C9-04A05C126D44}"/>
    <cellStyle name="Normal 5 2 2 2 3 2 9" xfId="17454" xr:uid="{7936D7CD-C853-49D1-8A52-825FF3F9C363}"/>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15788" xr:uid="{6046BAE3-901B-4022-9B9D-3C977ED11C00}"/>
    <cellStyle name="Normal 5 2 2 2 3 3 2 2 3" xfId="24228" xr:uid="{A013FF44-44A3-432A-9756-4DCAD210C051}"/>
    <cellStyle name="Normal 5 2 2 2 3 3 2 3" xfId="11570" xr:uid="{90CC5475-135C-46A1-AE33-526D73DB5742}"/>
    <cellStyle name="Normal 5 2 2 2 3 3 2 4" xfId="20011" xr:uid="{91DC786F-FF78-443C-8FD3-0C2EA978853B}"/>
    <cellStyle name="Normal 5 2 2 2 3 3 3" xfId="5201" xr:uid="{00000000-0005-0000-0000-000060170000}"/>
    <cellStyle name="Normal 5 2 2 2 3 3 3 2" xfId="13643" xr:uid="{E97D0941-4A02-4DB5-9EB8-51C63E845006}"/>
    <cellStyle name="Normal 5 2 2 2 3 3 3 3" xfId="22083" xr:uid="{053B292E-2F5F-43FE-BEED-07464DF9742F}"/>
    <cellStyle name="Normal 5 2 2 2 3 3 4" xfId="9425" xr:uid="{D042BC84-D534-4BB0-BA9E-5B34298FAA3C}"/>
    <cellStyle name="Normal 5 2 2 2 3 3 5" xfId="17866" xr:uid="{78524614-BC49-4D4A-91DD-0B220ECEB567}"/>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16201" xr:uid="{9D9E912A-1E13-4E9C-96C1-7A77C421D231}"/>
    <cellStyle name="Normal 5 2 2 2 3 4 2 2 3" xfId="24641" xr:uid="{BF3A7A4D-EB98-415B-93B4-6C51E10A63DB}"/>
    <cellStyle name="Normal 5 2 2 2 3 4 2 3" xfId="11983" xr:uid="{2E8E4A12-D999-4958-B84C-8D73822EFCCE}"/>
    <cellStyle name="Normal 5 2 2 2 3 4 2 4" xfId="20424" xr:uid="{2A44AD5C-4692-4659-8EC9-8845D5696D77}"/>
    <cellStyle name="Normal 5 2 2 2 3 4 3" xfId="5614" xr:uid="{00000000-0005-0000-0000-000064170000}"/>
    <cellStyle name="Normal 5 2 2 2 3 4 3 2" xfId="14056" xr:uid="{8D5B01BD-1BDC-488D-87D3-1D1507D33120}"/>
    <cellStyle name="Normal 5 2 2 2 3 4 3 3" xfId="22496" xr:uid="{65E800BE-A77E-4DC5-BB28-68A6FD62E716}"/>
    <cellStyle name="Normal 5 2 2 2 3 4 4" xfId="9838" xr:uid="{F8EB8CC4-C3CD-451D-880F-14BB8AD5E371}"/>
    <cellStyle name="Normal 5 2 2 2 3 4 5" xfId="18279" xr:uid="{95D3773D-4F29-4BFC-8C36-636B1BD924A1}"/>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16614" xr:uid="{D07DF925-F4DE-4EAB-81BF-0DDAD676FA7E}"/>
    <cellStyle name="Normal 5 2 2 2 3 5 2 2 3" xfId="25054" xr:uid="{4DF57106-7CCC-41EC-91AE-C559E0FEDC3B}"/>
    <cellStyle name="Normal 5 2 2 2 3 5 2 3" xfId="12396" xr:uid="{B9AA051E-E4F6-4532-AB9D-A08B563CFB36}"/>
    <cellStyle name="Normal 5 2 2 2 3 5 2 4" xfId="20837" xr:uid="{C51D0D8C-6622-47CE-845F-7AB2C6C11156}"/>
    <cellStyle name="Normal 5 2 2 2 3 5 3" xfId="6027" xr:uid="{00000000-0005-0000-0000-000068170000}"/>
    <cellStyle name="Normal 5 2 2 2 3 5 3 2" xfId="14469" xr:uid="{C37A78C8-4C4A-48F0-9489-132E7B52744E}"/>
    <cellStyle name="Normal 5 2 2 2 3 5 3 3" xfId="22909" xr:uid="{DD65C434-6A87-4DD7-B387-3EDBEA6C1E73}"/>
    <cellStyle name="Normal 5 2 2 2 3 5 4" xfId="10251" xr:uid="{C959FE70-D07A-4297-BE9D-56E150ED27E6}"/>
    <cellStyle name="Normal 5 2 2 2 3 5 5" xfId="18692" xr:uid="{988FB42B-30FB-4B42-AF26-CC3A5BD1DCED}"/>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17027" xr:uid="{E1855132-FC87-4354-A49B-D39343CC4FF9}"/>
    <cellStyle name="Normal 5 2 2 2 3 6 2 2 3" xfId="25467" xr:uid="{4597C87E-01F4-444D-A5B8-62E45F8A1EDD}"/>
    <cellStyle name="Normal 5 2 2 2 3 6 2 3" xfId="12809" xr:uid="{59F54756-4419-4B3F-A07A-BBAA10886D52}"/>
    <cellStyle name="Normal 5 2 2 2 3 6 2 4" xfId="21250" xr:uid="{34BBD0B2-56E4-44C3-868D-D8F2D744B7B6}"/>
    <cellStyle name="Normal 5 2 2 2 3 6 3" xfId="6440" xr:uid="{00000000-0005-0000-0000-00006C170000}"/>
    <cellStyle name="Normal 5 2 2 2 3 6 3 2" xfId="14882" xr:uid="{246D4274-78E9-435E-AC12-0003D7B2DB87}"/>
    <cellStyle name="Normal 5 2 2 2 3 6 3 3" xfId="23322" xr:uid="{13B2F877-FD5C-454E-AE36-335647B7D951}"/>
    <cellStyle name="Normal 5 2 2 2 3 6 4" xfId="10664" xr:uid="{8B0DCE7E-CE96-423E-960B-38CCA689FB4F}"/>
    <cellStyle name="Normal 5 2 2 2 3 6 5" xfId="19105" xr:uid="{3E695D68-5EB0-4ECD-BF42-F4A814511CAF}"/>
    <cellStyle name="Normal 5 2 2 2 3 7" xfId="2569" xr:uid="{00000000-0005-0000-0000-00006D170000}"/>
    <cellStyle name="Normal 5 2 2 2 3 7 2" xfId="6853" xr:uid="{00000000-0005-0000-0000-00006E170000}"/>
    <cellStyle name="Normal 5 2 2 2 3 7 2 2" xfId="15295" xr:uid="{D2E98A40-6E71-4502-8ED8-4F81DA6BAD91}"/>
    <cellStyle name="Normal 5 2 2 2 3 7 2 3" xfId="23735" xr:uid="{9172ED20-A3E9-4BA6-8BA5-4B160532A054}"/>
    <cellStyle name="Normal 5 2 2 2 3 7 3" xfId="11077" xr:uid="{D44648A1-256F-4D9F-BB28-60028DA6D69D}"/>
    <cellStyle name="Normal 5 2 2 2 3 7 4" xfId="19518" xr:uid="{E00DFBFE-97EE-41F6-A2ED-64A75E85FFB4}"/>
    <cellStyle name="Normal 5 2 2 2 3 8" xfId="4788" xr:uid="{00000000-0005-0000-0000-00006F170000}"/>
    <cellStyle name="Normal 5 2 2 2 3 8 2" xfId="13230" xr:uid="{C5D54318-FDA2-4E7D-8FC0-D4058E211E43}"/>
    <cellStyle name="Normal 5 2 2 2 3 8 3" xfId="21670" xr:uid="{5F8A55DC-EEBE-474A-976D-64F45D1AD1FF}"/>
    <cellStyle name="Normal 5 2 2 2 3 9" xfId="9012" xr:uid="{E16B073E-3171-4FE0-BFEB-3EF98736A76C}"/>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15790" xr:uid="{08328C14-9E60-49E8-9452-9C9437126641}"/>
    <cellStyle name="Normal 5 2 2 2 4 2 2 2 3" xfId="24230" xr:uid="{08F6DC50-1970-4603-B493-97B907BDDE51}"/>
    <cellStyle name="Normal 5 2 2 2 4 2 2 3" xfId="11572" xr:uid="{C4869CCC-59D4-4B33-A768-11750D550311}"/>
    <cellStyle name="Normal 5 2 2 2 4 2 2 4" xfId="20013" xr:uid="{3A9CB3CE-89F2-4260-826E-17CCBBAC1EF1}"/>
    <cellStyle name="Normal 5 2 2 2 4 2 3" xfId="5203" xr:uid="{00000000-0005-0000-0000-000074170000}"/>
    <cellStyle name="Normal 5 2 2 2 4 2 3 2" xfId="13645" xr:uid="{24FBF656-568B-4D1A-A537-810BFAD25AE9}"/>
    <cellStyle name="Normal 5 2 2 2 4 2 3 3" xfId="22085" xr:uid="{CEBD7E4A-25AB-4318-85C7-D2CAEAF6C69D}"/>
    <cellStyle name="Normal 5 2 2 2 4 2 4" xfId="9427" xr:uid="{0626D796-E2D4-4C03-A307-4D2F52740A76}"/>
    <cellStyle name="Normal 5 2 2 2 4 2 5" xfId="17868" xr:uid="{901D6BB1-8465-4BC8-84C0-0543040A5B32}"/>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16203" xr:uid="{50514DF5-096F-4F5A-A002-B81B06A584B1}"/>
    <cellStyle name="Normal 5 2 2 2 4 3 2 2 3" xfId="24643" xr:uid="{07ECE750-3474-4000-BD66-09935DEB776D}"/>
    <cellStyle name="Normal 5 2 2 2 4 3 2 3" xfId="11985" xr:uid="{3799C496-B821-47F5-88E0-97F3A74FBC3C}"/>
    <cellStyle name="Normal 5 2 2 2 4 3 2 4" xfId="20426" xr:uid="{C2127EBE-D5B9-4657-905D-3E2FD7F1D8AA}"/>
    <cellStyle name="Normal 5 2 2 2 4 3 3" xfId="5616" xr:uid="{00000000-0005-0000-0000-000078170000}"/>
    <cellStyle name="Normal 5 2 2 2 4 3 3 2" xfId="14058" xr:uid="{0C69D1A0-63E1-4274-A409-6F58F4E33961}"/>
    <cellStyle name="Normal 5 2 2 2 4 3 3 3" xfId="22498" xr:uid="{29616E57-BFD2-4067-A92F-5D84F9D8E653}"/>
    <cellStyle name="Normal 5 2 2 2 4 3 4" xfId="9840" xr:uid="{8BDEBA51-2F39-446F-8B2A-844F2624DA07}"/>
    <cellStyle name="Normal 5 2 2 2 4 3 5" xfId="18281" xr:uid="{0CB5BF57-DF21-4E71-B3F2-53742AB687A4}"/>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16616" xr:uid="{50691EC4-8ED9-4955-83CC-66392844FDAD}"/>
    <cellStyle name="Normal 5 2 2 2 4 4 2 2 3" xfId="25056" xr:uid="{202ADC41-E6BA-470D-B5E2-269790286E42}"/>
    <cellStyle name="Normal 5 2 2 2 4 4 2 3" xfId="12398" xr:uid="{D5EC21A6-46BA-45C1-802C-B3B424184826}"/>
    <cellStyle name="Normal 5 2 2 2 4 4 2 4" xfId="20839" xr:uid="{92C1ECBB-1D08-4C58-83EA-C441609EC75F}"/>
    <cellStyle name="Normal 5 2 2 2 4 4 3" xfId="6029" xr:uid="{00000000-0005-0000-0000-00007C170000}"/>
    <cellStyle name="Normal 5 2 2 2 4 4 3 2" xfId="14471" xr:uid="{51051CCB-D057-4D94-8B24-70B9196E20D2}"/>
    <cellStyle name="Normal 5 2 2 2 4 4 3 3" xfId="22911" xr:uid="{86009B9F-EDF7-4937-926C-DFB0DE8249D0}"/>
    <cellStyle name="Normal 5 2 2 2 4 4 4" xfId="10253" xr:uid="{C9E2C39D-CE88-41E9-9381-E57D9B62A259}"/>
    <cellStyle name="Normal 5 2 2 2 4 4 5" xfId="18694" xr:uid="{111912C5-F9CA-4B1C-80A9-853FCAA981F3}"/>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17029" xr:uid="{09C9FFBA-AD13-42F6-8313-76840F957751}"/>
    <cellStyle name="Normal 5 2 2 2 4 5 2 2 3" xfId="25469" xr:uid="{97903CE2-7AB2-453F-AABE-9023E0F1CD61}"/>
    <cellStyle name="Normal 5 2 2 2 4 5 2 3" xfId="12811" xr:uid="{48D96EE1-B91D-4C9E-89D9-7F9563C586B2}"/>
    <cellStyle name="Normal 5 2 2 2 4 5 2 4" xfId="21252" xr:uid="{415509A8-A258-48BA-8773-F9389AB2F868}"/>
    <cellStyle name="Normal 5 2 2 2 4 5 3" xfId="6442" xr:uid="{00000000-0005-0000-0000-000080170000}"/>
    <cellStyle name="Normal 5 2 2 2 4 5 3 2" xfId="14884" xr:uid="{5C5FA1A9-ECA8-4ABC-B926-B539B1E76CA7}"/>
    <cellStyle name="Normal 5 2 2 2 4 5 3 3" xfId="23324" xr:uid="{9717C382-FA5B-4C26-8430-A0B91EC09B87}"/>
    <cellStyle name="Normal 5 2 2 2 4 5 4" xfId="10666" xr:uid="{FA868278-68A5-454C-BDD7-D00F56A46AE6}"/>
    <cellStyle name="Normal 5 2 2 2 4 5 5" xfId="19107" xr:uid="{6951B89B-54A5-4495-8126-05B8C4DA23F2}"/>
    <cellStyle name="Normal 5 2 2 2 4 6" xfId="2571" xr:uid="{00000000-0005-0000-0000-000081170000}"/>
    <cellStyle name="Normal 5 2 2 2 4 6 2" xfId="6855" xr:uid="{00000000-0005-0000-0000-000082170000}"/>
    <cellStyle name="Normal 5 2 2 2 4 6 2 2" xfId="15297" xr:uid="{6987DF65-F77F-415A-979B-F951D844E4EC}"/>
    <cellStyle name="Normal 5 2 2 2 4 6 2 3" xfId="23737" xr:uid="{A432D087-6EBF-4F83-BF20-C5ABE2DCABB5}"/>
    <cellStyle name="Normal 5 2 2 2 4 6 3" xfId="11079" xr:uid="{1C625A33-5C7A-41B9-92CD-2EFA712B37EF}"/>
    <cellStyle name="Normal 5 2 2 2 4 6 4" xfId="19520" xr:uid="{BC8C3EBE-C477-40AE-B6CF-0C0A4CD54559}"/>
    <cellStyle name="Normal 5 2 2 2 4 7" xfId="4790" xr:uid="{00000000-0005-0000-0000-000083170000}"/>
    <cellStyle name="Normal 5 2 2 2 4 7 2" xfId="13232" xr:uid="{13890BDD-599C-4BFF-8312-22597636002B}"/>
    <cellStyle name="Normal 5 2 2 2 4 7 3" xfId="21672" xr:uid="{3A25E992-AF19-4FF5-BAAD-70409A1CD8C5}"/>
    <cellStyle name="Normal 5 2 2 2 4 8" xfId="9014" xr:uid="{DA2119E0-FFB4-45B2-B26B-5DA28F2A02FC}"/>
    <cellStyle name="Normal 5 2 2 2 4 9" xfId="17455" xr:uid="{388EA979-B532-4095-9045-566A514FDA89}"/>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15783" xr:uid="{A062F814-B475-407E-A78B-7F3168E36918}"/>
    <cellStyle name="Normal 5 2 2 2 5 2 2 3" xfId="24223" xr:uid="{2B150F10-CDB2-4B3E-8BBF-1A570DB46A15}"/>
    <cellStyle name="Normal 5 2 2 2 5 2 3" xfId="11565" xr:uid="{B2355C3D-A925-4AE0-BFF0-13C420CA9B87}"/>
    <cellStyle name="Normal 5 2 2 2 5 2 4" xfId="20006" xr:uid="{944C63B3-29B9-4120-AF62-1A1A364903EB}"/>
    <cellStyle name="Normal 5 2 2 2 5 3" xfId="5196" xr:uid="{00000000-0005-0000-0000-000087170000}"/>
    <cellStyle name="Normal 5 2 2 2 5 3 2" xfId="13638" xr:uid="{ADDC8052-B9A5-484E-B122-C00CFA8D30E6}"/>
    <cellStyle name="Normal 5 2 2 2 5 3 3" xfId="22078" xr:uid="{0BD9EF78-3CF7-4695-A0BD-7F405D689AA6}"/>
    <cellStyle name="Normal 5 2 2 2 5 4" xfId="9420" xr:uid="{7B562BD2-6F86-4A5A-9F77-89C1CEC3B83B}"/>
    <cellStyle name="Normal 5 2 2 2 5 5" xfId="17861" xr:uid="{91BFBB9F-F066-41FF-A02F-69EE1E263B08}"/>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16196" xr:uid="{C8E31FCA-3A6D-4216-8B46-356CE6212A3B}"/>
    <cellStyle name="Normal 5 2 2 2 6 2 2 3" xfId="24636" xr:uid="{1905D6CB-2945-40F6-96DB-A87898C2240F}"/>
    <cellStyle name="Normal 5 2 2 2 6 2 3" xfId="11978" xr:uid="{E01CE275-D1B7-4773-9FA5-AC575B7A24D1}"/>
    <cellStyle name="Normal 5 2 2 2 6 2 4" xfId="20419" xr:uid="{07E0FAAF-AE3E-4A7E-8910-4C12683074EF}"/>
    <cellStyle name="Normal 5 2 2 2 6 3" xfId="5609" xr:uid="{00000000-0005-0000-0000-00008B170000}"/>
    <cellStyle name="Normal 5 2 2 2 6 3 2" xfId="14051" xr:uid="{AEB53317-2C1F-4C08-AEEE-6CF9FA10461E}"/>
    <cellStyle name="Normal 5 2 2 2 6 3 3" xfId="22491" xr:uid="{819FA152-7B55-42E0-9DA6-2531050AD4D8}"/>
    <cellStyle name="Normal 5 2 2 2 6 4" xfId="9833" xr:uid="{52DDD2EC-9443-4BFD-B5AC-1F54410C5352}"/>
    <cellStyle name="Normal 5 2 2 2 6 5" xfId="18274" xr:uid="{F4462E02-C267-47C9-9843-2FC7E2B906A0}"/>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16609" xr:uid="{62879F4B-3D13-49DF-8723-2D4A64C74F32}"/>
    <cellStyle name="Normal 5 2 2 2 7 2 2 3" xfId="25049" xr:uid="{3E132A82-5702-4445-B0EE-1459D5C8A5F5}"/>
    <cellStyle name="Normal 5 2 2 2 7 2 3" xfId="12391" xr:uid="{7878F403-75B2-458B-9544-28C4F7131E68}"/>
    <cellStyle name="Normal 5 2 2 2 7 2 4" xfId="20832" xr:uid="{3551ED63-1F81-42B0-8B90-DCD3CCCB7EE5}"/>
    <cellStyle name="Normal 5 2 2 2 7 3" xfId="6022" xr:uid="{00000000-0005-0000-0000-00008F170000}"/>
    <cellStyle name="Normal 5 2 2 2 7 3 2" xfId="14464" xr:uid="{0F1DD2EC-2FB5-474E-9FFE-45A01B4FAA3E}"/>
    <cellStyle name="Normal 5 2 2 2 7 3 3" xfId="22904" xr:uid="{E1BEF775-C7F5-4A11-8460-EBD6493B5DCC}"/>
    <cellStyle name="Normal 5 2 2 2 7 4" xfId="10246" xr:uid="{1270BF8C-3353-4CFE-9CE5-B4D73BBF3066}"/>
    <cellStyle name="Normal 5 2 2 2 7 5" xfId="18687" xr:uid="{534EBF94-CE19-4126-8CF1-AA14202A6A8D}"/>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17022" xr:uid="{0F244375-4B46-453D-9E1C-9ED37DB13D3C}"/>
    <cellStyle name="Normal 5 2 2 2 8 2 2 3" xfId="25462" xr:uid="{070C2D23-BBF2-4D32-8C35-C00E4C2F2129}"/>
    <cellStyle name="Normal 5 2 2 2 8 2 3" xfId="12804" xr:uid="{C0D8F407-6C75-4893-8831-8FC03D68907E}"/>
    <cellStyle name="Normal 5 2 2 2 8 2 4" xfId="21245" xr:uid="{2B87C47D-3C85-4C0D-9090-3BD26C3DF34E}"/>
    <cellStyle name="Normal 5 2 2 2 8 3" xfId="6435" xr:uid="{00000000-0005-0000-0000-000093170000}"/>
    <cellStyle name="Normal 5 2 2 2 8 3 2" xfId="14877" xr:uid="{775F8D27-D3BB-4286-99D0-43C1413CA77A}"/>
    <cellStyle name="Normal 5 2 2 2 8 3 3" xfId="23317" xr:uid="{21213BC2-8E52-4B2D-A880-A96462F421D7}"/>
    <cellStyle name="Normal 5 2 2 2 8 4" xfId="10659" xr:uid="{7BF3BF31-ACD7-4060-9DE8-E3223E9EDCB3}"/>
    <cellStyle name="Normal 5 2 2 2 8 5" xfId="19100" xr:uid="{A56CF9CC-EFF0-42A1-9EC8-F04B08A407AE}"/>
    <cellStyle name="Normal 5 2 2 2 9" xfId="2564" xr:uid="{00000000-0005-0000-0000-000094170000}"/>
    <cellStyle name="Normal 5 2 2 2 9 2" xfId="6848" xr:uid="{00000000-0005-0000-0000-000095170000}"/>
    <cellStyle name="Normal 5 2 2 2 9 2 2" xfId="15290" xr:uid="{F0DAC88C-409F-4748-B165-610788CBE76B}"/>
    <cellStyle name="Normal 5 2 2 2 9 2 3" xfId="23730" xr:uid="{1ED07C10-7D48-4CE8-9E6E-3D06201A0EDB}"/>
    <cellStyle name="Normal 5 2 2 2 9 3" xfId="11072" xr:uid="{767B4286-F0F1-460E-BE4C-A0DE8262E11E}"/>
    <cellStyle name="Normal 5 2 2 2 9 4" xfId="19513" xr:uid="{6B9EE2EC-B503-412F-822D-D432B0F8B5C2}"/>
    <cellStyle name="Normal 5 2 2 3" xfId="417" xr:uid="{00000000-0005-0000-0000-000096170000}"/>
    <cellStyle name="Normal 5 2 2 3 10" xfId="9015" xr:uid="{E36B5269-4CDD-40C4-8CF1-B74AF2630641}"/>
    <cellStyle name="Normal 5 2 2 3 11" xfId="17456" xr:uid="{8B084F49-B3AA-4495-8C12-A770C6BE1706}"/>
    <cellStyle name="Normal 5 2 2 3 2" xfId="418" xr:uid="{00000000-0005-0000-0000-000097170000}"/>
    <cellStyle name="Normal 5 2 2 3 2 10" xfId="17457" xr:uid="{88BD8C21-EC06-48C9-86F0-85BC4C017A9B}"/>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15793" xr:uid="{F9A721DA-E3E9-4C09-984E-AE58DF0F3B42}"/>
    <cellStyle name="Normal 5 2 2 3 2 2 2 2 2 3" xfId="24233" xr:uid="{E1B31BE5-6BD0-4C33-A28A-F778F34ABEA3}"/>
    <cellStyle name="Normal 5 2 2 3 2 2 2 2 3" xfId="11575" xr:uid="{5AE27971-DD1A-4AA8-86AC-E0C6EEB4E9F3}"/>
    <cellStyle name="Normal 5 2 2 3 2 2 2 2 4" xfId="20016" xr:uid="{19487833-7FD8-4017-AB61-34B47DBF124C}"/>
    <cellStyle name="Normal 5 2 2 3 2 2 2 3" xfId="5206" xr:uid="{00000000-0005-0000-0000-00009C170000}"/>
    <cellStyle name="Normal 5 2 2 3 2 2 2 3 2" xfId="13648" xr:uid="{177EE603-619E-49EC-B3A6-E643944B6856}"/>
    <cellStyle name="Normal 5 2 2 3 2 2 2 3 3" xfId="22088" xr:uid="{85FE1CD8-06F0-429D-A427-894FEF0A640D}"/>
    <cellStyle name="Normal 5 2 2 3 2 2 2 4" xfId="9430" xr:uid="{57B3B3CA-C58F-4D23-88C5-EFA2A575A0DF}"/>
    <cellStyle name="Normal 5 2 2 3 2 2 2 5" xfId="17871" xr:uid="{57BD820B-FBC6-4248-9DDE-1F1C61CFEF8D}"/>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16206" xr:uid="{BA521472-986B-4809-AF5A-BE2E0A23D39D}"/>
    <cellStyle name="Normal 5 2 2 3 2 2 3 2 2 3" xfId="24646" xr:uid="{C1DF604B-A74E-4C39-829A-D22C6A72B304}"/>
    <cellStyle name="Normal 5 2 2 3 2 2 3 2 3" xfId="11988" xr:uid="{C6F45A35-C66D-4C84-AFB1-DF4FBFA86480}"/>
    <cellStyle name="Normal 5 2 2 3 2 2 3 2 4" xfId="20429" xr:uid="{AD3367B4-063B-4444-B642-92B397AD183C}"/>
    <cellStyle name="Normal 5 2 2 3 2 2 3 3" xfId="5619" xr:uid="{00000000-0005-0000-0000-0000A0170000}"/>
    <cellStyle name="Normal 5 2 2 3 2 2 3 3 2" xfId="14061" xr:uid="{3CA21177-C4C6-4F49-A62E-8875D456FF4A}"/>
    <cellStyle name="Normal 5 2 2 3 2 2 3 3 3" xfId="22501" xr:uid="{484D0A7C-6166-48C9-99E7-BE3F364A3885}"/>
    <cellStyle name="Normal 5 2 2 3 2 2 3 4" xfId="9843" xr:uid="{295A8207-D029-4E6F-8461-0CE8282AA7C3}"/>
    <cellStyle name="Normal 5 2 2 3 2 2 3 5" xfId="18284" xr:uid="{B9F76CD4-91AB-4BD4-8A80-BACAA103ADFC}"/>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16619" xr:uid="{4FB52FA0-E85E-4358-BF5B-A349185D21F1}"/>
    <cellStyle name="Normal 5 2 2 3 2 2 4 2 2 3" xfId="25059" xr:uid="{DAFC9184-91FF-4839-936A-FBDE6B933510}"/>
    <cellStyle name="Normal 5 2 2 3 2 2 4 2 3" xfId="12401" xr:uid="{20ADEAFC-2C1E-4F56-8104-9329DDA9758D}"/>
    <cellStyle name="Normal 5 2 2 3 2 2 4 2 4" xfId="20842" xr:uid="{649BEDB8-CC32-4367-8018-6D979B886DF0}"/>
    <cellStyle name="Normal 5 2 2 3 2 2 4 3" xfId="6032" xr:uid="{00000000-0005-0000-0000-0000A4170000}"/>
    <cellStyle name="Normal 5 2 2 3 2 2 4 3 2" xfId="14474" xr:uid="{D1FCE5C9-A8B7-4251-B977-D5350A0DBD87}"/>
    <cellStyle name="Normal 5 2 2 3 2 2 4 3 3" xfId="22914" xr:uid="{EEDE5603-D258-463B-B286-5934F0858EAF}"/>
    <cellStyle name="Normal 5 2 2 3 2 2 4 4" xfId="10256" xr:uid="{8A386749-7D29-4C52-BCF7-D6553D83DD90}"/>
    <cellStyle name="Normal 5 2 2 3 2 2 4 5" xfId="18697" xr:uid="{52CFCE9A-D0BA-4855-BA39-0C0BA93C0ADA}"/>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17032" xr:uid="{EC6721CA-D3F6-4765-8EE0-4E668F6FEBB4}"/>
    <cellStyle name="Normal 5 2 2 3 2 2 5 2 2 3" xfId="25472" xr:uid="{84606C3D-4B67-4722-83D2-5A515FA11787}"/>
    <cellStyle name="Normal 5 2 2 3 2 2 5 2 3" xfId="12814" xr:uid="{387FCA48-A0D5-4725-A843-EFFCAE6AB7A5}"/>
    <cellStyle name="Normal 5 2 2 3 2 2 5 2 4" xfId="21255" xr:uid="{C0712D02-94DB-4E15-BA44-F50465A30640}"/>
    <cellStyle name="Normal 5 2 2 3 2 2 5 3" xfId="6445" xr:uid="{00000000-0005-0000-0000-0000A8170000}"/>
    <cellStyle name="Normal 5 2 2 3 2 2 5 3 2" xfId="14887" xr:uid="{A34003B0-8B30-44A4-9A2C-108C726CC07D}"/>
    <cellStyle name="Normal 5 2 2 3 2 2 5 3 3" xfId="23327" xr:uid="{13089FAB-D546-43FC-8A78-6641D05D7739}"/>
    <cellStyle name="Normal 5 2 2 3 2 2 5 4" xfId="10669" xr:uid="{52ABC266-9A7D-4AB1-A491-54308C8590C4}"/>
    <cellStyle name="Normal 5 2 2 3 2 2 5 5" xfId="19110" xr:uid="{4AFB6143-D598-4C25-9FAD-2C7D72A203AD}"/>
    <cellStyle name="Normal 5 2 2 3 2 2 6" xfId="2574" xr:uid="{00000000-0005-0000-0000-0000A9170000}"/>
    <cellStyle name="Normal 5 2 2 3 2 2 6 2" xfId="6858" xr:uid="{00000000-0005-0000-0000-0000AA170000}"/>
    <cellStyle name="Normal 5 2 2 3 2 2 6 2 2" xfId="15300" xr:uid="{E3AAA82B-5421-4E31-86B5-0F840E2686BE}"/>
    <cellStyle name="Normal 5 2 2 3 2 2 6 2 3" xfId="23740" xr:uid="{809CE5B4-7F3E-4E84-BD86-7B0E642D01FE}"/>
    <cellStyle name="Normal 5 2 2 3 2 2 6 3" xfId="11082" xr:uid="{5B98DAAA-F3BF-450A-A267-53A2B1C0CFBD}"/>
    <cellStyle name="Normal 5 2 2 3 2 2 6 4" xfId="19523" xr:uid="{EC24F708-BC3D-42CC-B1B5-E079ED4466E9}"/>
    <cellStyle name="Normal 5 2 2 3 2 2 7" xfId="4793" xr:uid="{00000000-0005-0000-0000-0000AB170000}"/>
    <cellStyle name="Normal 5 2 2 3 2 2 7 2" xfId="13235" xr:uid="{AD8B5C62-00F7-4E28-B53A-A21B7F48BF38}"/>
    <cellStyle name="Normal 5 2 2 3 2 2 7 3" xfId="21675" xr:uid="{15003947-0520-47E6-87FA-1DCBD7EF99D2}"/>
    <cellStyle name="Normal 5 2 2 3 2 2 8" xfId="9017" xr:uid="{9A08C80D-2110-4F2F-A974-A3B0303692F0}"/>
    <cellStyle name="Normal 5 2 2 3 2 2 9" xfId="17458" xr:uid="{A19A9B57-EC38-4A0E-8FA3-0D88C4B1BA1F}"/>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15792" xr:uid="{87ECEEB2-165A-456E-A15D-BE408108D235}"/>
    <cellStyle name="Normal 5 2 2 3 2 3 2 2 3" xfId="24232" xr:uid="{656EDF2F-910E-4F9B-ABC5-8948382CD933}"/>
    <cellStyle name="Normal 5 2 2 3 2 3 2 3" xfId="11574" xr:uid="{B1CDFAB2-F5DD-4F25-A96B-F208EEF96AF0}"/>
    <cellStyle name="Normal 5 2 2 3 2 3 2 4" xfId="20015" xr:uid="{155165D1-49F9-4872-83EB-C15835F335BD}"/>
    <cellStyle name="Normal 5 2 2 3 2 3 3" xfId="5205" xr:uid="{00000000-0005-0000-0000-0000AF170000}"/>
    <cellStyle name="Normal 5 2 2 3 2 3 3 2" xfId="13647" xr:uid="{DB435FB7-3A32-481E-94DB-D8E0F9F3FB3A}"/>
    <cellStyle name="Normal 5 2 2 3 2 3 3 3" xfId="22087" xr:uid="{97EF1F93-95D5-40A4-9E31-97DACE539FC5}"/>
    <cellStyle name="Normal 5 2 2 3 2 3 4" xfId="9429" xr:uid="{232828F7-5226-446F-A8C1-F95FDB3772CC}"/>
    <cellStyle name="Normal 5 2 2 3 2 3 5" xfId="17870" xr:uid="{E2C0D74C-223C-4007-8227-977FDCD17DA1}"/>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16205" xr:uid="{85CFE30F-9CF6-4782-ACE9-24674DDE6502}"/>
    <cellStyle name="Normal 5 2 2 3 2 4 2 2 3" xfId="24645" xr:uid="{DBF12AB0-102F-49C6-8660-7028835BAD88}"/>
    <cellStyle name="Normal 5 2 2 3 2 4 2 3" xfId="11987" xr:uid="{DD2D245A-CB16-411C-9ABF-2B4EB36D9666}"/>
    <cellStyle name="Normal 5 2 2 3 2 4 2 4" xfId="20428" xr:uid="{C4DE879E-073B-4502-BC23-325024B1FA53}"/>
    <cellStyle name="Normal 5 2 2 3 2 4 3" xfId="5618" xr:uid="{00000000-0005-0000-0000-0000B3170000}"/>
    <cellStyle name="Normal 5 2 2 3 2 4 3 2" xfId="14060" xr:uid="{DC6C3949-66C6-4548-86FC-CE41D0860681}"/>
    <cellStyle name="Normal 5 2 2 3 2 4 3 3" xfId="22500" xr:uid="{5F8EE40F-5AE1-4C6C-81C9-4CC99FE469E6}"/>
    <cellStyle name="Normal 5 2 2 3 2 4 4" xfId="9842" xr:uid="{E3631A24-357E-4335-BDF0-DB26E140D37F}"/>
    <cellStyle name="Normal 5 2 2 3 2 4 5" xfId="18283" xr:uid="{D2DCCB8D-7879-44E0-95C2-39392194970C}"/>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16618" xr:uid="{46CC06C9-4289-44A8-9A6F-B053A990B063}"/>
    <cellStyle name="Normal 5 2 2 3 2 5 2 2 3" xfId="25058" xr:uid="{83FCB883-CC52-4B8F-B3DB-1BCB7AA4ED19}"/>
    <cellStyle name="Normal 5 2 2 3 2 5 2 3" xfId="12400" xr:uid="{57C7D476-45E4-4DA6-A4F6-9962DB0B86DB}"/>
    <cellStyle name="Normal 5 2 2 3 2 5 2 4" xfId="20841" xr:uid="{3E8EE32A-F434-48B2-A4F4-27119B759B97}"/>
    <cellStyle name="Normal 5 2 2 3 2 5 3" xfId="6031" xr:uid="{00000000-0005-0000-0000-0000B7170000}"/>
    <cellStyle name="Normal 5 2 2 3 2 5 3 2" xfId="14473" xr:uid="{42C5CF8B-35A7-4D10-9555-B746C9E27697}"/>
    <cellStyle name="Normal 5 2 2 3 2 5 3 3" xfId="22913" xr:uid="{C3C23B1C-5135-4638-94EA-C058D94C5465}"/>
    <cellStyle name="Normal 5 2 2 3 2 5 4" xfId="10255" xr:uid="{EDD3151C-DA54-4211-B27A-6F2AC6B8A246}"/>
    <cellStyle name="Normal 5 2 2 3 2 5 5" xfId="18696" xr:uid="{63BE3810-393E-4AFC-A433-4A712C4F3379}"/>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17031" xr:uid="{DE22BE4E-0E25-4CCA-A212-B3964B991AAB}"/>
    <cellStyle name="Normal 5 2 2 3 2 6 2 2 3" xfId="25471" xr:uid="{4965AA68-1C8F-450C-B92E-DE23E15A95F6}"/>
    <cellStyle name="Normal 5 2 2 3 2 6 2 3" xfId="12813" xr:uid="{00EB2D85-5E56-491D-85E4-32FE6CBD8976}"/>
    <cellStyle name="Normal 5 2 2 3 2 6 2 4" xfId="21254" xr:uid="{AC951E05-006A-4A7A-A769-BC0AD2C037EB}"/>
    <cellStyle name="Normal 5 2 2 3 2 6 3" xfId="6444" xr:uid="{00000000-0005-0000-0000-0000BB170000}"/>
    <cellStyle name="Normal 5 2 2 3 2 6 3 2" xfId="14886" xr:uid="{A72DCEC5-A579-4A06-94CE-AE9E8E7893D8}"/>
    <cellStyle name="Normal 5 2 2 3 2 6 3 3" xfId="23326" xr:uid="{8031420A-E7B3-40C0-A242-06B8F694CCB7}"/>
    <cellStyle name="Normal 5 2 2 3 2 6 4" xfId="10668" xr:uid="{C52B878C-A98B-4F91-846B-6738766F4673}"/>
    <cellStyle name="Normal 5 2 2 3 2 6 5" xfId="19109" xr:uid="{60986F73-5DFB-4C64-BA35-37CB208849A7}"/>
    <cellStyle name="Normal 5 2 2 3 2 7" xfId="2573" xr:uid="{00000000-0005-0000-0000-0000BC170000}"/>
    <cellStyle name="Normal 5 2 2 3 2 7 2" xfId="6857" xr:uid="{00000000-0005-0000-0000-0000BD170000}"/>
    <cellStyle name="Normal 5 2 2 3 2 7 2 2" xfId="15299" xr:uid="{90455A8A-9122-43DF-BFA4-0E6381E62017}"/>
    <cellStyle name="Normal 5 2 2 3 2 7 2 3" xfId="23739" xr:uid="{DBF2D6C9-0C15-4A3E-B9D2-2265D40D46BF}"/>
    <cellStyle name="Normal 5 2 2 3 2 7 3" xfId="11081" xr:uid="{72C96391-272D-4815-9141-AE4410F58EB8}"/>
    <cellStyle name="Normal 5 2 2 3 2 7 4" xfId="19522" xr:uid="{7BAEDF38-9D48-47ED-A5BA-DFCD525B8168}"/>
    <cellStyle name="Normal 5 2 2 3 2 8" xfId="4792" xr:uid="{00000000-0005-0000-0000-0000BE170000}"/>
    <cellStyle name="Normal 5 2 2 3 2 8 2" xfId="13234" xr:uid="{0852312E-A929-4E11-805F-F823463042D0}"/>
    <cellStyle name="Normal 5 2 2 3 2 8 3" xfId="21674" xr:uid="{CDE5BC81-F81F-40CA-9D7A-A1C969F923EF}"/>
    <cellStyle name="Normal 5 2 2 3 2 9" xfId="9016" xr:uid="{2A068141-2E9E-4473-9195-BDF6487D6BB7}"/>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15794" xr:uid="{EEA9E3AE-CB70-479C-80A9-B5E0C43219D8}"/>
    <cellStyle name="Normal 5 2 2 3 3 2 2 2 3" xfId="24234" xr:uid="{9D423101-5302-4E59-8EEC-486B1EA21895}"/>
    <cellStyle name="Normal 5 2 2 3 3 2 2 3" xfId="11576" xr:uid="{1064DFB0-7059-4734-BD41-670D1B58E2D2}"/>
    <cellStyle name="Normal 5 2 2 3 3 2 2 4" xfId="20017" xr:uid="{8D12F4B8-CE8E-4E58-9071-431FC7F3AD93}"/>
    <cellStyle name="Normal 5 2 2 3 3 2 3" xfId="5207" xr:uid="{00000000-0005-0000-0000-0000C3170000}"/>
    <cellStyle name="Normal 5 2 2 3 3 2 3 2" xfId="13649" xr:uid="{5E878929-2188-40FB-814B-D72E2705643A}"/>
    <cellStyle name="Normal 5 2 2 3 3 2 3 3" xfId="22089" xr:uid="{8BB95C73-1AD3-45B9-B6B2-D0B8B68B4FAC}"/>
    <cellStyle name="Normal 5 2 2 3 3 2 4" xfId="9431" xr:uid="{0F21562B-E365-42BD-A5BF-36E31BB87122}"/>
    <cellStyle name="Normal 5 2 2 3 3 2 5" xfId="17872" xr:uid="{EF9DBC86-239D-4CF1-A36E-234082CBCF4D}"/>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16207" xr:uid="{6CAB2698-C840-47F8-B7BD-1DB85B9ED699}"/>
    <cellStyle name="Normal 5 2 2 3 3 3 2 2 3" xfId="24647" xr:uid="{FCA339AF-220E-4771-AC5B-97B41D821BA2}"/>
    <cellStyle name="Normal 5 2 2 3 3 3 2 3" xfId="11989" xr:uid="{B9B1FC38-E038-475E-8F0C-A966C51F16C5}"/>
    <cellStyle name="Normal 5 2 2 3 3 3 2 4" xfId="20430" xr:uid="{61A71BC6-B949-4350-AD00-F6237E0C47B9}"/>
    <cellStyle name="Normal 5 2 2 3 3 3 3" xfId="5620" xr:uid="{00000000-0005-0000-0000-0000C7170000}"/>
    <cellStyle name="Normal 5 2 2 3 3 3 3 2" xfId="14062" xr:uid="{F714E0F6-AC73-416E-BE01-D69D2BC34078}"/>
    <cellStyle name="Normal 5 2 2 3 3 3 3 3" xfId="22502" xr:uid="{1B2085D1-7337-465B-BF8E-5E9E71DF0D61}"/>
    <cellStyle name="Normal 5 2 2 3 3 3 4" xfId="9844" xr:uid="{B7F1C1B1-1E85-4365-851E-9F20E1F26720}"/>
    <cellStyle name="Normal 5 2 2 3 3 3 5" xfId="18285" xr:uid="{71D57C31-4C3C-4745-9810-E14D629B6E07}"/>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16620" xr:uid="{09174E98-289C-493E-A72A-16348D9D1223}"/>
    <cellStyle name="Normal 5 2 2 3 3 4 2 2 3" xfId="25060" xr:uid="{24C10E0C-35F4-490B-BA37-0BDAE0E3BE0D}"/>
    <cellStyle name="Normal 5 2 2 3 3 4 2 3" xfId="12402" xr:uid="{779A7EAD-7A43-47E7-A8C7-900256ED4551}"/>
    <cellStyle name="Normal 5 2 2 3 3 4 2 4" xfId="20843" xr:uid="{3DA7AACE-691D-4A8B-85D5-8FEE8EFA45E1}"/>
    <cellStyle name="Normal 5 2 2 3 3 4 3" xfId="6033" xr:uid="{00000000-0005-0000-0000-0000CB170000}"/>
    <cellStyle name="Normal 5 2 2 3 3 4 3 2" xfId="14475" xr:uid="{77B60195-82C4-445A-A14D-8C2CFDC8ECB1}"/>
    <cellStyle name="Normal 5 2 2 3 3 4 3 3" xfId="22915" xr:uid="{2D7E8C33-B36B-4357-8D33-9F9902870EC0}"/>
    <cellStyle name="Normal 5 2 2 3 3 4 4" xfId="10257" xr:uid="{90CFD5CD-C3B8-4624-8D7D-56BE17BE0792}"/>
    <cellStyle name="Normal 5 2 2 3 3 4 5" xfId="18698" xr:uid="{0D7BFAEA-7F55-409A-9A0D-F670051DCFA1}"/>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17033" xr:uid="{63FDC7EB-92BB-430D-A708-6C9BBF77BE1A}"/>
    <cellStyle name="Normal 5 2 2 3 3 5 2 2 3" xfId="25473" xr:uid="{6864D5C6-D27E-4F76-A8EE-34A954DF81EE}"/>
    <cellStyle name="Normal 5 2 2 3 3 5 2 3" xfId="12815" xr:uid="{F29FC091-AABE-49E2-937E-2FB18384AA67}"/>
    <cellStyle name="Normal 5 2 2 3 3 5 2 4" xfId="21256" xr:uid="{D1F766C7-7C11-4A68-831A-811C887AAE4C}"/>
    <cellStyle name="Normal 5 2 2 3 3 5 3" xfId="6446" xr:uid="{00000000-0005-0000-0000-0000CF170000}"/>
    <cellStyle name="Normal 5 2 2 3 3 5 3 2" xfId="14888" xr:uid="{1AACD482-DBEF-49A0-99B8-1D18BCBFBDDB}"/>
    <cellStyle name="Normal 5 2 2 3 3 5 3 3" xfId="23328" xr:uid="{84B85F43-3317-4C06-907F-8F392FC8001F}"/>
    <cellStyle name="Normal 5 2 2 3 3 5 4" xfId="10670" xr:uid="{38E7B133-ACA5-4307-9EFF-2365AC9A9A2F}"/>
    <cellStyle name="Normal 5 2 2 3 3 5 5" xfId="19111" xr:uid="{E0E65A80-1863-483F-904C-12E133FF5E3B}"/>
    <cellStyle name="Normal 5 2 2 3 3 6" xfId="2575" xr:uid="{00000000-0005-0000-0000-0000D0170000}"/>
    <cellStyle name="Normal 5 2 2 3 3 6 2" xfId="6859" xr:uid="{00000000-0005-0000-0000-0000D1170000}"/>
    <cellStyle name="Normal 5 2 2 3 3 6 2 2" xfId="15301" xr:uid="{4FC32C0B-4A23-416C-9881-E22C55727277}"/>
    <cellStyle name="Normal 5 2 2 3 3 6 2 3" xfId="23741" xr:uid="{A82C10B3-079E-4939-BD7D-51E710E8F321}"/>
    <cellStyle name="Normal 5 2 2 3 3 6 3" xfId="11083" xr:uid="{04F9D1C8-C71D-4DA9-9EC6-630DA47ED68B}"/>
    <cellStyle name="Normal 5 2 2 3 3 6 4" xfId="19524" xr:uid="{BDD84200-CD19-4ED7-87D2-D233ADD3A984}"/>
    <cellStyle name="Normal 5 2 2 3 3 7" xfId="4794" xr:uid="{00000000-0005-0000-0000-0000D2170000}"/>
    <cellStyle name="Normal 5 2 2 3 3 7 2" xfId="13236" xr:uid="{3FAA3019-9070-4B69-8A42-6645C0A27FE9}"/>
    <cellStyle name="Normal 5 2 2 3 3 7 3" xfId="21676" xr:uid="{8AE02DCD-E2D1-4B81-9E7B-6A9361E06EDA}"/>
    <cellStyle name="Normal 5 2 2 3 3 8" xfId="9018" xr:uid="{B13F6C23-8696-4503-8272-5D1AD9EA5B94}"/>
    <cellStyle name="Normal 5 2 2 3 3 9" xfId="17459" xr:uid="{58E86DDF-FE29-4C36-9BE4-DD600CFEB930}"/>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15791" xr:uid="{7AF32186-4C0A-4423-9189-AEB3CB6CF4C8}"/>
    <cellStyle name="Normal 5 2 2 3 4 2 2 3" xfId="24231" xr:uid="{014163D4-2185-4F67-9546-DCFB7B1031DD}"/>
    <cellStyle name="Normal 5 2 2 3 4 2 3" xfId="11573" xr:uid="{C0769443-E6F4-43B3-9AAB-8418308D0412}"/>
    <cellStyle name="Normal 5 2 2 3 4 2 4" xfId="20014" xr:uid="{D1404C0E-4033-4142-9DB8-DA1C2B23440E}"/>
    <cellStyle name="Normal 5 2 2 3 4 3" xfId="5204" xr:uid="{00000000-0005-0000-0000-0000D6170000}"/>
    <cellStyle name="Normal 5 2 2 3 4 3 2" xfId="13646" xr:uid="{8EA8AFC4-C7B4-4D6B-8749-F407A5A848DC}"/>
    <cellStyle name="Normal 5 2 2 3 4 3 3" xfId="22086" xr:uid="{7D3AD1AB-6F75-4E80-A5EB-397F06BC80E9}"/>
    <cellStyle name="Normal 5 2 2 3 4 4" xfId="9428" xr:uid="{662D0DF6-7F10-4029-A3A0-C09CFF3A449A}"/>
    <cellStyle name="Normal 5 2 2 3 4 5" xfId="17869" xr:uid="{EE98B005-8F14-4B12-A10E-202AADC5C4BB}"/>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16204" xr:uid="{6249A789-C1CD-42E4-9763-FCB92E10E7AD}"/>
    <cellStyle name="Normal 5 2 2 3 5 2 2 3" xfId="24644" xr:uid="{FA8AE52B-549F-45AD-9CF2-FAEC5655CF30}"/>
    <cellStyle name="Normal 5 2 2 3 5 2 3" xfId="11986" xr:uid="{0E70149D-0B10-4A80-BC63-4E07BF198CEA}"/>
    <cellStyle name="Normal 5 2 2 3 5 2 4" xfId="20427" xr:uid="{6FF466BC-665E-4150-9603-C3F9C063169E}"/>
    <cellStyle name="Normal 5 2 2 3 5 3" xfId="5617" xr:uid="{00000000-0005-0000-0000-0000DA170000}"/>
    <cellStyle name="Normal 5 2 2 3 5 3 2" xfId="14059" xr:uid="{6BE0B6A3-6805-45F0-86C4-E624DC893248}"/>
    <cellStyle name="Normal 5 2 2 3 5 3 3" xfId="22499" xr:uid="{9720EB7C-FEBE-4928-9286-C58A6FC9CBEB}"/>
    <cellStyle name="Normal 5 2 2 3 5 4" xfId="9841" xr:uid="{4F58B67A-3592-4B68-A8B4-973CE6AFCB68}"/>
    <cellStyle name="Normal 5 2 2 3 5 5" xfId="18282" xr:uid="{58E66373-45DA-41B2-AC01-98868A6EF6A5}"/>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16617" xr:uid="{4F4643A1-DD49-45C9-82C6-078065B351B5}"/>
    <cellStyle name="Normal 5 2 2 3 6 2 2 3" xfId="25057" xr:uid="{AA3A4D1E-42C6-452A-9BD1-0021BD7B976F}"/>
    <cellStyle name="Normal 5 2 2 3 6 2 3" xfId="12399" xr:uid="{4E0BCB48-521D-4130-AA66-95F60ADC1E57}"/>
    <cellStyle name="Normal 5 2 2 3 6 2 4" xfId="20840" xr:uid="{A075440F-CAE8-4BB0-B886-7E0B684B5309}"/>
    <cellStyle name="Normal 5 2 2 3 6 3" xfId="6030" xr:uid="{00000000-0005-0000-0000-0000DE170000}"/>
    <cellStyle name="Normal 5 2 2 3 6 3 2" xfId="14472" xr:uid="{6B50054E-6485-4F4E-9C08-39958DF55893}"/>
    <cellStyle name="Normal 5 2 2 3 6 3 3" xfId="22912" xr:uid="{A76300CF-4974-47F2-9159-F6C9D12DABAC}"/>
    <cellStyle name="Normal 5 2 2 3 6 4" xfId="10254" xr:uid="{93F47A27-8B0A-4752-B778-B80FD2EC2686}"/>
    <cellStyle name="Normal 5 2 2 3 6 5" xfId="18695" xr:uid="{5896CC01-53CA-47AF-809F-2B430EAB659A}"/>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17030" xr:uid="{EDA5A722-2848-468F-A174-7B931598E175}"/>
    <cellStyle name="Normal 5 2 2 3 7 2 2 3" xfId="25470" xr:uid="{239BCE25-83BB-464B-B45B-8DEDAFD4C845}"/>
    <cellStyle name="Normal 5 2 2 3 7 2 3" xfId="12812" xr:uid="{F207CCEC-842B-4188-9580-16B134930672}"/>
    <cellStyle name="Normal 5 2 2 3 7 2 4" xfId="21253" xr:uid="{C6FB989A-56CA-4F8E-B981-3E707583A8CE}"/>
    <cellStyle name="Normal 5 2 2 3 7 3" xfId="6443" xr:uid="{00000000-0005-0000-0000-0000E2170000}"/>
    <cellStyle name="Normal 5 2 2 3 7 3 2" xfId="14885" xr:uid="{C37C875E-B6AD-4F92-B7C3-4D37E3C35440}"/>
    <cellStyle name="Normal 5 2 2 3 7 3 3" xfId="23325" xr:uid="{7D771425-3A2B-45D4-A164-4C9611DECAE1}"/>
    <cellStyle name="Normal 5 2 2 3 7 4" xfId="10667" xr:uid="{D70D272F-21E0-4EBA-8773-08AC7F8C7DB2}"/>
    <cellStyle name="Normal 5 2 2 3 7 5" xfId="19108" xr:uid="{9149C3CB-3FC7-4540-8944-739C0925939C}"/>
    <cellStyle name="Normal 5 2 2 3 8" xfId="2572" xr:uid="{00000000-0005-0000-0000-0000E3170000}"/>
    <cellStyle name="Normal 5 2 2 3 8 2" xfId="6856" xr:uid="{00000000-0005-0000-0000-0000E4170000}"/>
    <cellStyle name="Normal 5 2 2 3 8 2 2" xfId="15298" xr:uid="{0809AB12-4863-45B8-ACFD-856DD5B0065E}"/>
    <cellStyle name="Normal 5 2 2 3 8 2 3" xfId="23738" xr:uid="{D9407726-0A9F-4375-BF7B-1901C1A591A7}"/>
    <cellStyle name="Normal 5 2 2 3 8 3" xfId="11080" xr:uid="{E7AE0E1C-A896-45A4-8D3D-E312E79B4648}"/>
    <cellStyle name="Normal 5 2 2 3 8 4" xfId="19521" xr:uid="{C4AB1F2D-DDFD-4AA9-AA52-8283B19C68B3}"/>
    <cellStyle name="Normal 5 2 2 3 9" xfId="4791" xr:uid="{00000000-0005-0000-0000-0000E5170000}"/>
    <cellStyle name="Normal 5 2 2 3 9 2" xfId="13233" xr:uid="{67D710E4-D580-41CC-AA03-26423083C7E7}"/>
    <cellStyle name="Normal 5 2 2 3 9 3" xfId="21673" xr:uid="{37F3DF58-80D8-4848-93A8-BB3E97DD1FFA}"/>
    <cellStyle name="Normal 5 2 2 4" xfId="421" xr:uid="{00000000-0005-0000-0000-0000E6170000}"/>
    <cellStyle name="Normal 5 2 2 4 10" xfId="17460" xr:uid="{4BF41D0E-88F3-4285-BF25-2E7EFDB4E781}"/>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15796" xr:uid="{09BF4E33-5E83-47C1-B577-707758CA5966}"/>
    <cellStyle name="Normal 5 2 2 4 2 2 2 2 3" xfId="24236" xr:uid="{E970EE19-F1EB-453D-ACF7-AC882CAE26B1}"/>
    <cellStyle name="Normal 5 2 2 4 2 2 2 3" xfId="11578" xr:uid="{27689951-AD29-4201-A7DA-8C38F64F7898}"/>
    <cellStyle name="Normal 5 2 2 4 2 2 2 4" xfId="20019" xr:uid="{5AAE7D54-8E90-4207-BD48-428FD6AA4027}"/>
    <cellStyle name="Normal 5 2 2 4 2 2 3" xfId="5209" xr:uid="{00000000-0005-0000-0000-0000EB170000}"/>
    <cellStyle name="Normal 5 2 2 4 2 2 3 2" xfId="13651" xr:uid="{18D87F4D-5A21-4952-B738-67367C385483}"/>
    <cellStyle name="Normal 5 2 2 4 2 2 3 3" xfId="22091" xr:uid="{91CB0F68-CD27-49FF-ABAB-0AA031F1C0B2}"/>
    <cellStyle name="Normal 5 2 2 4 2 2 4" xfId="9433" xr:uid="{0721B4F9-FB72-4069-9D5F-88489F01B253}"/>
    <cellStyle name="Normal 5 2 2 4 2 2 5" xfId="17874" xr:uid="{24FCEB85-3813-48F8-B52C-99F93957B248}"/>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16209" xr:uid="{742A9DE8-990C-4DA1-88B8-85AF5791128A}"/>
    <cellStyle name="Normal 5 2 2 4 2 3 2 2 3" xfId="24649" xr:uid="{11A0C26F-F489-474E-B83B-0C997B42E84B}"/>
    <cellStyle name="Normal 5 2 2 4 2 3 2 3" xfId="11991" xr:uid="{5B6D241B-F766-4D05-90D0-DDC53566186A}"/>
    <cellStyle name="Normal 5 2 2 4 2 3 2 4" xfId="20432" xr:uid="{74978D93-4B42-4B78-9299-5F2FA7258678}"/>
    <cellStyle name="Normal 5 2 2 4 2 3 3" xfId="5622" xr:uid="{00000000-0005-0000-0000-0000EF170000}"/>
    <cellStyle name="Normal 5 2 2 4 2 3 3 2" xfId="14064" xr:uid="{B036F0FD-F3F3-4946-8516-6DB3136FA54D}"/>
    <cellStyle name="Normal 5 2 2 4 2 3 3 3" xfId="22504" xr:uid="{55EE7AA2-A4FA-454A-85A5-031AE33F9D63}"/>
    <cellStyle name="Normal 5 2 2 4 2 3 4" xfId="9846" xr:uid="{DE3E7B55-E3CB-4DEF-81D1-C7FDD678F29B}"/>
    <cellStyle name="Normal 5 2 2 4 2 3 5" xfId="18287" xr:uid="{A4C14741-AB31-49C6-8E93-0ACB021B7F96}"/>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16622" xr:uid="{5CB94E92-0603-45DA-863C-91B79B46C506}"/>
    <cellStyle name="Normal 5 2 2 4 2 4 2 2 3" xfId="25062" xr:uid="{EAE576B4-C952-4D44-B1A2-9AEA2AEB7BD9}"/>
    <cellStyle name="Normal 5 2 2 4 2 4 2 3" xfId="12404" xr:uid="{642CEC28-46AF-48AA-9838-C416997538F2}"/>
    <cellStyle name="Normal 5 2 2 4 2 4 2 4" xfId="20845" xr:uid="{75222CB5-AA26-4E4F-AE20-F24197F7EA87}"/>
    <cellStyle name="Normal 5 2 2 4 2 4 3" xfId="6035" xr:uid="{00000000-0005-0000-0000-0000F3170000}"/>
    <cellStyle name="Normal 5 2 2 4 2 4 3 2" xfId="14477" xr:uid="{B120F499-2730-49D0-8F8C-15C80CCFD70F}"/>
    <cellStyle name="Normal 5 2 2 4 2 4 3 3" xfId="22917" xr:uid="{E1E14BAA-6242-4E3B-9B19-A7ABE5820511}"/>
    <cellStyle name="Normal 5 2 2 4 2 4 4" xfId="10259" xr:uid="{A0B81CFF-D93C-437A-B3B2-7FC31DF20D57}"/>
    <cellStyle name="Normal 5 2 2 4 2 4 5" xfId="18700" xr:uid="{88E0AD4D-9D4C-4504-8514-F29AFEBB19B6}"/>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17035" xr:uid="{DEAE8BC0-7EE0-4A42-99BB-6840B9842C84}"/>
    <cellStyle name="Normal 5 2 2 4 2 5 2 2 3" xfId="25475" xr:uid="{F5F265F3-F31E-45F8-AF5E-BE54138CD71B}"/>
    <cellStyle name="Normal 5 2 2 4 2 5 2 3" xfId="12817" xr:uid="{3BB49640-98BF-4158-AA51-8E8CA042D438}"/>
    <cellStyle name="Normal 5 2 2 4 2 5 2 4" xfId="21258" xr:uid="{6CBED35E-6453-445F-B120-4D70A692A2BD}"/>
    <cellStyle name="Normal 5 2 2 4 2 5 3" xfId="6448" xr:uid="{00000000-0005-0000-0000-0000F7170000}"/>
    <cellStyle name="Normal 5 2 2 4 2 5 3 2" xfId="14890" xr:uid="{E6963B63-145C-4665-84D5-81FFEB488067}"/>
    <cellStyle name="Normal 5 2 2 4 2 5 3 3" xfId="23330" xr:uid="{7ABBE13E-5605-4B5C-89B0-4673D57DE4E9}"/>
    <cellStyle name="Normal 5 2 2 4 2 5 4" xfId="10672" xr:uid="{B9D2E405-A172-4F65-8E9F-5732FC44BBA6}"/>
    <cellStyle name="Normal 5 2 2 4 2 5 5" xfId="19113" xr:uid="{E4C89A15-CB2F-4E1F-9384-8000F93BD4B0}"/>
    <cellStyle name="Normal 5 2 2 4 2 6" xfId="2577" xr:uid="{00000000-0005-0000-0000-0000F8170000}"/>
    <cellStyle name="Normal 5 2 2 4 2 6 2" xfId="6861" xr:uid="{00000000-0005-0000-0000-0000F9170000}"/>
    <cellStyle name="Normal 5 2 2 4 2 6 2 2" xfId="15303" xr:uid="{B265ACF2-E566-4616-8A2A-D22AF9F660BE}"/>
    <cellStyle name="Normal 5 2 2 4 2 6 2 3" xfId="23743" xr:uid="{564A76E1-2228-43DD-B5BE-04E4AE418A46}"/>
    <cellStyle name="Normal 5 2 2 4 2 6 3" xfId="11085" xr:uid="{6385B4A4-A94F-4937-AA05-F9AB12FCE06F}"/>
    <cellStyle name="Normal 5 2 2 4 2 6 4" xfId="19526" xr:uid="{27480782-C54C-4738-930F-6B1A06005670}"/>
    <cellStyle name="Normal 5 2 2 4 2 7" xfId="4796" xr:uid="{00000000-0005-0000-0000-0000FA170000}"/>
    <cellStyle name="Normal 5 2 2 4 2 7 2" xfId="13238" xr:uid="{016B22D1-9BDE-4851-963C-53862E93F158}"/>
    <cellStyle name="Normal 5 2 2 4 2 7 3" xfId="21678" xr:uid="{45BD1B0F-F6DF-44F2-A1F2-9D39D047043B}"/>
    <cellStyle name="Normal 5 2 2 4 2 8" xfId="9020" xr:uid="{AF8ACEA0-B5D4-409C-A10E-8F514D19F4E2}"/>
    <cellStyle name="Normal 5 2 2 4 2 9" xfId="17461" xr:uid="{4D76C575-E83B-4CD0-ACDB-93AC280D1D09}"/>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15795" xr:uid="{7BFE8D48-8677-4F9F-98A6-6CC01F9B5CEA}"/>
    <cellStyle name="Normal 5 2 2 4 3 2 2 3" xfId="24235" xr:uid="{8D733573-4836-4F3B-B41E-4C3E6E1E9C26}"/>
    <cellStyle name="Normal 5 2 2 4 3 2 3" xfId="11577" xr:uid="{55BC68CE-75F5-4325-80F0-58101081AF1D}"/>
    <cellStyle name="Normal 5 2 2 4 3 2 4" xfId="20018" xr:uid="{E16F2E6E-FBF8-4E5B-B0C3-D417956F2C68}"/>
    <cellStyle name="Normal 5 2 2 4 3 3" xfId="5208" xr:uid="{00000000-0005-0000-0000-0000FE170000}"/>
    <cellStyle name="Normal 5 2 2 4 3 3 2" xfId="13650" xr:uid="{E6B2E540-BA93-48C2-8A14-890ABF988ABC}"/>
    <cellStyle name="Normal 5 2 2 4 3 3 3" xfId="22090" xr:uid="{B85D7E26-87EA-4E59-89CE-2AB6CD376855}"/>
    <cellStyle name="Normal 5 2 2 4 3 4" xfId="9432" xr:uid="{FA61503B-2465-451C-AAD5-59751EB1CF79}"/>
    <cellStyle name="Normal 5 2 2 4 3 5" xfId="17873" xr:uid="{463CAD8F-E9D5-4690-9F5A-5A5B35939BD9}"/>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16208" xr:uid="{1993AD37-E54E-4FB1-B024-CDEACC1212B8}"/>
    <cellStyle name="Normal 5 2 2 4 4 2 2 3" xfId="24648" xr:uid="{1DBD0F3C-4ED4-4F37-8FBA-7B8250FD55C5}"/>
    <cellStyle name="Normal 5 2 2 4 4 2 3" xfId="11990" xr:uid="{190D9F4D-A6BF-41EB-99FF-A9BB63143A86}"/>
    <cellStyle name="Normal 5 2 2 4 4 2 4" xfId="20431" xr:uid="{FF6E8D2D-3B77-4263-9D49-3DC33C488793}"/>
    <cellStyle name="Normal 5 2 2 4 4 3" xfId="5621" xr:uid="{00000000-0005-0000-0000-000002180000}"/>
    <cellStyle name="Normal 5 2 2 4 4 3 2" xfId="14063" xr:uid="{690A3415-E05C-4DEF-8B2F-93B1A6CB63B0}"/>
    <cellStyle name="Normal 5 2 2 4 4 3 3" xfId="22503" xr:uid="{D90112AF-6083-4289-89AF-BB64ED5927DB}"/>
    <cellStyle name="Normal 5 2 2 4 4 4" xfId="9845" xr:uid="{D5B3B94C-53BA-4797-AC71-80AF0A26D58A}"/>
    <cellStyle name="Normal 5 2 2 4 4 5" xfId="18286" xr:uid="{DB1B1102-DA28-47A9-BE7F-44E9276959E6}"/>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16621" xr:uid="{BDE502BF-4728-4FB9-A8D7-03611BBC948F}"/>
    <cellStyle name="Normal 5 2 2 4 5 2 2 3" xfId="25061" xr:uid="{74FCF013-7997-40E2-A586-29877AFE8929}"/>
    <cellStyle name="Normal 5 2 2 4 5 2 3" xfId="12403" xr:uid="{F8C3E8A1-A17D-4BA4-AD08-3F686D7F1B23}"/>
    <cellStyle name="Normal 5 2 2 4 5 2 4" xfId="20844" xr:uid="{9E7631E7-DB2A-47E2-9AF2-3A9B42224A44}"/>
    <cellStyle name="Normal 5 2 2 4 5 3" xfId="6034" xr:uid="{00000000-0005-0000-0000-000006180000}"/>
    <cellStyle name="Normal 5 2 2 4 5 3 2" xfId="14476" xr:uid="{4A0C465A-7AC3-4B75-924C-231EEB691EF7}"/>
    <cellStyle name="Normal 5 2 2 4 5 3 3" xfId="22916" xr:uid="{D550E98B-3EE9-428F-9763-3A2829B26637}"/>
    <cellStyle name="Normal 5 2 2 4 5 4" xfId="10258" xr:uid="{58054EC8-E910-449D-ADC5-97922B62B6D4}"/>
    <cellStyle name="Normal 5 2 2 4 5 5" xfId="18699" xr:uid="{E1510962-7BAE-4A81-A0F3-AE73CD8C5C26}"/>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17034" xr:uid="{73FC41CC-A611-411F-BDD5-84AE36BA41E9}"/>
    <cellStyle name="Normal 5 2 2 4 6 2 2 3" xfId="25474" xr:uid="{4FB08051-F387-44DF-AB5D-2AA4D98B1B89}"/>
    <cellStyle name="Normal 5 2 2 4 6 2 3" xfId="12816" xr:uid="{78C2719A-0536-45F9-BF97-6A62C8A67198}"/>
    <cellStyle name="Normal 5 2 2 4 6 2 4" xfId="21257" xr:uid="{3504B8D1-6798-40F7-9357-0892754D634F}"/>
    <cellStyle name="Normal 5 2 2 4 6 3" xfId="6447" xr:uid="{00000000-0005-0000-0000-00000A180000}"/>
    <cellStyle name="Normal 5 2 2 4 6 3 2" xfId="14889" xr:uid="{C5C55EAA-EEC2-4265-983E-287B059B64AE}"/>
    <cellStyle name="Normal 5 2 2 4 6 3 3" xfId="23329" xr:uid="{F5AA1925-1133-4903-BA14-3F7B569FA150}"/>
    <cellStyle name="Normal 5 2 2 4 6 4" xfId="10671" xr:uid="{EDC84D65-F048-41E8-8047-ACC82F7E03A9}"/>
    <cellStyle name="Normal 5 2 2 4 6 5" xfId="19112" xr:uid="{A7DAF32A-10F7-4476-BE4A-718DE7EA9FCA}"/>
    <cellStyle name="Normal 5 2 2 4 7" xfId="2576" xr:uid="{00000000-0005-0000-0000-00000B180000}"/>
    <cellStyle name="Normal 5 2 2 4 7 2" xfId="6860" xr:uid="{00000000-0005-0000-0000-00000C180000}"/>
    <cellStyle name="Normal 5 2 2 4 7 2 2" xfId="15302" xr:uid="{D3C969CC-C6D2-4766-A7B9-347B20868718}"/>
    <cellStyle name="Normal 5 2 2 4 7 2 3" xfId="23742" xr:uid="{A15A3BB1-B997-467A-B17F-DAEBD3525445}"/>
    <cellStyle name="Normal 5 2 2 4 7 3" xfId="11084" xr:uid="{BA7516F9-9732-42E7-AC9F-1225A81B2FF9}"/>
    <cellStyle name="Normal 5 2 2 4 7 4" xfId="19525" xr:uid="{076F8196-20DD-4B27-BCC8-D68C3096710A}"/>
    <cellStyle name="Normal 5 2 2 4 8" xfId="4795" xr:uid="{00000000-0005-0000-0000-00000D180000}"/>
    <cellStyle name="Normal 5 2 2 4 8 2" xfId="13237" xr:uid="{5EBF9D9C-DCB0-4092-8C89-05DB003A5B96}"/>
    <cellStyle name="Normal 5 2 2 4 8 3" xfId="21677" xr:uid="{86841174-37F8-49AB-903A-A558E4081EA5}"/>
    <cellStyle name="Normal 5 2 2 4 9" xfId="9019" xr:uid="{55E29D31-F747-4AC4-9501-9CD376261634}"/>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15797" xr:uid="{47C20DEE-3B88-4CE2-9D6C-99DD13E418B7}"/>
    <cellStyle name="Normal 5 2 2 5 2 2 2 3" xfId="24237" xr:uid="{D6FD0FB7-3E22-40B9-9A57-2499ABD5A838}"/>
    <cellStyle name="Normal 5 2 2 5 2 2 3" xfId="11579" xr:uid="{4D64F3A2-E4A7-45DC-9288-9AB788938286}"/>
    <cellStyle name="Normal 5 2 2 5 2 2 4" xfId="20020" xr:uid="{6D0FD17D-156B-45ED-B245-A9C117D4B0EB}"/>
    <cellStyle name="Normal 5 2 2 5 2 3" xfId="5210" xr:uid="{00000000-0005-0000-0000-000012180000}"/>
    <cellStyle name="Normal 5 2 2 5 2 3 2" xfId="13652" xr:uid="{E2476626-1E2A-4E5C-9FFA-28D566AFBB3C}"/>
    <cellStyle name="Normal 5 2 2 5 2 3 3" xfId="22092" xr:uid="{53E6B745-D64C-48F3-B2B8-CA3A76D9E550}"/>
    <cellStyle name="Normal 5 2 2 5 2 4" xfId="9434" xr:uid="{05975955-F3F6-4F68-BC57-4F2836C8E3E7}"/>
    <cellStyle name="Normal 5 2 2 5 2 5" xfId="17875" xr:uid="{DD24175A-B4F1-4F63-9718-EA2CEC6AFE31}"/>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16210" xr:uid="{C6A289F4-771C-4C88-8BE3-EB563BAE7A47}"/>
    <cellStyle name="Normal 5 2 2 5 3 2 2 3" xfId="24650" xr:uid="{B8365B9F-22E3-48C0-BAB6-8E5ACCA56F95}"/>
    <cellStyle name="Normal 5 2 2 5 3 2 3" xfId="11992" xr:uid="{467F909A-26CD-4672-8FFD-934B8BA58DCF}"/>
    <cellStyle name="Normal 5 2 2 5 3 2 4" xfId="20433" xr:uid="{6906D3C8-DD81-411C-B6BE-2D49291CD82C}"/>
    <cellStyle name="Normal 5 2 2 5 3 3" xfId="5623" xr:uid="{00000000-0005-0000-0000-000016180000}"/>
    <cellStyle name="Normal 5 2 2 5 3 3 2" xfId="14065" xr:uid="{B53E6D1A-208D-4511-A988-6BAECE723928}"/>
    <cellStyle name="Normal 5 2 2 5 3 3 3" xfId="22505" xr:uid="{6C15D716-8E48-48AF-94FD-8D9281280127}"/>
    <cellStyle name="Normal 5 2 2 5 3 4" xfId="9847" xr:uid="{E391C3C8-4D49-4F74-B100-03F76BCE54CB}"/>
    <cellStyle name="Normal 5 2 2 5 3 5" xfId="18288" xr:uid="{35966B41-E803-40A3-981D-08CCBD1CF500}"/>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16623" xr:uid="{53E4F4E2-1570-4FE7-8007-B50B42D746C3}"/>
    <cellStyle name="Normal 5 2 2 5 4 2 2 3" xfId="25063" xr:uid="{A446F403-9B6D-43A4-B145-4A3EA5239966}"/>
    <cellStyle name="Normal 5 2 2 5 4 2 3" xfId="12405" xr:uid="{DF6EE406-2A55-4F58-A4B2-7F4ED4271A30}"/>
    <cellStyle name="Normal 5 2 2 5 4 2 4" xfId="20846" xr:uid="{4F5D08FF-E4FC-4B4C-AC8A-67AD2995147E}"/>
    <cellStyle name="Normal 5 2 2 5 4 3" xfId="6036" xr:uid="{00000000-0005-0000-0000-00001A180000}"/>
    <cellStyle name="Normal 5 2 2 5 4 3 2" xfId="14478" xr:uid="{F673E298-A0E5-4524-B217-596D5BCB075D}"/>
    <cellStyle name="Normal 5 2 2 5 4 3 3" xfId="22918" xr:uid="{4C53CC5E-8219-43C3-9F56-578EB105D1C8}"/>
    <cellStyle name="Normal 5 2 2 5 4 4" xfId="10260" xr:uid="{0FCB69BE-F61B-4063-86A4-A1343514440D}"/>
    <cellStyle name="Normal 5 2 2 5 4 5" xfId="18701" xr:uid="{519DBD27-551D-423B-9572-C609C102E03F}"/>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17036" xr:uid="{351039A5-DCAA-465C-B1FD-F9F3E035399D}"/>
    <cellStyle name="Normal 5 2 2 5 5 2 2 3" xfId="25476" xr:uid="{87A9E92F-F9AD-4353-B716-6150B1A5FCAB}"/>
    <cellStyle name="Normal 5 2 2 5 5 2 3" xfId="12818" xr:uid="{2C03C541-F87E-41C4-B2EF-ADB010F9234E}"/>
    <cellStyle name="Normal 5 2 2 5 5 2 4" xfId="21259" xr:uid="{DDC7B975-8052-4711-92B8-DD4F4DC9DFD4}"/>
    <cellStyle name="Normal 5 2 2 5 5 3" xfId="6449" xr:uid="{00000000-0005-0000-0000-00001E180000}"/>
    <cellStyle name="Normal 5 2 2 5 5 3 2" xfId="14891" xr:uid="{090A3F6C-D9BB-46B6-840D-A3B10C814FE7}"/>
    <cellStyle name="Normal 5 2 2 5 5 3 3" xfId="23331" xr:uid="{51BB8972-9E09-44C1-8881-D33F8F1A4AEA}"/>
    <cellStyle name="Normal 5 2 2 5 5 4" xfId="10673" xr:uid="{9B443DB0-B6F8-4CE0-B0DA-8EAE2F7C97AD}"/>
    <cellStyle name="Normal 5 2 2 5 5 5" xfId="19114" xr:uid="{AE196C7F-C94D-45B7-8F64-C4887F18255C}"/>
    <cellStyle name="Normal 5 2 2 5 6" xfId="2578" xr:uid="{00000000-0005-0000-0000-00001F180000}"/>
    <cellStyle name="Normal 5 2 2 5 6 2" xfId="6862" xr:uid="{00000000-0005-0000-0000-000020180000}"/>
    <cellStyle name="Normal 5 2 2 5 6 2 2" xfId="15304" xr:uid="{0C635A5C-A200-4902-A020-A4DE4A34F514}"/>
    <cellStyle name="Normal 5 2 2 5 6 2 3" xfId="23744" xr:uid="{BABEEE63-63E8-4929-A331-BADBC9720BCD}"/>
    <cellStyle name="Normal 5 2 2 5 6 3" xfId="11086" xr:uid="{AE5D6338-6914-4F94-B1FC-40DD65A5E914}"/>
    <cellStyle name="Normal 5 2 2 5 6 4" xfId="19527" xr:uid="{393EB1E6-D696-464D-B679-B13CC19CD733}"/>
    <cellStyle name="Normal 5 2 2 5 7" xfId="4797" xr:uid="{00000000-0005-0000-0000-000021180000}"/>
    <cellStyle name="Normal 5 2 2 5 7 2" xfId="13239" xr:uid="{2B520D12-E236-4B69-97E3-16BD246A8575}"/>
    <cellStyle name="Normal 5 2 2 5 7 3" xfId="21679" xr:uid="{D869EA0D-466D-4014-9931-76BC08B99A5C}"/>
    <cellStyle name="Normal 5 2 2 5 8" xfId="9021" xr:uid="{CF7358A2-BAA9-4AA6-BE7E-23878D5D4761}"/>
    <cellStyle name="Normal 5 2 2 5 9" xfId="17462" xr:uid="{59D0BC4F-3D9E-46DC-AC05-4D0CCA3B49D7}"/>
    <cellStyle name="Normal 5 2 2 6" xfId="882" xr:uid="{00000000-0005-0000-0000-000022180000}"/>
    <cellStyle name="Normal 5 2 2 6 2" xfId="3117" xr:uid="{00000000-0005-0000-0000-000023180000}"/>
    <cellStyle name="Normal 5 2 2 6 2 2" xfId="7340" xr:uid="{00000000-0005-0000-0000-000024180000}"/>
    <cellStyle name="Normal 5 2 2 6 2 2 2" xfId="15782" xr:uid="{C73C7B8A-C3D7-4529-BBFF-03B774AB0C1F}"/>
    <cellStyle name="Normal 5 2 2 6 2 2 3" xfId="24222" xr:uid="{939F4873-F8B5-4BD3-9CFE-4E0128E82E2F}"/>
    <cellStyle name="Normal 5 2 2 6 2 3" xfId="11564" xr:uid="{6B03863B-8284-4238-AA8B-16C06068EB8F}"/>
    <cellStyle name="Normal 5 2 2 6 2 4" xfId="20005" xr:uid="{CC713D60-CF7C-40F5-B665-BB2043F37F21}"/>
    <cellStyle name="Normal 5 2 2 6 3" xfId="5195" xr:uid="{00000000-0005-0000-0000-000025180000}"/>
    <cellStyle name="Normal 5 2 2 6 3 2" xfId="13637" xr:uid="{A703EF90-10F3-4456-A2AC-7DC8AF0D1117}"/>
    <cellStyle name="Normal 5 2 2 6 3 3" xfId="22077" xr:uid="{0E10CBF4-D34A-4CCD-B8BB-88A246C9535A}"/>
    <cellStyle name="Normal 5 2 2 6 4" xfId="9419" xr:uid="{8C76EA89-E918-4B5B-804A-98E5EC2B3E6C}"/>
    <cellStyle name="Normal 5 2 2 6 5" xfId="17860" xr:uid="{AAE5B666-C3B2-46B6-9E27-BCD4A8EC3439}"/>
    <cellStyle name="Normal 5 2 2 7" xfId="1300" xr:uid="{00000000-0005-0000-0000-000026180000}"/>
    <cellStyle name="Normal 5 2 2 7 2" xfId="3530" xr:uid="{00000000-0005-0000-0000-000027180000}"/>
    <cellStyle name="Normal 5 2 2 7 2 2" xfId="7753" xr:uid="{00000000-0005-0000-0000-000028180000}"/>
    <cellStyle name="Normal 5 2 2 7 2 2 2" xfId="16195" xr:uid="{302CBFF4-EACA-4439-B31B-9D5217D1E07A}"/>
    <cellStyle name="Normal 5 2 2 7 2 2 3" xfId="24635" xr:uid="{A9C3BF02-B8B3-498D-9328-664810B922E5}"/>
    <cellStyle name="Normal 5 2 2 7 2 3" xfId="11977" xr:uid="{F12C6509-4495-4F89-8E31-D160141B139C}"/>
    <cellStyle name="Normal 5 2 2 7 2 4" xfId="20418" xr:uid="{A9F8E769-A40A-42DE-B855-37B72490D2C3}"/>
    <cellStyle name="Normal 5 2 2 7 3" xfId="5608" xr:uid="{00000000-0005-0000-0000-000029180000}"/>
    <cellStyle name="Normal 5 2 2 7 3 2" xfId="14050" xr:uid="{4A1CD83C-8409-4325-8B30-5084ADCDDFE2}"/>
    <cellStyle name="Normal 5 2 2 7 3 3" xfId="22490" xr:uid="{8746BE83-1973-45DB-8B36-9D1D4CFAF0E3}"/>
    <cellStyle name="Normal 5 2 2 7 4" xfId="9832" xr:uid="{134031B1-3FF2-439A-8CBD-3B0085C4D8A4}"/>
    <cellStyle name="Normal 5 2 2 7 5" xfId="18273" xr:uid="{2CEAA180-F946-4C3B-BB33-BA2C82BAA744}"/>
    <cellStyle name="Normal 5 2 2 8" xfId="1713" xr:uid="{00000000-0005-0000-0000-00002A180000}"/>
    <cellStyle name="Normal 5 2 2 8 2" xfId="3943" xr:uid="{00000000-0005-0000-0000-00002B180000}"/>
    <cellStyle name="Normal 5 2 2 8 2 2" xfId="8166" xr:uid="{00000000-0005-0000-0000-00002C180000}"/>
    <cellStyle name="Normal 5 2 2 8 2 2 2" xfId="16608" xr:uid="{C7A191FA-F2B6-4DBF-8BBF-8FAE3F328404}"/>
    <cellStyle name="Normal 5 2 2 8 2 2 3" xfId="25048" xr:uid="{CE2978D3-0DB3-4590-AE80-210395824186}"/>
    <cellStyle name="Normal 5 2 2 8 2 3" xfId="12390" xr:uid="{D296630C-4967-4E77-B99A-593451357D43}"/>
    <cellStyle name="Normal 5 2 2 8 2 4" xfId="20831" xr:uid="{0F28D4A2-C470-435D-8FFA-67BB825B37C7}"/>
    <cellStyle name="Normal 5 2 2 8 3" xfId="6021" xr:uid="{00000000-0005-0000-0000-00002D180000}"/>
    <cellStyle name="Normal 5 2 2 8 3 2" xfId="14463" xr:uid="{302B4FA4-BB05-4E8E-B44C-1976489708C9}"/>
    <cellStyle name="Normal 5 2 2 8 3 3" xfId="22903" xr:uid="{FCCED19D-83D1-413A-B225-401E17575018}"/>
    <cellStyle name="Normal 5 2 2 8 4" xfId="10245" xr:uid="{8ABC5C78-45AA-473B-8221-C6B6A6552D33}"/>
    <cellStyle name="Normal 5 2 2 8 5" xfId="18686" xr:uid="{3F735970-B5DF-4DCC-871D-BE016A566894}"/>
    <cellStyle name="Normal 5 2 2 9" xfId="2127" xr:uid="{00000000-0005-0000-0000-00002E180000}"/>
    <cellStyle name="Normal 5 2 2 9 2" xfId="4356" xr:uid="{00000000-0005-0000-0000-00002F180000}"/>
    <cellStyle name="Normal 5 2 2 9 2 2" xfId="8579" xr:uid="{00000000-0005-0000-0000-000030180000}"/>
    <cellStyle name="Normal 5 2 2 9 2 2 2" xfId="17021" xr:uid="{E1CA8E4E-6C73-46BA-96CD-80278BF99C5C}"/>
    <cellStyle name="Normal 5 2 2 9 2 2 3" xfId="25461" xr:uid="{9377CDEC-93C6-4E6F-82B3-D0D8D67EDDD1}"/>
    <cellStyle name="Normal 5 2 2 9 2 3" xfId="12803" xr:uid="{51350553-8067-477D-9548-2AB10D79522C}"/>
    <cellStyle name="Normal 5 2 2 9 2 4" xfId="21244" xr:uid="{4FC4FDC4-8E61-416F-9D76-D5209899E69D}"/>
    <cellStyle name="Normal 5 2 2 9 3" xfId="6434" xr:uid="{00000000-0005-0000-0000-000031180000}"/>
    <cellStyle name="Normal 5 2 2 9 3 2" xfId="14876" xr:uid="{1B1A8568-8869-4B82-8D47-7A1E99833BAE}"/>
    <cellStyle name="Normal 5 2 2 9 3 3" xfId="23316" xr:uid="{CDBBD641-6FE6-4D42-8592-8840B90E05F1}"/>
    <cellStyle name="Normal 5 2 2 9 4" xfId="10658" xr:uid="{03E5F6AA-5639-4A4A-8C58-77D7B4463D67}"/>
    <cellStyle name="Normal 5 2 2 9 5" xfId="19099" xr:uid="{D16A3CF4-BB7D-4856-AE70-1BDB18AA97CC}"/>
    <cellStyle name="Normal 5 2 3" xfId="424" xr:uid="{00000000-0005-0000-0000-000032180000}"/>
    <cellStyle name="Normal 5 2 3 10" xfId="4798" xr:uid="{00000000-0005-0000-0000-000033180000}"/>
    <cellStyle name="Normal 5 2 3 10 2" xfId="13240" xr:uid="{54E5F832-1F0E-4FF4-B7A1-333DD818A298}"/>
    <cellStyle name="Normal 5 2 3 10 3" xfId="21680" xr:uid="{E71565AB-76ED-4BC9-89F5-448585886E65}"/>
    <cellStyle name="Normal 5 2 3 11" xfId="9022" xr:uid="{CE4AA5E0-514C-4D49-AC76-47CBC734F23A}"/>
    <cellStyle name="Normal 5 2 3 12" xfId="17463" xr:uid="{2945CDC6-2911-4D51-A4B0-386C16004B23}"/>
    <cellStyle name="Normal 5 2 3 2" xfId="425" xr:uid="{00000000-0005-0000-0000-000034180000}"/>
    <cellStyle name="Normal 5 2 3 2 10" xfId="9023" xr:uid="{7CA7964C-42EE-41F8-A1FA-F931ACE72417}"/>
    <cellStyle name="Normal 5 2 3 2 11" xfId="17464" xr:uid="{12E4C9EA-C0BE-457D-AF1F-F387A9A6DDB7}"/>
    <cellStyle name="Normal 5 2 3 2 2" xfId="426" xr:uid="{00000000-0005-0000-0000-000035180000}"/>
    <cellStyle name="Normal 5 2 3 2 2 10" xfId="17465" xr:uid="{9D067DAD-9293-4476-ADE3-84EA1CAB2FEC}"/>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15801" xr:uid="{849FC3FE-EEC6-405A-8421-F2F69BF08782}"/>
    <cellStyle name="Normal 5 2 3 2 2 2 2 2 2 3" xfId="24241" xr:uid="{380BE5CE-AABE-4B2F-8F21-4B81DC744E6E}"/>
    <cellStyle name="Normal 5 2 3 2 2 2 2 2 3" xfId="11583" xr:uid="{8F8E2FA3-182F-4C09-AC78-65B83F88C06D}"/>
    <cellStyle name="Normal 5 2 3 2 2 2 2 2 4" xfId="20024" xr:uid="{1861BCFD-AD96-45E9-BF83-72D2A4891567}"/>
    <cellStyle name="Normal 5 2 3 2 2 2 2 3" xfId="5214" xr:uid="{00000000-0005-0000-0000-00003A180000}"/>
    <cellStyle name="Normal 5 2 3 2 2 2 2 3 2" xfId="13656" xr:uid="{4C1F3DEF-1462-429B-889A-A3F3700B2733}"/>
    <cellStyle name="Normal 5 2 3 2 2 2 2 3 3" xfId="22096" xr:uid="{2AD748D7-BC16-4568-8D5F-52B0FA32A5CA}"/>
    <cellStyle name="Normal 5 2 3 2 2 2 2 4" xfId="9438" xr:uid="{901EDD60-6391-4E36-A593-46930975417F}"/>
    <cellStyle name="Normal 5 2 3 2 2 2 2 5" xfId="17879" xr:uid="{4A8BDD85-19DA-4588-AA7D-718AD4B8A2E1}"/>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16214" xr:uid="{B1CB2A10-E741-419A-B1D1-B2FDCFC4405F}"/>
    <cellStyle name="Normal 5 2 3 2 2 2 3 2 2 3" xfId="24654" xr:uid="{1D8BF04F-EFA6-4D1E-846B-062CE72FDF26}"/>
    <cellStyle name="Normal 5 2 3 2 2 2 3 2 3" xfId="11996" xr:uid="{8D9BB16E-F8FF-4F49-874C-14A7A7B9FC24}"/>
    <cellStyle name="Normal 5 2 3 2 2 2 3 2 4" xfId="20437" xr:uid="{E2D4D520-5276-49B5-B7D9-745A50D302FA}"/>
    <cellStyle name="Normal 5 2 3 2 2 2 3 3" xfId="5627" xr:uid="{00000000-0005-0000-0000-00003E180000}"/>
    <cellStyle name="Normal 5 2 3 2 2 2 3 3 2" xfId="14069" xr:uid="{6C8E9CC0-7A18-4508-A5BD-013E78833038}"/>
    <cellStyle name="Normal 5 2 3 2 2 2 3 3 3" xfId="22509" xr:uid="{55A73CFB-84FE-46FB-B8A4-4123A4E3E460}"/>
    <cellStyle name="Normal 5 2 3 2 2 2 3 4" xfId="9851" xr:uid="{FFE91F90-A4CE-4973-9195-C9BEA7F929C9}"/>
    <cellStyle name="Normal 5 2 3 2 2 2 3 5" xfId="18292" xr:uid="{F76636E2-E15C-41C7-BE03-07F88B0933E9}"/>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16627" xr:uid="{BDA0ED42-3951-4500-AF71-121481DD3866}"/>
    <cellStyle name="Normal 5 2 3 2 2 2 4 2 2 3" xfId="25067" xr:uid="{87580CB5-8DAC-491D-B023-5A28D01C47BA}"/>
    <cellStyle name="Normal 5 2 3 2 2 2 4 2 3" xfId="12409" xr:uid="{A55C7C3E-F1ED-41E4-A68D-589AEFC7B87C}"/>
    <cellStyle name="Normal 5 2 3 2 2 2 4 2 4" xfId="20850" xr:uid="{DA7BFFB1-A12F-49E0-BBE5-430C6921725D}"/>
    <cellStyle name="Normal 5 2 3 2 2 2 4 3" xfId="6040" xr:uid="{00000000-0005-0000-0000-000042180000}"/>
    <cellStyle name="Normal 5 2 3 2 2 2 4 3 2" xfId="14482" xr:uid="{01BB8B14-2681-4E3C-8D20-B99A05091B8F}"/>
    <cellStyle name="Normal 5 2 3 2 2 2 4 3 3" xfId="22922" xr:uid="{AD66320F-A191-4864-962B-BDD9112EE04E}"/>
    <cellStyle name="Normal 5 2 3 2 2 2 4 4" xfId="10264" xr:uid="{D1282CD7-B41C-4D7C-B8FC-8C30192A09C0}"/>
    <cellStyle name="Normal 5 2 3 2 2 2 4 5" xfId="18705" xr:uid="{DDB5EAE6-783D-4B32-A98A-67C464264282}"/>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17040" xr:uid="{9CBA269C-0623-4C3C-B535-FB88E66052C5}"/>
    <cellStyle name="Normal 5 2 3 2 2 2 5 2 2 3" xfId="25480" xr:uid="{46E94902-B075-49E0-9639-5BE57F5B7D7D}"/>
    <cellStyle name="Normal 5 2 3 2 2 2 5 2 3" xfId="12822" xr:uid="{712363B2-7D2B-4B34-AE65-A64B730007B3}"/>
    <cellStyle name="Normal 5 2 3 2 2 2 5 2 4" xfId="21263" xr:uid="{6E439DBC-F616-42BA-8F7F-794BADF4DC2C}"/>
    <cellStyle name="Normal 5 2 3 2 2 2 5 3" xfId="6453" xr:uid="{00000000-0005-0000-0000-000046180000}"/>
    <cellStyle name="Normal 5 2 3 2 2 2 5 3 2" xfId="14895" xr:uid="{B83B4E46-C0F6-4E40-A2AF-CCD105A9B5F0}"/>
    <cellStyle name="Normal 5 2 3 2 2 2 5 3 3" xfId="23335" xr:uid="{885334BC-A6D4-4566-B57A-5008FB4B3126}"/>
    <cellStyle name="Normal 5 2 3 2 2 2 5 4" xfId="10677" xr:uid="{E8BCDF3F-1C0E-4CF7-BADD-126E4A79926F}"/>
    <cellStyle name="Normal 5 2 3 2 2 2 5 5" xfId="19118" xr:uid="{282A23E3-6A6F-43F6-86E5-F5DB19A1F454}"/>
    <cellStyle name="Normal 5 2 3 2 2 2 6" xfId="2582" xr:uid="{00000000-0005-0000-0000-000047180000}"/>
    <cellStyle name="Normal 5 2 3 2 2 2 6 2" xfId="6866" xr:uid="{00000000-0005-0000-0000-000048180000}"/>
    <cellStyle name="Normal 5 2 3 2 2 2 6 2 2" xfId="15308" xr:uid="{017C1C92-5F9D-45ED-91D0-7D6661F78B90}"/>
    <cellStyle name="Normal 5 2 3 2 2 2 6 2 3" xfId="23748" xr:uid="{727824F5-3E30-48E4-8505-5EFF07D73BC2}"/>
    <cellStyle name="Normal 5 2 3 2 2 2 6 3" xfId="11090" xr:uid="{ECB84FF2-E937-4E73-A10E-F7E68D0EFE93}"/>
    <cellStyle name="Normal 5 2 3 2 2 2 6 4" xfId="19531" xr:uid="{CDC400C0-2BD4-4018-8803-6FE734834671}"/>
    <cellStyle name="Normal 5 2 3 2 2 2 7" xfId="4801" xr:uid="{00000000-0005-0000-0000-000049180000}"/>
    <cellStyle name="Normal 5 2 3 2 2 2 7 2" xfId="13243" xr:uid="{A2F5C825-60AF-4C13-927B-13F7AFB20554}"/>
    <cellStyle name="Normal 5 2 3 2 2 2 7 3" xfId="21683" xr:uid="{1577B02F-53D5-46AF-BB83-A31BB3FE8552}"/>
    <cellStyle name="Normal 5 2 3 2 2 2 8" xfId="9025" xr:uid="{DD94C291-B4E3-4564-A21C-F46408D8D81F}"/>
    <cellStyle name="Normal 5 2 3 2 2 2 9" xfId="17466" xr:uid="{A0195D55-038A-4887-868B-C1CE8C566BBE}"/>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15800" xr:uid="{4195F872-44F7-46A3-B582-52C36DCC69AA}"/>
    <cellStyle name="Normal 5 2 3 2 2 3 2 2 3" xfId="24240" xr:uid="{E9319B70-8B21-411F-9E36-CB3124852C8F}"/>
    <cellStyle name="Normal 5 2 3 2 2 3 2 3" xfId="11582" xr:uid="{CD4202DB-A815-466D-8C06-B521CE17FFA9}"/>
    <cellStyle name="Normal 5 2 3 2 2 3 2 4" xfId="20023" xr:uid="{E22D8F27-1F8A-4252-B15A-630B69E4360E}"/>
    <cellStyle name="Normal 5 2 3 2 2 3 3" xfId="5213" xr:uid="{00000000-0005-0000-0000-00004D180000}"/>
    <cellStyle name="Normal 5 2 3 2 2 3 3 2" xfId="13655" xr:uid="{8A97A927-CDEB-404B-BA39-461F9727CA8C}"/>
    <cellStyle name="Normal 5 2 3 2 2 3 3 3" xfId="22095" xr:uid="{C347B3F4-BD82-423A-A071-8271AFF8F32A}"/>
    <cellStyle name="Normal 5 2 3 2 2 3 4" xfId="9437" xr:uid="{1A4CB72E-EA25-484E-B704-F0C905B0796A}"/>
    <cellStyle name="Normal 5 2 3 2 2 3 5" xfId="17878" xr:uid="{20FEFF90-1730-48C6-ADC4-4CDDAAC59D52}"/>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16213" xr:uid="{D8CF2FD5-756B-4C47-AE2C-029AB610A79E}"/>
    <cellStyle name="Normal 5 2 3 2 2 4 2 2 3" xfId="24653" xr:uid="{95415706-7B1D-4A93-A53C-3065E878F133}"/>
    <cellStyle name="Normal 5 2 3 2 2 4 2 3" xfId="11995" xr:uid="{E1F01B45-3D21-497F-96C7-069137ED575D}"/>
    <cellStyle name="Normal 5 2 3 2 2 4 2 4" xfId="20436" xr:uid="{1238E679-7344-4E6D-914E-50078A807B65}"/>
    <cellStyle name="Normal 5 2 3 2 2 4 3" xfId="5626" xr:uid="{00000000-0005-0000-0000-000051180000}"/>
    <cellStyle name="Normal 5 2 3 2 2 4 3 2" xfId="14068" xr:uid="{F96AFB62-BFD2-4D92-834C-2B56AC1572D1}"/>
    <cellStyle name="Normal 5 2 3 2 2 4 3 3" xfId="22508" xr:uid="{82E82CC4-2F17-4047-ADC2-FD53F41F9D02}"/>
    <cellStyle name="Normal 5 2 3 2 2 4 4" xfId="9850" xr:uid="{7EED27BD-1770-4895-B166-1CAE06835100}"/>
    <cellStyle name="Normal 5 2 3 2 2 4 5" xfId="18291" xr:uid="{11A4EE4B-062F-441E-AC0E-9E703907B70A}"/>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16626" xr:uid="{A2D9488B-5A61-4A9C-A5F3-B723E57683DA}"/>
    <cellStyle name="Normal 5 2 3 2 2 5 2 2 3" xfId="25066" xr:uid="{080DC5EC-5036-470F-AE09-B7E753A7194C}"/>
    <cellStyle name="Normal 5 2 3 2 2 5 2 3" xfId="12408" xr:uid="{06EC16B1-C0F5-4CAA-B511-7E3F4FEE2668}"/>
    <cellStyle name="Normal 5 2 3 2 2 5 2 4" xfId="20849" xr:uid="{D22F2CD7-53E5-4057-884A-C19B4A656C2A}"/>
    <cellStyle name="Normal 5 2 3 2 2 5 3" xfId="6039" xr:uid="{00000000-0005-0000-0000-000055180000}"/>
    <cellStyle name="Normal 5 2 3 2 2 5 3 2" xfId="14481" xr:uid="{67AB1C8E-CBE5-4F7A-A10D-3D601BEDBA77}"/>
    <cellStyle name="Normal 5 2 3 2 2 5 3 3" xfId="22921" xr:uid="{1DC36001-5FC1-448D-B139-F6E9EB6C3FE1}"/>
    <cellStyle name="Normal 5 2 3 2 2 5 4" xfId="10263" xr:uid="{0AE12212-3D49-48EA-8A46-BD48EDCE100C}"/>
    <cellStyle name="Normal 5 2 3 2 2 5 5" xfId="18704" xr:uid="{445FE086-B07A-4DCC-B969-2F239AC6E06B}"/>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17039" xr:uid="{7B5400F0-2D4A-449C-AC82-ACF96D021694}"/>
    <cellStyle name="Normal 5 2 3 2 2 6 2 2 3" xfId="25479" xr:uid="{D2A70E4A-21B1-4F2C-A77B-2283702AE751}"/>
    <cellStyle name="Normal 5 2 3 2 2 6 2 3" xfId="12821" xr:uid="{7EF13AF2-1C0C-4AA1-9A9F-DF4250015065}"/>
    <cellStyle name="Normal 5 2 3 2 2 6 2 4" xfId="21262" xr:uid="{6F55BA04-2ED9-4505-BF2A-8B9CCA4A3F88}"/>
    <cellStyle name="Normal 5 2 3 2 2 6 3" xfId="6452" xr:uid="{00000000-0005-0000-0000-000059180000}"/>
    <cellStyle name="Normal 5 2 3 2 2 6 3 2" xfId="14894" xr:uid="{5FC82364-6769-4110-9192-33F3DAF92ED1}"/>
    <cellStyle name="Normal 5 2 3 2 2 6 3 3" xfId="23334" xr:uid="{48C927CB-5F27-4780-ADC9-70F84FA47437}"/>
    <cellStyle name="Normal 5 2 3 2 2 6 4" xfId="10676" xr:uid="{006D554D-56AC-4B87-B916-2811FB030A5C}"/>
    <cellStyle name="Normal 5 2 3 2 2 6 5" xfId="19117" xr:uid="{C99D3B0C-F58A-4534-9DC3-473D6B397C00}"/>
    <cellStyle name="Normal 5 2 3 2 2 7" xfId="2581" xr:uid="{00000000-0005-0000-0000-00005A180000}"/>
    <cellStyle name="Normal 5 2 3 2 2 7 2" xfId="6865" xr:uid="{00000000-0005-0000-0000-00005B180000}"/>
    <cellStyle name="Normal 5 2 3 2 2 7 2 2" xfId="15307" xr:uid="{0E3CAE79-3B3F-48EF-AC61-32E4AC42FF0A}"/>
    <cellStyle name="Normal 5 2 3 2 2 7 2 3" xfId="23747" xr:uid="{BFD34526-345C-41BC-A01D-12EE756C9958}"/>
    <cellStyle name="Normal 5 2 3 2 2 7 3" xfId="11089" xr:uid="{9C422A6B-E538-4A86-96B5-DE0A1AE90273}"/>
    <cellStyle name="Normal 5 2 3 2 2 7 4" xfId="19530" xr:uid="{2056C30A-2C15-4FF4-9B31-92B6F3F6CE5D}"/>
    <cellStyle name="Normal 5 2 3 2 2 8" xfId="4800" xr:uid="{00000000-0005-0000-0000-00005C180000}"/>
    <cellStyle name="Normal 5 2 3 2 2 8 2" xfId="13242" xr:uid="{82E0A533-D521-4472-87D1-5E1DE4651C9C}"/>
    <cellStyle name="Normal 5 2 3 2 2 8 3" xfId="21682" xr:uid="{81001547-4015-4CDD-8AB3-CEFE7BBF4E37}"/>
    <cellStyle name="Normal 5 2 3 2 2 9" xfId="9024" xr:uid="{CB718F86-629D-4257-9900-1D3652B2FF7D}"/>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15802" xr:uid="{D793C8E0-E2DC-4638-BA96-2A4858291FB6}"/>
    <cellStyle name="Normal 5 2 3 2 3 2 2 2 3" xfId="24242" xr:uid="{16245363-C4EF-4882-991E-F25AF5649F61}"/>
    <cellStyle name="Normal 5 2 3 2 3 2 2 3" xfId="11584" xr:uid="{9596AED0-F02C-4A81-AB6F-EE346CC1EE80}"/>
    <cellStyle name="Normal 5 2 3 2 3 2 2 4" xfId="20025" xr:uid="{CAE3051D-7EAA-45BC-8D69-EA160D7C4C2E}"/>
    <cellStyle name="Normal 5 2 3 2 3 2 3" xfId="5215" xr:uid="{00000000-0005-0000-0000-000061180000}"/>
    <cellStyle name="Normal 5 2 3 2 3 2 3 2" xfId="13657" xr:uid="{02581A8C-780E-4D59-AB94-68675B83B01E}"/>
    <cellStyle name="Normal 5 2 3 2 3 2 3 3" xfId="22097" xr:uid="{A110AC54-14FF-475B-8D5A-6D1AF82AA5F8}"/>
    <cellStyle name="Normal 5 2 3 2 3 2 4" xfId="9439" xr:uid="{BA4A7DDF-6345-4E70-BF64-20509518CE4C}"/>
    <cellStyle name="Normal 5 2 3 2 3 2 5" xfId="17880" xr:uid="{645A0422-3EEA-4086-A9E9-5DCA47A33F42}"/>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16215" xr:uid="{332BA1AF-FEBA-4497-B7AF-696F36A499A2}"/>
    <cellStyle name="Normal 5 2 3 2 3 3 2 2 3" xfId="24655" xr:uid="{5014D73F-C225-4765-AE11-FA52B2644B3A}"/>
    <cellStyle name="Normal 5 2 3 2 3 3 2 3" xfId="11997" xr:uid="{0C2AF3FF-F8DE-4EFA-86AE-5E5FFB240651}"/>
    <cellStyle name="Normal 5 2 3 2 3 3 2 4" xfId="20438" xr:uid="{D35DFF60-E36D-46B5-A6DA-839CA76CE5BE}"/>
    <cellStyle name="Normal 5 2 3 2 3 3 3" xfId="5628" xr:uid="{00000000-0005-0000-0000-000065180000}"/>
    <cellStyle name="Normal 5 2 3 2 3 3 3 2" xfId="14070" xr:uid="{34A54DF0-4E8C-40BF-84E6-79F03CC4C80E}"/>
    <cellStyle name="Normal 5 2 3 2 3 3 3 3" xfId="22510" xr:uid="{474FF31D-2526-4802-AC46-05B8FB0A7D96}"/>
    <cellStyle name="Normal 5 2 3 2 3 3 4" xfId="9852" xr:uid="{24A7CCC5-31DE-4702-B0FC-04A093A771DA}"/>
    <cellStyle name="Normal 5 2 3 2 3 3 5" xfId="18293" xr:uid="{A379EA75-E8AC-4714-B72B-B97471C17BA9}"/>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16628" xr:uid="{48708281-08E0-47C2-8441-7DBF80698FEA}"/>
    <cellStyle name="Normal 5 2 3 2 3 4 2 2 3" xfId="25068" xr:uid="{CDAF209A-167B-4FBC-B3B6-1CD6C24AB66B}"/>
    <cellStyle name="Normal 5 2 3 2 3 4 2 3" xfId="12410" xr:uid="{16B13D57-D72D-4ABE-BF0F-7AB232B456BC}"/>
    <cellStyle name="Normal 5 2 3 2 3 4 2 4" xfId="20851" xr:uid="{974B0805-0952-4894-B8D5-2D9A2427DE8F}"/>
    <cellStyle name="Normal 5 2 3 2 3 4 3" xfId="6041" xr:uid="{00000000-0005-0000-0000-000069180000}"/>
    <cellStyle name="Normal 5 2 3 2 3 4 3 2" xfId="14483" xr:uid="{F02A33E1-5A9A-4371-A712-1E571B8DA451}"/>
    <cellStyle name="Normal 5 2 3 2 3 4 3 3" xfId="22923" xr:uid="{0599F2C1-D1D7-446C-917D-861A93782EED}"/>
    <cellStyle name="Normal 5 2 3 2 3 4 4" xfId="10265" xr:uid="{09E9CBA2-FB0A-4E27-9F23-3C81197B0382}"/>
    <cellStyle name="Normal 5 2 3 2 3 4 5" xfId="18706" xr:uid="{6A531A9D-7BE7-4ADF-84BD-68AB02003B43}"/>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17041" xr:uid="{9A8F16EF-AE9D-4E85-B3CE-D5D1D31A5C67}"/>
    <cellStyle name="Normal 5 2 3 2 3 5 2 2 3" xfId="25481" xr:uid="{8FA63CA3-836E-4CF5-A201-1B8C8DA16912}"/>
    <cellStyle name="Normal 5 2 3 2 3 5 2 3" xfId="12823" xr:uid="{AC0C5B90-DDFF-4D09-9651-49A1B9DB0C2D}"/>
    <cellStyle name="Normal 5 2 3 2 3 5 2 4" xfId="21264" xr:uid="{4C2823B9-B545-4D63-89AE-B2095BA37C02}"/>
    <cellStyle name="Normal 5 2 3 2 3 5 3" xfId="6454" xr:uid="{00000000-0005-0000-0000-00006D180000}"/>
    <cellStyle name="Normal 5 2 3 2 3 5 3 2" xfId="14896" xr:uid="{71378C54-3463-4E68-A865-F86CA91B7240}"/>
    <cellStyle name="Normal 5 2 3 2 3 5 3 3" xfId="23336" xr:uid="{EFF13062-B686-4B07-949B-C76032FC148A}"/>
    <cellStyle name="Normal 5 2 3 2 3 5 4" xfId="10678" xr:uid="{C2586F08-BDA3-4665-9BAA-D268D79A3B2B}"/>
    <cellStyle name="Normal 5 2 3 2 3 5 5" xfId="19119" xr:uid="{861460A1-1D69-474C-9A07-6385CE6BAC9C}"/>
    <cellStyle name="Normal 5 2 3 2 3 6" xfId="2583" xr:uid="{00000000-0005-0000-0000-00006E180000}"/>
    <cellStyle name="Normal 5 2 3 2 3 6 2" xfId="6867" xr:uid="{00000000-0005-0000-0000-00006F180000}"/>
    <cellStyle name="Normal 5 2 3 2 3 6 2 2" xfId="15309" xr:uid="{616AB00D-7B13-4EF9-97D6-F01CD703076A}"/>
    <cellStyle name="Normal 5 2 3 2 3 6 2 3" xfId="23749" xr:uid="{356AA38B-DAFE-4B71-B44B-9C62D5395D96}"/>
    <cellStyle name="Normal 5 2 3 2 3 6 3" xfId="11091" xr:uid="{F89DD942-F715-4D7C-846E-88156D1A059C}"/>
    <cellStyle name="Normal 5 2 3 2 3 6 4" xfId="19532" xr:uid="{DD2B467F-3BD4-4143-A627-BDF7D643BD8E}"/>
    <cellStyle name="Normal 5 2 3 2 3 7" xfId="4802" xr:uid="{00000000-0005-0000-0000-000070180000}"/>
    <cellStyle name="Normal 5 2 3 2 3 7 2" xfId="13244" xr:uid="{030B443C-B2C2-4971-821D-9E5B0E5B3491}"/>
    <cellStyle name="Normal 5 2 3 2 3 7 3" xfId="21684" xr:uid="{5A37D424-B769-443D-B745-743FEE74485D}"/>
    <cellStyle name="Normal 5 2 3 2 3 8" xfId="9026" xr:uid="{76BE0826-2F97-44AC-A033-D6517DBA50CA}"/>
    <cellStyle name="Normal 5 2 3 2 3 9" xfId="17467" xr:uid="{FEF03D87-149D-4B3E-A009-EDD068A5B86B}"/>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15799" xr:uid="{98DA1C07-C813-4D6A-8E20-AA3C19813BC0}"/>
    <cellStyle name="Normal 5 2 3 2 4 2 2 3" xfId="24239" xr:uid="{67DDF57B-6878-4256-88D7-49E1B4636F8E}"/>
    <cellStyle name="Normal 5 2 3 2 4 2 3" xfId="11581" xr:uid="{5243EF62-927E-4ECB-87D0-CB312AC3456C}"/>
    <cellStyle name="Normal 5 2 3 2 4 2 4" xfId="20022" xr:uid="{5C173298-0133-4B20-B155-E4DD178F0874}"/>
    <cellStyle name="Normal 5 2 3 2 4 3" xfId="5212" xr:uid="{00000000-0005-0000-0000-000074180000}"/>
    <cellStyle name="Normal 5 2 3 2 4 3 2" xfId="13654" xr:uid="{CE3B9F29-96A4-4D61-89F9-1B51AC18AAB6}"/>
    <cellStyle name="Normal 5 2 3 2 4 3 3" xfId="22094" xr:uid="{BCFEC652-2622-46A6-860C-A074ADEE8C41}"/>
    <cellStyle name="Normal 5 2 3 2 4 4" xfId="9436" xr:uid="{6A7263DA-1A81-49A6-908F-0C341AB34133}"/>
    <cellStyle name="Normal 5 2 3 2 4 5" xfId="17877" xr:uid="{50FF1D27-F096-4B6A-97A0-AE8792CBFD5F}"/>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16212" xr:uid="{86D748F4-1EBC-4A67-8F44-43C6F2046DA6}"/>
    <cellStyle name="Normal 5 2 3 2 5 2 2 3" xfId="24652" xr:uid="{63A00AE4-6B11-4BAC-A33E-0EFE9070CB0C}"/>
    <cellStyle name="Normal 5 2 3 2 5 2 3" xfId="11994" xr:uid="{82CB1DF7-2B6F-4A2B-A5E2-2CD0569D40BD}"/>
    <cellStyle name="Normal 5 2 3 2 5 2 4" xfId="20435" xr:uid="{C81A0EA8-29A0-4C64-BC37-B30C4252E699}"/>
    <cellStyle name="Normal 5 2 3 2 5 3" xfId="5625" xr:uid="{00000000-0005-0000-0000-000078180000}"/>
    <cellStyle name="Normal 5 2 3 2 5 3 2" xfId="14067" xr:uid="{84A3EA60-F6E8-4438-97CC-3534693E2E54}"/>
    <cellStyle name="Normal 5 2 3 2 5 3 3" xfId="22507" xr:uid="{5EED94B4-E908-49F9-873C-2BB393514DE3}"/>
    <cellStyle name="Normal 5 2 3 2 5 4" xfId="9849" xr:uid="{0E26B575-024E-4BA5-A95F-76DC7FF96128}"/>
    <cellStyle name="Normal 5 2 3 2 5 5" xfId="18290" xr:uid="{F5A037BC-68CC-4F84-9BFA-92DD7A13D612}"/>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16625" xr:uid="{76071314-B8D6-4686-A5A8-546002532EE5}"/>
    <cellStyle name="Normal 5 2 3 2 6 2 2 3" xfId="25065" xr:uid="{738EA6FD-89CA-4149-BF0B-7C7215A3F4CF}"/>
    <cellStyle name="Normal 5 2 3 2 6 2 3" xfId="12407" xr:uid="{BA85C3A6-1558-4300-9055-4558F42B4117}"/>
    <cellStyle name="Normal 5 2 3 2 6 2 4" xfId="20848" xr:uid="{5ED511A3-B056-4749-A354-66F7C0F3F954}"/>
    <cellStyle name="Normal 5 2 3 2 6 3" xfId="6038" xr:uid="{00000000-0005-0000-0000-00007C180000}"/>
    <cellStyle name="Normal 5 2 3 2 6 3 2" xfId="14480" xr:uid="{325B577F-3328-4D5E-8E8D-16D9311F2CFC}"/>
    <cellStyle name="Normal 5 2 3 2 6 3 3" xfId="22920" xr:uid="{55E58262-A339-4623-BEE5-245AE1D4A4B5}"/>
    <cellStyle name="Normal 5 2 3 2 6 4" xfId="10262" xr:uid="{679022E3-D2D9-4233-9FB2-919CEC93C9B5}"/>
    <cellStyle name="Normal 5 2 3 2 6 5" xfId="18703" xr:uid="{5A57A03C-CDF6-4639-BB60-34B839479EFB}"/>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17038" xr:uid="{A048F54B-9435-4CD0-A714-2DCB4803E1B4}"/>
    <cellStyle name="Normal 5 2 3 2 7 2 2 3" xfId="25478" xr:uid="{8B6835C8-E6F5-4918-9A85-30E7F30C55BE}"/>
    <cellStyle name="Normal 5 2 3 2 7 2 3" xfId="12820" xr:uid="{6C996ED3-55B8-429D-9A8E-C28032822D12}"/>
    <cellStyle name="Normal 5 2 3 2 7 2 4" xfId="21261" xr:uid="{B7E195AD-4CAC-4E5E-88F3-A15E0B1239E2}"/>
    <cellStyle name="Normal 5 2 3 2 7 3" xfId="6451" xr:uid="{00000000-0005-0000-0000-000080180000}"/>
    <cellStyle name="Normal 5 2 3 2 7 3 2" xfId="14893" xr:uid="{E1235896-F535-4786-B69F-97D0C85F5360}"/>
    <cellStyle name="Normal 5 2 3 2 7 3 3" xfId="23333" xr:uid="{73AFE215-AB82-475E-89BA-78B56DFFFD46}"/>
    <cellStyle name="Normal 5 2 3 2 7 4" xfId="10675" xr:uid="{63689779-DC80-4B7A-AD53-A6347C334AD8}"/>
    <cellStyle name="Normal 5 2 3 2 7 5" xfId="19116" xr:uid="{134C4663-C53C-4A22-AE7C-C6C09813E102}"/>
    <cellStyle name="Normal 5 2 3 2 8" xfId="2580" xr:uid="{00000000-0005-0000-0000-000081180000}"/>
    <cellStyle name="Normal 5 2 3 2 8 2" xfId="6864" xr:uid="{00000000-0005-0000-0000-000082180000}"/>
    <cellStyle name="Normal 5 2 3 2 8 2 2" xfId="15306" xr:uid="{3748A80C-FA1C-498F-B859-803F4503248A}"/>
    <cellStyle name="Normal 5 2 3 2 8 2 3" xfId="23746" xr:uid="{18C30EAF-2FF0-41AE-8D66-7B2640384B41}"/>
    <cellStyle name="Normal 5 2 3 2 8 3" xfId="11088" xr:uid="{5EB9263D-7C56-4EC5-B652-D3D46C948EEF}"/>
    <cellStyle name="Normal 5 2 3 2 8 4" xfId="19529" xr:uid="{0E24FEBB-F7A1-49D2-99BF-2543C550641C}"/>
    <cellStyle name="Normal 5 2 3 2 9" xfId="4799" xr:uid="{00000000-0005-0000-0000-000083180000}"/>
    <cellStyle name="Normal 5 2 3 2 9 2" xfId="13241" xr:uid="{2B8F1F45-A67B-4F23-84CE-223F831E5863}"/>
    <cellStyle name="Normal 5 2 3 2 9 3" xfId="21681" xr:uid="{5C5B495F-6843-44A6-AC01-E2CEB405A3D3}"/>
    <cellStyle name="Normal 5 2 3 3" xfId="429" xr:uid="{00000000-0005-0000-0000-000084180000}"/>
    <cellStyle name="Normal 5 2 3 3 10" xfId="17468" xr:uid="{DFEB2A65-8C48-45CB-B402-3003F97717A2}"/>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15804" xr:uid="{0CDFADC9-FBAA-49B5-AE58-D9581263F85D}"/>
    <cellStyle name="Normal 5 2 3 3 2 2 2 2 3" xfId="24244" xr:uid="{D5D30F88-E9DC-47B5-B1C0-180B5E5B251C}"/>
    <cellStyle name="Normal 5 2 3 3 2 2 2 3" xfId="11586" xr:uid="{F446B946-775C-4BB7-9C33-4EDE17CABDD1}"/>
    <cellStyle name="Normal 5 2 3 3 2 2 2 4" xfId="20027" xr:uid="{71A76E7D-458B-4854-996C-CB64891E0C42}"/>
    <cellStyle name="Normal 5 2 3 3 2 2 3" xfId="5217" xr:uid="{00000000-0005-0000-0000-000089180000}"/>
    <cellStyle name="Normal 5 2 3 3 2 2 3 2" xfId="13659" xr:uid="{4D688082-0303-4741-B4BD-08582B8983AD}"/>
    <cellStyle name="Normal 5 2 3 3 2 2 3 3" xfId="22099" xr:uid="{9CA06B74-DE8D-4F5C-95AC-9E5B7DD29129}"/>
    <cellStyle name="Normal 5 2 3 3 2 2 4" xfId="9441" xr:uid="{2388FBBF-461B-4815-B774-267B66E214CA}"/>
    <cellStyle name="Normal 5 2 3 3 2 2 5" xfId="17882" xr:uid="{6FB86BEF-2F0D-4693-8BB9-731A3AE20144}"/>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16217" xr:uid="{64421279-1233-490A-8BFC-E13839B59107}"/>
    <cellStyle name="Normal 5 2 3 3 2 3 2 2 3" xfId="24657" xr:uid="{590B39BB-E76B-4AA8-A2EA-EFAFB1387274}"/>
    <cellStyle name="Normal 5 2 3 3 2 3 2 3" xfId="11999" xr:uid="{65E2213E-7A84-46EC-8B76-EC9953C5C80B}"/>
    <cellStyle name="Normal 5 2 3 3 2 3 2 4" xfId="20440" xr:uid="{70666CD1-5887-42F6-85D1-C35E3BE1DA0D}"/>
    <cellStyle name="Normal 5 2 3 3 2 3 3" xfId="5630" xr:uid="{00000000-0005-0000-0000-00008D180000}"/>
    <cellStyle name="Normal 5 2 3 3 2 3 3 2" xfId="14072" xr:uid="{D5DB7AF2-D754-4E6F-BE31-79AFCC065F6C}"/>
    <cellStyle name="Normal 5 2 3 3 2 3 3 3" xfId="22512" xr:uid="{3E69FDE6-50F7-4719-8A10-852A36E54232}"/>
    <cellStyle name="Normal 5 2 3 3 2 3 4" xfId="9854" xr:uid="{BC8F4AFA-1A9D-40BA-B1D5-66A4EDA0C378}"/>
    <cellStyle name="Normal 5 2 3 3 2 3 5" xfId="18295" xr:uid="{ACC410F9-A5B7-452A-B20E-9586D62ACCE9}"/>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16630" xr:uid="{4B3F0EFB-C8C2-4D0C-8AF9-3AB69B65947D}"/>
    <cellStyle name="Normal 5 2 3 3 2 4 2 2 3" xfId="25070" xr:uid="{7562CFDF-EEB5-4455-867A-54206043AF76}"/>
    <cellStyle name="Normal 5 2 3 3 2 4 2 3" xfId="12412" xr:uid="{AEA2CB4A-63E9-4B2A-AE91-06B0AE6BB05E}"/>
    <cellStyle name="Normal 5 2 3 3 2 4 2 4" xfId="20853" xr:uid="{DF920BAD-493A-45A5-9B7C-F440C502287E}"/>
    <cellStyle name="Normal 5 2 3 3 2 4 3" xfId="6043" xr:uid="{00000000-0005-0000-0000-000091180000}"/>
    <cellStyle name="Normal 5 2 3 3 2 4 3 2" xfId="14485" xr:uid="{2E7EBEC7-C754-4E1B-9FE1-2240A30D71D9}"/>
    <cellStyle name="Normal 5 2 3 3 2 4 3 3" xfId="22925" xr:uid="{A2DAE38D-0914-4014-BAEF-AC830CB56C67}"/>
    <cellStyle name="Normal 5 2 3 3 2 4 4" xfId="10267" xr:uid="{35203133-1B53-42E2-9241-0B25E23401A6}"/>
    <cellStyle name="Normal 5 2 3 3 2 4 5" xfId="18708" xr:uid="{093590AB-9025-4B8D-8D92-00260164610E}"/>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17043" xr:uid="{80BB5322-7E79-4507-8D21-7043BF0BF121}"/>
    <cellStyle name="Normal 5 2 3 3 2 5 2 2 3" xfId="25483" xr:uid="{44299515-CDDA-4389-833C-462BC990FFED}"/>
    <cellStyle name="Normal 5 2 3 3 2 5 2 3" xfId="12825" xr:uid="{D6B65B9D-9359-4DE2-9783-121A44CAE780}"/>
    <cellStyle name="Normal 5 2 3 3 2 5 2 4" xfId="21266" xr:uid="{FF01E096-A74E-4CC7-9E3D-EA6624E65601}"/>
    <cellStyle name="Normal 5 2 3 3 2 5 3" xfId="6456" xr:uid="{00000000-0005-0000-0000-000095180000}"/>
    <cellStyle name="Normal 5 2 3 3 2 5 3 2" xfId="14898" xr:uid="{8CF5AAE1-D01E-4E67-908C-472927A6F775}"/>
    <cellStyle name="Normal 5 2 3 3 2 5 3 3" xfId="23338" xr:uid="{3F5EF12C-660C-49D5-83FE-F523E22A5E98}"/>
    <cellStyle name="Normal 5 2 3 3 2 5 4" xfId="10680" xr:uid="{A05A3D7A-12B1-4A78-9D40-3C6C749D7594}"/>
    <cellStyle name="Normal 5 2 3 3 2 5 5" xfId="19121" xr:uid="{3E48CAB2-5235-4DDE-B238-01D05A83AE65}"/>
    <cellStyle name="Normal 5 2 3 3 2 6" xfId="2585" xr:uid="{00000000-0005-0000-0000-000096180000}"/>
    <cellStyle name="Normal 5 2 3 3 2 6 2" xfId="6869" xr:uid="{00000000-0005-0000-0000-000097180000}"/>
    <cellStyle name="Normal 5 2 3 3 2 6 2 2" xfId="15311" xr:uid="{4D63BC89-0007-4780-9440-C83ADBBA1202}"/>
    <cellStyle name="Normal 5 2 3 3 2 6 2 3" xfId="23751" xr:uid="{FD57C9D8-2FAB-4417-8C0D-6E32E0ABDA07}"/>
    <cellStyle name="Normal 5 2 3 3 2 6 3" xfId="11093" xr:uid="{6F4ABDF8-3C49-44A5-A186-D7BA51FD9CAE}"/>
    <cellStyle name="Normal 5 2 3 3 2 6 4" xfId="19534" xr:uid="{5291A98B-27DE-4F82-9CDB-7B1FF97C9503}"/>
    <cellStyle name="Normal 5 2 3 3 2 7" xfId="4804" xr:uid="{00000000-0005-0000-0000-000098180000}"/>
    <cellStyle name="Normal 5 2 3 3 2 7 2" xfId="13246" xr:uid="{469FF78D-E764-4952-AD7E-3A3EC9ECCC9D}"/>
    <cellStyle name="Normal 5 2 3 3 2 7 3" xfId="21686" xr:uid="{8291B80C-F667-48E5-AC74-E6AA101DFC5A}"/>
    <cellStyle name="Normal 5 2 3 3 2 8" xfId="9028" xr:uid="{86D5F281-8049-4667-B25B-431C7457A4AE}"/>
    <cellStyle name="Normal 5 2 3 3 2 9" xfId="17469" xr:uid="{B80A105B-F5D6-45D0-811F-EE7DB6F1B9E8}"/>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15803" xr:uid="{07F7D533-17D1-4FA7-BF04-F45C787670F8}"/>
    <cellStyle name="Normal 5 2 3 3 3 2 2 3" xfId="24243" xr:uid="{7009C549-8F8D-4C6B-AE1C-F733E47A4860}"/>
    <cellStyle name="Normal 5 2 3 3 3 2 3" xfId="11585" xr:uid="{0B9E086F-D501-4D9D-9277-7992D1503998}"/>
    <cellStyle name="Normal 5 2 3 3 3 2 4" xfId="20026" xr:uid="{A72F83CE-2E09-4B0C-A333-6A0CCD9419F1}"/>
    <cellStyle name="Normal 5 2 3 3 3 3" xfId="5216" xr:uid="{00000000-0005-0000-0000-00009C180000}"/>
    <cellStyle name="Normal 5 2 3 3 3 3 2" xfId="13658" xr:uid="{362E32B7-F2D5-41E9-A0A6-512345A59248}"/>
    <cellStyle name="Normal 5 2 3 3 3 3 3" xfId="22098" xr:uid="{5ECF8939-2C42-42C4-B77F-6947C41E0EF0}"/>
    <cellStyle name="Normal 5 2 3 3 3 4" xfId="9440" xr:uid="{F70D98E6-4FB2-47B8-8706-3E7F9CE79030}"/>
    <cellStyle name="Normal 5 2 3 3 3 5" xfId="17881" xr:uid="{978C2A4E-5020-4652-A701-4CE4EBB270E5}"/>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16216" xr:uid="{71D88F27-A8A8-468E-A39B-4DB53D2C8F33}"/>
    <cellStyle name="Normal 5 2 3 3 4 2 2 3" xfId="24656" xr:uid="{90D1FA90-7D53-4E5A-955B-F69F9A4452BC}"/>
    <cellStyle name="Normal 5 2 3 3 4 2 3" xfId="11998" xr:uid="{89626556-72B8-4A0D-B8B9-FF1AD119B793}"/>
    <cellStyle name="Normal 5 2 3 3 4 2 4" xfId="20439" xr:uid="{45B0CF41-1CA3-4DCB-839F-FB9D19A4861E}"/>
    <cellStyle name="Normal 5 2 3 3 4 3" xfId="5629" xr:uid="{00000000-0005-0000-0000-0000A0180000}"/>
    <cellStyle name="Normal 5 2 3 3 4 3 2" xfId="14071" xr:uid="{50052021-4404-4372-91EC-548FDC3F15B5}"/>
    <cellStyle name="Normal 5 2 3 3 4 3 3" xfId="22511" xr:uid="{04EC398E-160A-42BA-9936-0F4107C17B54}"/>
    <cellStyle name="Normal 5 2 3 3 4 4" xfId="9853" xr:uid="{6AB3F5C6-0372-4E23-B05B-C8875D1FFDDF}"/>
    <cellStyle name="Normal 5 2 3 3 4 5" xfId="18294" xr:uid="{83043E93-B4D6-4C57-AF05-78C5442D8EC9}"/>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16629" xr:uid="{C08FB32D-40F2-4EB3-B331-3275AF2F25B6}"/>
    <cellStyle name="Normal 5 2 3 3 5 2 2 3" xfId="25069" xr:uid="{8A6E35C3-D172-46CF-9AA1-DE3F398BD574}"/>
    <cellStyle name="Normal 5 2 3 3 5 2 3" xfId="12411" xr:uid="{07F4250A-054B-4B63-98F7-7578EA2EDC6C}"/>
    <cellStyle name="Normal 5 2 3 3 5 2 4" xfId="20852" xr:uid="{406EDDBB-2381-48BE-8863-3CC2F81BCE8D}"/>
    <cellStyle name="Normal 5 2 3 3 5 3" xfId="6042" xr:uid="{00000000-0005-0000-0000-0000A4180000}"/>
    <cellStyle name="Normal 5 2 3 3 5 3 2" xfId="14484" xr:uid="{CBA60826-15D3-453F-A711-02C662283B94}"/>
    <cellStyle name="Normal 5 2 3 3 5 3 3" xfId="22924" xr:uid="{FF3775D1-884A-466C-9F40-5FCAEF26E7C4}"/>
    <cellStyle name="Normal 5 2 3 3 5 4" xfId="10266" xr:uid="{7568D403-54B9-4C82-A7B1-95B44A183175}"/>
    <cellStyle name="Normal 5 2 3 3 5 5" xfId="18707" xr:uid="{E64EC151-664A-42FA-A79A-53B8E5240E70}"/>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17042" xr:uid="{6DDFDBAD-D238-4040-8426-06A11151A217}"/>
    <cellStyle name="Normal 5 2 3 3 6 2 2 3" xfId="25482" xr:uid="{567379B9-7A89-49F3-A9B3-61325C6AC140}"/>
    <cellStyle name="Normal 5 2 3 3 6 2 3" xfId="12824" xr:uid="{15586574-068D-419B-AD62-0ECAB6A2A285}"/>
    <cellStyle name="Normal 5 2 3 3 6 2 4" xfId="21265" xr:uid="{4FCD7291-C440-426B-91E1-4F7BFDB03E32}"/>
    <cellStyle name="Normal 5 2 3 3 6 3" xfId="6455" xr:uid="{00000000-0005-0000-0000-0000A8180000}"/>
    <cellStyle name="Normal 5 2 3 3 6 3 2" xfId="14897" xr:uid="{6F00558D-F9C5-446B-8AB2-BD111C985B7D}"/>
    <cellStyle name="Normal 5 2 3 3 6 3 3" xfId="23337" xr:uid="{B8FB4E4F-539D-402D-A67E-01807A7A61A8}"/>
    <cellStyle name="Normal 5 2 3 3 6 4" xfId="10679" xr:uid="{C437B872-53AD-41A9-8EAD-AB652E15B235}"/>
    <cellStyle name="Normal 5 2 3 3 6 5" xfId="19120" xr:uid="{61A871A8-2D16-492A-BCA6-3952D52A9886}"/>
    <cellStyle name="Normal 5 2 3 3 7" xfId="2584" xr:uid="{00000000-0005-0000-0000-0000A9180000}"/>
    <cellStyle name="Normal 5 2 3 3 7 2" xfId="6868" xr:uid="{00000000-0005-0000-0000-0000AA180000}"/>
    <cellStyle name="Normal 5 2 3 3 7 2 2" xfId="15310" xr:uid="{4D5D4015-C76D-46D0-8D05-08B14D906209}"/>
    <cellStyle name="Normal 5 2 3 3 7 2 3" xfId="23750" xr:uid="{E8CA8B2C-7AD5-41BE-9B2F-EF4D6330E420}"/>
    <cellStyle name="Normal 5 2 3 3 7 3" xfId="11092" xr:uid="{0087D409-8811-4573-BA98-10F2B2A11B0E}"/>
    <cellStyle name="Normal 5 2 3 3 7 4" xfId="19533" xr:uid="{89FB8393-72A0-4FAA-970D-DB33CDE6F9B6}"/>
    <cellStyle name="Normal 5 2 3 3 8" xfId="4803" xr:uid="{00000000-0005-0000-0000-0000AB180000}"/>
    <cellStyle name="Normal 5 2 3 3 8 2" xfId="13245" xr:uid="{84C90EDB-A607-478D-B607-57C32184E6A9}"/>
    <cellStyle name="Normal 5 2 3 3 8 3" xfId="21685" xr:uid="{87F48983-DA91-48E4-94EF-4A79543DCA41}"/>
    <cellStyle name="Normal 5 2 3 3 9" xfId="9027" xr:uid="{13E3658B-390E-408F-AED2-4A3BCC9DA6AD}"/>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15805" xr:uid="{3A25CEC8-3EFF-40EC-B5B3-C081AE57CAE8}"/>
    <cellStyle name="Normal 5 2 3 4 2 2 2 3" xfId="24245" xr:uid="{74DB0600-A97E-4C6D-A527-98F64C3E603A}"/>
    <cellStyle name="Normal 5 2 3 4 2 2 3" xfId="11587" xr:uid="{576FE62F-E881-46FB-A6B3-7CDD73545FB6}"/>
    <cellStyle name="Normal 5 2 3 4 2 2 4" xfId="20028" xr:uid="{84CD79E7-FDCE-4374-B975-D4C53E675148}"/>
    <cellStyle name="Normal 5 2 3 4 2 3" xfId="5218" xr:uid="{00000000-0005-0000-0000-0000B0180000}"/>
    <cellStyle name="Normal 5 2 3 4 2 3 2" xfId="13660" xr:uid="{10C1791E-0735-4A38-8A39-3683C3ED6632}"/>
    <cellStyle name="Normal 5 2 3 4 2 3 3" xfId="22100" xr:uid="{FEE72D9F-D136-4AD0-AD6D-DC4E1436810A}"/>
    <cellStyle name="Normal 5 2 3 4 2 4" xfId="9442" xr:uid="{90A5EDBA-F186-4EE5-A7AB-C2794CD06375}"/>
    <cellStyle name="Normal 5 2 3 4 2 5" xfId="17883" xr:uid="{4D52085A-4353-4BB9-BA0B-C2CBAE583D6A}"/>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16218" xr:uid="{17866139-05D8-4232-85CC-1661B9A401F2}"/>
    <cellStyle name="Normal 5 2 3 4 3 2 2 3" xfId="24658" xr:uid="{57459DB8-94EB-47AB-961B-B73DB508BCBA}"/>
    <cellStyle name="Normal 5 2 3 4 3 2 3" xfId="12000" xr:uid="{AF486C19-F647-4021-BED7-092DA5F9EDB7}"/>
    <cellStyle name="Normal 5 2 3 4 3 2 4" xfId="20441" xr:uid="{557E703F-3DA1-4537-8C10-572B8DB739D1}"/>
    <cellStyle name="Normal 5 2 3 4 3 3" xfId="5631" xr:uid="{00000000-0005-0000-0000-0000B4180000}"/>
    <cellStyle name="Normal 5 2 3 4 3 3 2" xfId="14073" xr:uid="{63517682-0F58-4AEB-8D09-CCCA97A8608D}"/>
    <cellStyle name="Normal 5 2 3 4 3 3 3" xfId="22513" xr:uid="{053D2EA7-1876-4718-9EC1-20C1DCFEF245}"/>
    <cellStyle name="Normal 5 2 3 4 3 4" xfId="9855" xr:uid="{3C9B3E3F-7236-48F5-9604-6B33E40E8053}"/>
    <cellStyle name="Normal 5 2 3 4 3 5" xfId="18296" xr:uid="{ABE79045-4D3A-4BCE-A825-1C6B060EA753}"/>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16631" xr:uid="{841C04A6-0832-4F33-99C0-B61472062D39}"/>
    <cellStyle name="Normal 5 2 3 4 4 2 2 3" xfId="25071" xr:uid="{0F44E79E-7475-4E66-B57B-18CAAD63B03D}"/>
    <cellStyle name="Normal 5 2 3 4 4 2 3" xfId="12413" xr:uid="{76B0275A-2C82-42DB-A5E9-1598D036D10B}"/>
    <cellStyle name="Normal 5 2 3 4 4 2 4" xfId="20854" xr:uid="{A995A7AF-1891-4A99-B7A6-2B2F17661230}"/>
    <cellStyle name="Normal 5 2 3 4 4 3" xfId="6044" xr:uid="{00000000-0005-0000-0000-0000B8180000}"/>
    <cellStyle name="Normal 5 2 3 4 4 3 2" xfId="14486" xr:uid="{52418066-6F21-43D8-8D72-20086D4BCECC}"/>
    <cellStyle name="Normal 5 2 3 4 4 3 3" xfId="22926" xr:uid="{9416380F-C51C-4877-ACE8-BF04B3957D92}"/>
    <cellStyle name="Normal 5 2 3 4 4 4" xfId="10268" xr:uid="{908739B3-53FF-4A35-82B9-BD4419BB222D}"/>
    <cellStyle name="Normal 5 2 3 4 4 5" xfId="18709" xr:uid="{5BCA30F4-C53E-4272-88C8-1F906AD1C5C2}"/>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17044" xr:uid="{9AFACBBC-5CB6-4D73-963A-E228AE5D374A}"/>
    <cellStyle name="Normal 5 2 3 4 5 2 2 3" xfId="25484" xr:uid="{8BC2A1E5-9439-4DB9-A786-E57F4DFE1FF3}"/>
    <cellStyle name="Normal 5 2 3 4 5 2 3" xfId="12826" xr:uid="{0604F90D-222C-4D52-A743-46DC1415ACC6}"/>
    <cellStyle name="Normal 5 2 3 4 5 2 4" xfId="21267" xr:uid="{C08CCD45-A66B-49AD-84F1-12BBD407733A}"/>
    <cellStyle name="Normal 5 2 3 4 5 3" xfId="6457" xr:uid="{00000000-0005-0000-0000-0000BC180000}"/>
    <cellStyle name="Normal 5 2 3 4 5 3 2" xfId="14899" xr:uid="{3FB3B973-1876-4485-ACE0-5A1CC550723D}"/>
    <cellStyle name="Normal 5 2 3 4 5 3 3" xfId="23339" xr:uid="{3CEBE070-9FAF-4F88-9A64-80E65C7448D9}"/>
    <cellStyle name="Normal 5 2 3 4 5 4" xfId="10681" xr:uid="{C16CE8C8-2FD0-4D13-AAC0-B895336EAD3F}"/>
    <cellStyle name="Normal 5 2 3 4 5 5" xfId="19122" xr:uid="{46E785BD-BE9C-4A42-9DA5-90C54A2892D9}"/>
    <cellStyle name="Normal 5 2 3 4 6" xfId="2586" xr:uid="{00000000-0005-0000-0000-0000BD180000}"/>
    <cellStyle name="Normal 5 2 3 4 6 2" xfId="6870" xr:uid="{00000000-0005-0000-0000-0000BE180000}"/>
    <cellStyle name="Normal 5 2 3 4 6 2 2" xfId="15312" xr:uid="{75A7C935-84A2-4A1A-BF9A-3E5A4753E2D9}"/>
    <cellStyle name="Normal 5 2 3 4 6 2 3" xfId="23752" xr:uid="{9897318C-39C9-4149-A216-4455CD800938}"/>
    <cellStyle name="Normal 5 2 3 4 6 3" xfId="11094" xr:uid="{17786471-4C11-4180-98D0-6C7279F37DFC}"/>
    <cellStyle name="Normal 5 2 3 4 6 4" xfId="19535" xr:uid="{3679A808-75FB-4DAC-B0F2-784DD7FB96EF}"/>
    <cellStyle name="Normal 5 2 3 4 7" xfId="4805" xr:uid="{00000000-0005-0000-0000-0000BF180000}"/>
    <cellStyle name="Normal 5 2 3 4 7 2" xfId="13247" xr:uid="{9D103D15-414F-4FBB-8EEA-A9CD8B5386FD}"/>
    <cellStyle name="Normal 5 2 3 4 7 3" xfId="21687" xr:uid="{4BED5F2F-5A9A-463D-BCB3-5C469E30F0F4}"/>
    <cellStyle name="Normal 5 2 3 4 8" xfId="9029" xr:uid="{FCA100AF-4068-467F-9093-10C8D0F7DFB1}"/>
    <cellStyle name="Normal 5 2 3 4 9" xfId="17470" xr:uid="{EFA200D4-A4D3-4DF5-8100-738D384966E8}"/>
    <cellStyle name="Normal 5 2 3 5" xfId="898" xr:uid="{00000000-0005-0000-0000-0000C0180000}"/>
    <cellStyle name="Normal 5 2 3 5 2" xfId="3133" xr:uid="{00000000-0005-0000-0000-0000C1180000}"/>
    <cellStyle name="Normal 5 2 3 5 2 2" xfId="7356" xr:uid="{00000000-0005-0000-0000-0000C2180000}"/>
    <cellStyle name="Normal 5 2 3 5 2 2 2" xfId="15798" xr:uid="{72980F67-B44A-4586-A20D-1B3F782ED0D6}"/>
    <cellStyle name="Normal 5 2 3 5 2 2 3" xfId="24238" xr:uid="{5DCE4218-43DA-4D8F-B41F-41C6BBC50A7F}"/>
    <cellStyle name="Normal 5 2 3 5 2 3" xfId="11580" xr:uid="{EE7B31F2-BC62-4D4E-BF92-DEFD359AF868}"/>
    <cellStyle name="Normal 5 2 3 5 2 4" xfId="20021" xr:uid="{8B6C87D8-0352-48DB-AE18-B8A58849C0F9}"/>
    <cellStyle name="Normal 5 2 3 5 3" xfId="5211" xr:uid="{00000000-0005-0000-0000-0000C3180000}"/>
    <cellStyle name="Normal 5 2 3 5 3 2" xfId="13653" xr:uid="{A524FBDC-9F9A-407E-AE61-95F9C7D425C3}"/>
    <cellStyle name="Normal 5 2 3 5 3 3" xfId="22093" xr:uid="{C7B90765-BC7A-4AB5-91A4-475573FE2954}"/>
    <cellStyle name="Normal 5 2 3 5 4" xfId="9435" xr:uid="{3AA1902E-F8BC-49C9-A884-9DBFF4C5A770}"/>
    <cellStyle name="Normal 5 2 3 5 5" xfId="17876" xr:uid="{AFD36B9D-8D0F-40D6-9985-FE46ADDC465C}"/>
    <cellStyle name="Normal 5 2 3 6" xfId="1316" xr:uid="{00000000-0005-0000-0000-0000C4180000}"/>
    <cellStyle name="Normal 5 2 3 6 2" xfId="3546" xr:uid="{00000000-0005-0000-0000-0000C5180000}"/>
    <cellStyle name="Normal 5 2 3 6 2 2" xfId="7769" xr:uid="{00000000-0005-0000-0000-0000C6180000}"/>
    <cellStyle name="Normal 5 2 3 6 2 2 2" xfId="16211" xr:uid="{BD4BA16B-943B-4131-9AF0-0C868D02FE21}"/>
    <cellStyle name="Normal 5 2 3 6 2 2 3" xfId="24651" xr:uid="{E26A5A6B-B77A-4D80-B100-495E4EAD3D40}"/>
    <cellStyle name="Normal 5 2 3 6 2 3" xfId="11993" xr:uid="{3D5F41DE-8303-441A-A33D-48F3F8F6B89E}"/>
    <cellStyle name="Normal 5 2 3 6 2 4" xfId="20434" xr:uid="{2E7D71C7-CA35-410F-AA71-F2ECCFB568C8}"/>
    <cellStyle name="Normal 5 2 3 6 3" xfId="5624" xr:uid="{00000000-0005-0000-0000-0000C7180000}"/>
    <cellStyle name="Normal 5 2 3 6 3 2" xfId="14066" xr:uid="{D37C9950-BF0D-4BEE-9466-1C9367143154}"/>
    <cellStyle name="Normal 5 2 3 6 3 3" xfId="22506" xr:uid="{973EAFBC-8766-4B7D-8FDA-9CC4B03E525D}"/>
    <cellStyle name="Normal 5 2 3 6 4" xfId="9848" xr:uid="{5F07CC52-0372-4D8A-84A1-77EDC746FEDB}"/>
    <cellStyle name="Normal 5 2 3 6 5" xfId="18289" xr:uid="{DA48B4EF-8490-48B3-85E5-5B21ACDC6007}"/>
    <cellStyle name="Normal 5 2 3 7" xfId="1729" xr:uid="{00000000-0005-0000-0000-0000C8180000}"/>
    <cellStyle name="Normal 5 2 3 7 2" xfId="3959" xr:uid="{00000000-0005-0000-0000-0000C9180000}"/>
    <cellStyle name="Normal 5 2 3 7 2 2" xfId="8182" xr:uid="{00000000-0005-0000-0000-0000CA180000}"/>
    <cellStyle name="Normal 5 2 3 7 2 2 2" xfId="16624" xr:uid="{85E9B34C-C5B8-434C-95F4-0BD9779C26BE}"/>
    <cellStyle name="Normal 5 2 3 7 2 2 3" xfId="25064" xr:uid="{D65976CE-1BE5-4EFF-89A2-560665064078}"/>
    <cellStyle name="Normal 5 2 3 7 2 3" xfId="12406" xr:uid="{95FB5474-22BD-4E4C-A86A-8899A379A213}"/>
    <cellStyle name="Normal 5 2 3 7 2 4" xfId="20847" xr:uid="{D58371C1-D9E6-497E-89FF-652BE2777416}"/>
    <cellStyle name="Normal 5 2 3 7 3" xfId="6037" xr:uid="{00000000-0005-0000-0000-0000CB180000}"/>
    <cellStyle name="Normal 5 2 3 7 3 2" xfId="14479" xr:uid="{CCEA6A2C-6BAF-4AAC-9DC0-D360CBED7CCA}"/>
    <cellStyle name="Normal 5 2 3 7 3 3" xfId="22919" xr:uid="{CC7F9588-AD04-449F-9AD6-C7B04A24CC34}"/>
    <cellStyle name="Normal 5 2 3 7 4" xfId="10261" xr:uid="{5D2DD8FB-94A5-49F7-96CD-5EAD241C630A}"/>
    <cellStyle name="Normal 5 2 3 7 5" xfId="18702" xr:uid="{6E2762F1-D628-4DEA-91FF-D99A7C026EE4}"/>
    <cellStyle name="Normal 5 2 3 8" xfId="2143" xr:uid="{00000000-0005-0000-0000-0000CC180000}"/>
    <cellStyle name="Normal 5 2 3 8 2" xfId="4372" xr:uid="{00000000-0005-0000-0000-0000CD180000}"/>
    <cellStyle name="Normal 5 2 3 8 2 2" xfId="8595" xr:uid="{00000000-0005-0000-0000-0000CE180000}"/>
    <cellStyle name="Normal 5 2 3 8 2 2 2" xfId="17037" xr:uid="{3DECE683-F4B8-4B1F-BD6A-5132DBB9A890}"/>
    <cellStyle name="Normal 5 2 3 8 2 2 3" xfId="25477" xr:uid="{2D3D59A4-AB53-47DD-A1D6-90BA1F4542C7}"/>
    <cellStyle name="Normal 5 2 3 8 2 3" xfId="12819" xr:uid="{1A628F92-1ACF-4C21-9D7D-2FBEA8D2DCD2}"/>
    <cellStyle name="Normal 5 2 3 8 2 4" xfId="21260" xr:uid="{6091287B-D934-45EA-941D-E80EECA17D29}"/>
    <cellStyle name="Normal 5 2 3 8 3" xfId="6450" xr:uid="{00000000-0005-0000-0000-0000CF180000}"/>
    <cellStyle name="Normal 5 2 3 8 3 2" xfId="14892" xr:uid="{3F5D9027-3AC3-4C14-8954-042CB1BC0F88}"/>
    <cellStyle name="Normal 5 2 3 8 3 3" xfId="23332" xr:uid="{2CD1B7D3-2B6A-4401-8F0A-E7D0BB4992F2}"/>
    <cellStyle name="Normal 5 2 3 8 4" xfId="10674" xr:uid="{37B32C08-AE9E-4E36-AA5E-3755CCFD1A31}"/>
    <cellStyle name="Normal 5 2 3 8 5" xfId="19115" xr:uid="{BEF9D723-3575-4738-9847-DE4B40135254}"/>
    <cellStyle name="Normal 5 2 3 9" xfId="2579" xr:uid="{00000000-0005-0000-0000-0000D0180000}"/>
    <cellStyle name="Normal 5 2 3 9 2" xfId="6863" xr:uid="{00000000-0005-0000-0000-0000D1180000}"/>
    <cellStyle name="Normal 5 2 3 9 2 2" xfId="15305" xr:uid="{D8C66E34-B1A9-4100-BE19-0C23D2A8A12A}"/>
    <cellStyle name="Normal 5 2 3 9 2 3" xfId="23745" xr:uid="{925B56F8-B5F1-4D14-8826-FF929FB26078}"/>
    <cellStyle name="Normal 5 2 3 9 3" xfId="11087" xr:uid="{E547ACFC-983A-47BF-A63B-8D50950774AB}"/>
    <cellStyle name="Normal 5 2 3 9 4" xfId="19528" xr:uid="{4CE9F90F-1458-4F4F-986C-829B416F39C1}"/>
    <cellStyle name="Normal 5 2 4" xfId="432" xr:uid="{00000000-0005-0000-0000-0000D2180000}"/>
    <cellStyle name="Normal 5 2 4 10" xfId="9030" xr:uid="{A8F49AEA-2065-4D43-8E15-931E904F35BB}"/>
    <cellStyle name="Normal 5 2 4 11" xfId="17471" xr:uid="{40A1EEEA-C0E2-4D68-B610-100B211F5E0B}"/>
    <cellStyle name="Normal 5 2 4 2" xfId="433" xr:uid="{00000000-0005-0000-0000-0000D3180000}"/>
    <cellStyle name="Normal 5 2 4 2 10" xfId="17472" xr:uid="{545238A7-A54D-4A2D-812A-C3EF51D4206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15808" xr:uid="{0D9AC9B9-F49C-46DF-844A-08911F00B761}"/>
    <cellStyle name="Normal 5 2 4 2 2 2 2 2 3" xfId="24248" xr:uid="{1C177C72-0E93-4D87-9BD2-90228E903822}"/>
    <cellStyle name="Normal 5 2 4 2 2 2 2 3" xfId="11590" xr:uid="{FACC9F05-017C-42A3-84FB-5BA28895896B}"/>
    <cellStyle name="Normal 5 2 4 2 2 2 2 4" xfId="20031" xr:uid="{E4F9CB01-7147-47D7-AE01-D23DFE8D8BC7}"/>
    <cellStyle name="Normal 5 2 4 2 2 2 3" xfId="5221" xr:uid="{00000000-0005-0000-0000-0000D8180000}"/>
    <cellStyle name="Normal 5 2 4 2 2 2 3 2" xfId="13663" xr:uid="{60933AC1-2583-4345-BD65-480849038E2C}"/>
    <cellStyle name="Normal 5 2 4 2 2 2 3 3" xfId="22103" xr:uid="{3116FE2C-01E9-4005-9225-606B64527F3E}"/>
    <cellStyle name="Normal 5 2 4 2 2 2 4" xfId="9445" xr:uid="{2FEA4A66-074C-4506-B7B1-3F66629E42AC}"/>
    <cellStyle name="Normal 5 2 4 2 2 2 5" xfId="17886" xr:uid="{5CBFEAFD-AF0F-481E-BB7E-C3614DE9B01A}"/>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16221" xr:uid="{A9D2AA86-CD32-46E8-8F07-DA822E77DE03}"/>
    <cellStyle name="Normal 5 2 4 2 2 3 2 2 3" xfId="24661" xr:uid="{23D39174-C7AB-4DFA-B9F2-0E07857D84E3}"/>
    <cellStyle name="Normal 5 2 4 2 2 3 2 3" xfId="12003" xr:uid="{D1277FE7-1D92-4091-8846-9A9E51A53086}"/>
    <cellStyle name="Normal 5 2 4 2 2 3 2 4" xfId="20444" xr:uid="{28C96838-9E4E-40FE-B710-DEA5A646F3D0}"/>
    <cellStyle name="Normal 5 2 4 2 2 3 3" xfId="5634" xr:uid="{00000000-0005-0000-0000-0000DC180000}"/>
    <cellStyle name="Normal 5 2 4 2 2 3 3 2" xfId="14076" xr:uid="{82515BC7-DE7D-45B7-8B68-7ADAF03752F8}"/>
    <cellStyle name="Normal 5 2 4 2 2 3 3 3" xfId="22516" xr:uid="{6DCE7F0C-CFAB-44A1-8F85-6F2FA0721C21}"/>
    <cellStyle name="Normal 5 2 4 2 2 3 4" xfId="9858" xr:uid="{42D649F2-3E57-4314-8A2A-64A0E723C57E}"/>
    <cellStyle name="Normal 5 2 4 2 2 3 5" xfId="18299" xr:uid="{8E2EDC98-50BE-4939-9D31-D8AB221CED5C}"/>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16634" xr:uid="{CBF21CD4-1FDB-4470-ADA6-9848F6F9C291}"/>
    <cellStyle name="Normal 5 2 4 2 2 4 2 2 3" xfId="25074" xr:uid="{7F4C573D-54A3-403E-9526-5CBC9AA7369F}"/>
    <cellStyle name="Normal 5 2 4 2 2 4 2 3" xfId="12416" xr:uid="{3118924A-6793-42BF-8937-4DDF3D810CB5}"/>
    <cellStyle name="Normal 5 2 4 2 2 4 2 4" xfId="20857" xr:uid="{5207F215-F1FF-417C-8208-BC0F2768B3C4}"/>
    <cellStyle name="Normal 5 2 4 2 2 4 3" xfId="6047" xr:uid="{00000000-0005-0000-0000-0000E0180000}"/>
    <cellStyle name="Normal 5 2 4 2 2 4 3 2" xfId="14489" xr:uid="{8C65AC54-4F08-4EC6-B9C8-B1461A49ADE4}"/>
    <cellStyle name="Normal 5 2 4 2 2 4 3 3" xfId="22929" xr:uid="{7B640569-94FF-436E-B9CB-1BB08109165F}"/>
    <cellStyle name="Normal 5 2 4 2 2 4 4" xfId="10271" xr:uid="{B57C0A5D-02FA-4367-91B4-AF7FC8870D08}"/>
    <cellStyle name="Normal 5 2 4 2 2 4 5" xfId="18712" xr:uid="{9F0DC3F6-3211-403F-87A7-12136F1BE74F}"/>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17047" xr:uid="{38BF72CD-DC30-4458-8AFE-63FB12A6CB40}"/>
    <cellStyle name="Normal 5 2 4 2 2 5 2 2 3" xfId="25487" xr:uid="{22F8D3D6-0B34-4F11-A031-78CF5F7C90A1}"/>
    <cellStyle name="Normal 5 2 4 2 2 5 2 3" xfId="12829" xr:uid="{08F30AFE-7DC9-4F80-880B-315A852B34CE}"/>
    <cellStyle name="Normal 5 2 4 2 2 5 2 4" xfId="21270" xr:uid="{A22C7D1E-63E3-4BB5-BDF6-E96C4EF24359}"/>
    <cellStyle name="Normal 5 2 4 2 2 5 3" xfId="6460" xr:uid="{00000000-0005-0000-0000-0000E4180000}"/>
    <cellStyle name="Normal 5 2 4 2 2 5 3 2" xfId="14902" xr:uid="{E7550C14-23A4-4FC1-96D5-C48D058E6DC8}"/>
    <cellStyle name="Normal 5 2 4 2 2 5 3 3" xfId="23342" xr:uid="{8E92246F-51D0-4D76-91FB-913E65976151}"/>
    <cellStyle name="Normal 5 2 4 2 2 5 4" xfId="10684" xr:uid="{5C9020B4-55EE-4EC5-8155-384B1B4D4CAE}"/>
    <cellStyle name="Normal 5 2 4 2 2 5 5" xfId="19125" xr:uid="{CA94BDC1-663D-4C05-921A-690662B66F50}"/>
    <cellStyle name="Normal 5 2 4 2 2 6" xfId="2589" xr:uid="{00000000-0005-0000-0000-0000E5180000}"/>
    <cellStyle name="Normal 5 2 4 2 2 6 2" xfId="6873" xr:uid="{00000000-0005-0000-0000-0000E6180000}"/>
    <cellStyle name="Normal 5 2 4 2 2 6 2 2" xfId="15315" xr:uid="{A80E0FDF-68DD-4655-9993-08B5A3D8DB48}"/>
    <cellStyle name="Normal 5 2 4 2 2 6 2 3" xfId="23755" xr:uid="{5A53EFEB-E6B3-408C-ACBF-6DA400708898}"/>
    <cellStyle name="Normal 5 2 4 2 2 6 3" xfId="11097" xr:uid="{BF0011AB-9FDA-47F1-83FC-1D8398B8080B}"/>
    <cellStyle name="Normal 5 2 4 2 2 6 4" xfId="19538" xr:uid="{E9E0D613-2319-4FF7-8B43-AF58DD33B5A1}"/>
    <cellStyle name="Normal 5 2 4 2 2 7" xfId="4808" xr:uid="{00000000-0005-0000-0000-0000E7180000}"/>
    <cellStyle name="Normal 5 2 4 2 2 7 2" xfId="13250" xr:uid="{1763EEA5-D59B-4E5E-B95C-BA6CA39E0022}"/>
    <cellStyle name="Normal 5 2 4 2 2 7 3" xfId="21690" xr:uid="{A966C899-3188-46E2-99E7-EE05AC55B42F}"/>
    <cellStyle name="Normal 5 2 4 2 2 8" xfId="9032" xr:uid="{A447FDAF-7983-4BD8-9ACE-7EA60932FFFD}"/>
    <cellStyle name="Normal 5 2 4 2 2 9" xfId="17473" xr:uid="{1F67F5F6-1A6F-4152-805B-4CF3676599D2}"/>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15807" xr:uid="{1A30F02A-B945-4EDE-B743-3A652169FBA0}"/>
    <cellStyle name="Normal 5 2 4 2 3 2 2 3" xfId="24247" xr:uid="{6357EC6E-A4FF-4A5D-A304-2B7195BB8DA7}"/>
    <cellStyle name="Normal 5 2 4 2 3 2 3" xfId="11589" xr:uid="{4D272A23-C50E-4A85-8504-6D840AF8B4F5}"/>
    <cellStyle name="Normal 5 2 4 2 3 2 4" xfId="20030" xr:uid="{E77364FF-A25E-4D6A-B79F-0615F367CBF1}"/>
    <cellStyle name="Normal 5 2 4 2 3 3" xfId="5220" xr:uid="{00000000-0005-0000-0000-0000EB180000}"/>
    <cellStyle name="Normal 5 2 4 2 3 3 2" xfId="13662" xr:uid="{4DDB3084-7B6A-41E2-AACF-FE8D241C55E0}"/>
    <cellStyle name="Normal 5 2 4 2 3 3 3" xfId="22102" xr:uid="{827D77E2-C321-4986-9B81-A762A75EDF0E}"/>
    <cellStyle name="Normal 5 2 4 2 3 4" xfId="9444" xr:uid="{D393B539-650D-479E-83C5-6B332B2A4892}"/>
    <cellStyle name="Normal 5 2 4 2 3 5" xfId="17885" xr:uid="{167B42B0-436A-462D-814B-104AA87F0A6D}"/>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16220" xr:uid="{A0999F4C-E7E3-4BC1-9F46-647BA8594AEE}"/>
    <cellStyle name="Normal 5 2 4 2 4 2 2 3" xfId="24660" xr:uid="{06CDE8B4-14A9-43CA-ABE3-379AF41A5DA8}"/>
    <cellStyle name="Normal 5 2 4 2 4 2 3" xfId="12002" xr:uid="{76D34BF4-6B0A-44C6-850B-EAA7310F4BBC}"/>
    <cellStyle name="Normal 5 2 4 2 4 2 4" xfId="20443" xr:uid="{EC591BE9-1329-4D2F-819A-9D602E10E2F0}"/>
    <cellStyle name="Normal 5 2 4 2 4 3" xfId="5633" xr:uid="{00000000-0005-0000-0000-0000EF180000}"/>
    <cellStyle name="Normal 5 2 4 2 4 3 2" xfId="14075" xr:uid="{6D4CA27C-5222-4DCD-8849-EA279A6035F8}"/>
    <cellStyle name="Normal 5 2 4 2 4 3 3" xfId="22515" xr:uid="{E178AA4F-3F89-49A2-B489-4A2D38CEC406}"/>
    <cellStyle name="Normal 5 2 4 2 4 4" xfId="9857" xr:uid="{59C3D20D-C8CA-4829-A4B8-DBAA9E3FDE3F}"/>
    <cellStyle name="Normal 5 2 4 2 4 5" xfId="18298" xr:uid="{F6BF66D7-FBDE-4E09-833F-F00E291679BB}"/>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16633" xr:uid="{1830E720-B9D8-4C8A-8663-2105D1D0BAA1}"/>
    <cellStyle name="Normal 5 2 4 2 5 2 2 3" xfId="25073" xr:uid="{853D154A-12C8-4132-B623-6275973A7BAE}"/>
    <cellStyle name="Normal 5 2 4 2 5 2 3" xfId="12415" xr:uid="{8DE94634-0B40-4133-851B-A1681E47DBD7}"/>
    <cellStyle name="Normal 5 2 4 2 5 2 4" xfId="20856" xr:uid="{295B7855-3A27-42E0-B659-8A4FA6BBC7A4}"/>
    <cellStyle name="Normal 5 2 4 2 5 3" xfId="6046" xr:uid="{00000000-0005-0000-0000-0000F3180000}"/>
    <cellStyle name="Normal 5 2 4 2 5 3 2" xfId="14488" xr:uid="{00A3F20C-E862-423F-91C6-567202089973}"/>
    <cellStyle name="Normal 5 2 4 2 5 3 3" xfId="22928" xr:uid="{2A8AC3EC-6714-4296-9B0F-D5AFF8895161}"/>
    <cellStyle name="Normal 5 2 4 2 5 4" xfId="10270" xr:uid="{626831BA-25A6-4B73-840E-2CC73C8B5A84}"/>
    <cellStyle name="Normal 5 2 4 2 5 5" xfId="18711" xr:uid="{16B2A71C-C716-4F6E-8279-D1EF91C212F9}"/>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17046" xr:uid="{58363A90-0E27-4E51-922B-047B71F144A0}"/>
    <cellStyle name="Normal 5 2 4 2 6 2 2 3" xfId="25486" xr:uid="{61473CB8-CA18-426A-8D4A-9FC6EA3EF79C}"/>
    <cellStyle name="Normal 5 2 4 2 6 2 3" xfId="12828" xr:uid="{68F8F46C-8996-4372-BE5E-277DFC488365}"/>
    <cellStyle name="Normal 5 2 4 2 6 2 4" xfId="21269" xr:uid="{9EE6E8DD-6085-49C2-90FB-A646B498442F}"/>
    <cellStyle name="Normal 5 2 4 2 6 3" xfId="6459" xr:uid="{00000000-0005-0000-0000-0000F7180000}"/>
    <cellStyle name="Normal 5 2 4 2 6 3 2" xfId="14901" xr:uid="{3D521FCC-3148-4660-A91A-128022CD69CE}"/>
    <cellStyle name="Normal 5 2 4 2 6 3 3" xfId="23341" xr:uid="{BF33B98E-EBC1-4C8C-A729-5BCCE83754E7}"/>
    <cellStyle name="Normal 5 2 4 2 6 4" xfId="10683" xr:uid="{585156A5-292B-439B-8B42-48B398839183}"/>
    <cellStyle name="Normal 5 2 4 2 6 5" xfId="19124" xr:uid="{455A7866-DA8C-4A4D-A071-9FE21316BE7F}"/>
    <cellStyle name="Normal 5 2 4 2 7" xfId="2588" xr:uid="{00000000-0005-0000-0000-0000F8180000}"/>
    <cellStyle name="Normal 5 2 4 2 7 2" xfId="6872" xr:uid="{00000000-0005-0000-0000-0000F9180000}"/>
    <cellStyle name="Normal 5 2 4 2 7 2 2" xfId="15314" xr:uid="{164C0DFC-7C5F-471A-AE0D-317EDAD29C38}"/>
    <cellStyle name="Normal 5 2 4 2 7 2 3" xfId="23754" xr:uid="{E15E35DA-E2EC-483C-82EA-440E7933C696}"/>
    <cellStyle name="Normal 5 2 4 2 7 3" xfId="11096" xr:uid="{654119B4-4B34-4312-9449-0749B152E193}"/>
    <cellStyle name="Normal 5 2 4 2 7 4" xfId="19537" xr:uid="{14539025-B067-483E-8EF1-FF285136A17C}"/>
    <cellStyle name="Normal 5 2 4 2 8" xfId="4807" xr:uid="{00000000-0005-0000-0000-0000FA180000}"/>
    <cellStyle name="Normal 5 2 4 2 8 2" xfId="13249" xr:uid="{D271B619-5C54-4E83-AB5C-14CE36151E6F}"/>
    <cellStyle name="Normal 5 2 4 2 8 3" xfId="21689" xr:uid="{26ACDACC-6F0C-4A8A-AD8C-C31F762FAF30}"/>
    <cellStyle name="Normal 5 2 4 2 9" xfId="9031" xr:uid="{883FECB6-F803-436A-A53E-221FB327DCE8}"/>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15809" xr:uid="{A0F50156-CAF5-4508-BB13-81CB8F815F08}"/>
    <cellStyle name="Normal 5 2 4 3 2 2 2 3" xfId="24249" xr:uid="{7FC56D7E-642A-4C17-A29F-C75D459B7EFB}"/>
    <cellStyle name="Normal 5 2 4 3 2 2 3" xfId="11591" xr:uid="{FD8629B1-FECF-4EC8-BC21-B3D599C272FF}"/>
    <cellStyle name="Normal 5 2 4 3 2 2 4" xfId="20032" xr:uid="{E81F4FE9-9D2D-40BB-8126-2F547A7E9881}"/>
    <cellStyle name="Normal 5 2 4 3 2 3" xfId="5222" xr:uid="{00000000-0005-0000-0000-0000FF180000}"/>
    <cellStyle name="Normal 5 2 4 3 2 3 2" xfId="13664" xr:uid="{EB4A4718-BBAA-433D-A249-B2E2C0B1386B}"/>
    <cellStyle name="Normal 5 2 4 3 2 3 3" xfId="22104" xr:uid="{82DDD700-D467-4754-BDF8-153101F0DD51}"/>
    <cellStyle name="Normal 5 2 4 3 2 4" xfId="9446" xr:uid="{3A93851B-01FF-444F-B6C8-B85B2A8572C2}"/>
    <cellStyle name="Normal 5 2 4 3 2 5" xfId="17887" xr:uid="{0D433507-50F4-4452-9C42-4095AECEDFB1}"/>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16222" xr:uid="{8544C3EB-1C98-456C-9DE5-FD705072EE13}"/>
    <cellStyle name="Normal 5 2 4 3 3 2 2 3" xfId="24662" xr:uid="{6F065A9B-CCC7-4FBD-8B08-24BE0CE4BB3C}"/>
    <cellStyle name="Normal 5 2 4 3 3 2 3" xfId="12004" xr:uid="{A95165CC-A34A-4EFE-8D1D-5DC1D1DF19A7}"/>
    <cellStyle name="Normal 5 2 4 3 3 2 4" xfId="20445" xr:uid="{208AC8FA-D539-4418-A6D6-35C6844EEC6C}"/>
    <cellStyle name="Normal 5 2 4 3 3 3" xfId="5635" xr:uid="{00000000-0005-0000-0000-000003190000}"/>
    <cellStyle name="Normal 5 2 4 3 3 3 2" xfId="14077" xr:uid="{AC4CA9E9-0756-4445-9B1C-D118D9BCAA40}"/>
    <cellStyle name="Normal 5 2 4 3 3 3 3" xfId="22517" xr:uid="{042F945B-F2EB-4079-A866-F272DEB731EE}"/>
    <cellStyle name="Normal 5 2 4 3 3 4" xfId="9859" xr:uid="{A2C4B4B6-564F-444B-A7B5-0AEA37CA3B54}"/>
    <cellStyle name="Normal 5 2 4 3 3 5" xfId="18300" xr:uid="{D54576C0-5CE5-4B85-914F-A55F7B843B34}"/>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16635" xr:uid="{915726F2-18B7-4D3A-88D0-FD63219F6134}"/>
    <cellStyle name="Normal 5 2 4 3 4 2 2 3" xfId="25075" xr:uid="{4F96B157-4E0A-4950-8BAF-12F0AB40B664}"/>
    <cellStyle name="Normal 5 2 4 3 4 2 3" xfId="12417" xr:uid="{2860C8E3-77EF-4DDE-81EE-E84EA910881A}"/>
    <cellStyle name="Normal 5 2 4 3 4 2 4" xfId="20858" xr:uid="{421215ED-C017-4857-9073-8686F591E873}"/>
    <cellStyle name="Normal 5 2 4 3 4 3" xfId="6048" xr:uid="{00000000-0005-0000-0000-000007190000}"/>
    <cellStyle name="Normal 5 2 4 3 4 3 2" xfId="14490" xr:uid="{9F5DB127-E3CB-40BD-93E1-5DD5BEF407BE}"/>
    <cellStyle name="Normal 5 2 4 3 4 3 3" xfId="22930" xr:uid="{152CB053-2724-45D0-A8A2-B5B336035758}"/>
    <cellStyle name="Normal 5 2 4 3 4 4" xfId="10272" xr:uid="{D6A8FCC4-0F3D-45AA-BBDE-EC5E82D40438}"/>
    <cellStyle name="Normal 5 2 4 3 4 5" xfId="18713" xr:uid="{D4B24229-D9CE-42FC-B773-9581C055FA9A}"/>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17048" xr:uid="{8719A19C-4648-40B5-84DF-FA39CBCAF992}"/>
    <cellStyle name="Normal 5 2 4 3 5 2 2 3" xfId="25488" xr:uid="{1DD5F9C1-600F-4DBC-8A9D-CC58C1DEDA8F}"/>
    <cellStyle name="Normal 5 2 4 3 5 2 3" xfId="12830" xr:uid="{95E0CFBD-9A9C-4D6D-825D-5EEFFF258BDB}"/>
    <cellStyle name="Normal 5 2 4 3 5 2 4" xfId="21271" xr:uid="{BDEAF2DF-5E97-4FB1-B6F3-F9F8B491FBF9}"/>
    <cellStyle name="Normal 5 2 4 3 5 3" xfId="6461" xr:uid="{00000000-0005-0000-0000-00000B190000}"/>
    <cellStyle name="Normal 5 2 4 3 5 3 2" xfId="14903" xr:uid="{FDEE762E-C8C0-4795-BDA4-59739BCD0469}"/>
    <cellStyle name="Normal 5 2 4 3 5 3 3" xfId="23343" xr:uid="{AC18C7F9-3E53-4D91-894F-8BB97071430B}"/>
    <cellStyle name="Normal 5 2 4 3 5 4" xfId="10685" xr:uid="{FC436EE3-D919-479A-B355-0ADC5A1FEABA}"/>
    <cellStyle name="Normal 5 2 4 3 5 5" xfId="19126" xr:uid="{63B71702-2C79-4CC1-8198-207A02FB96C7}"/>
    <cellStyle name="Normal 5 2 4 3 6" xfId="2590" xr:uid="{00000000-0005-0000-0000-00000C190000}"/>
    <cellStyle name="Normal 5 2 4 3 6 2" xfId="6874" xr:uid="{00000000-0005-0000-0000-00000D190000}"/>
    <cellStyle name="Normal 5 2 4 3 6 2 2" xfId="15316" xr:uid="{4CF6B59E-D546-401E-8349-40F3157EF837}"/>
    <cellStyle name="Normal 5 2 4 3 6 2 3" xfId="23756" xr:uid="{A920EBC6-04B8-474A-A977-7C816C7F807D}"/>
    <cellStyle name="Normal 5 2 4 3 6 3" xfId="11098" xr:uid="{9B648D87-8416-451A-9ADE-4F64F36A2053}"/>
    <cellStyle name="Normal 5 2 4 3 6 4" xfId="19539" xr:uid="{67DAA56F-F0FF-493C-985E-03812C34D125}"/>
    <cellStyle name="Normal 5 2 4 3 7" xfId="4809" xr:uid="{00000000-0005-0000-0000-00000E190000}"/>
    <cellStyle name="Normal 5 2 4 3 7 2" xfId="13251" xr:uid="{A87BEDBA-4392-4799-AD3C-EBCAD2232550}"/>
    <cellStyle name="Normal 5 2 4 3 7 3" xfId="21691" xr:uid="{FDDAD18D-21DD-4233-9DBF-D207C8931F4C}"/>
    <cellStyle name="Normal 5 2 4 3 8" xfId="9033" xr:uid="{FAEDB58C-F325-42B2-BFC1-2E452F9E02C8}"/>
    <cellStyle name="Normal 5 2 4 3 9" xfId="17474" xr:uid="{C59C4B63-D969-490F-9EE2-D1C1F5531585}"/>
    <cellStyle name="Normal 5 2 4 4" xfId="906" xr:uid="{00000000-0005-0000-0000-00000F190000}"/>
    <cellStyle name="Normal 5 2 4 4 2" xfId="3141" xr:uid="{00000000-0005-0000-0000-000010190000}"/>
    <cellStyle name="Normal 5 2 4 4 2 2" xfId="7364" xr:uid="{00000000-0005-0000-0000-000011190000}"/>
    <cellStyle name="Normal 5 2 4 4 2 2 2" xfId="15806" xr:uid="{F37F53A5-9675-47A7-83CF-1BCDD01A921B}"/>
    <cellStyle name="Normal 5 2 4 4 2 2 3" xfId="24246" xr:uid="{5DAC0360-E1E7-4421-B55E-C753CB7B7001}"/>
    <cellStyle name="Normal 5 2 4 4 2 3" xfId="11588" xr:uid="{848E0792-DCDF-403A-A14C-DE839D83F67B}"/>
    <cellStyle name="Normal 5 2 4 4 2 4" xfId="20029" xr:uid="{8C4CA835-B1D4-4CF0-94BC-74B48AC49A00}"/>
    <cellStyle name="Normal 5 2 4 4 3" xfId="5219" xr:uid="{00000000-0005-0000-0000-000012190000}"/>
    <cellStyle name="Normal 5 2 4 4 3 2" xfId="13661" xr:uid="{5D484E89-7FF9-42DA-8ECB-F4A1876BE2C5}"/>
    <cellStyle name="Normal 5 2 4 4 3 3" xfId="22101" xr:uid="{40821B5E-F82C-4D9D-A3E0-AE064ED04A73}"/>
    <cellStyle name="Normal 5 2 4 4 4" xfId="9443" xr:uid="{9BD25A22-A891-4BEA-BC46-286B20281897}"/>
    <cellStyle name="Normal 5 2 4 4 5" xfId="17884" xr:uid="{D60EED6E-3688-42C2-A1BF-45D6E5D7AED3}"/>
    <cellStyle name="Normal 5 2 4 5" xfId="1324" xr:uid="{00000000-0005-0000-0000-000013190000}"/>
    <cellStyle name="Normal 5 2 4 5 2" xfId="3554" xr:uid="{00000000-0005-0000-0000-000014190000}"/>
    <cellStyle name="Normal 5 2 4 5 2 2" xfId="7777" xr:uid="{00000000-0005-0000-0000-000015190000}"/>
    <cellStyle name="Normal 5 2 4 5 2 2 2" xfId="16219" xr:uid="{39F1EFA9-4C90-409D-858D-5819E54C9DCD}"/>
    <cellStyle name="Normal 5 2 4 5 2 2 3" xfId="24659" xr:uid="{6CD7E68B-DEA0-4D2D-B888-3E2153256B08}"/>
    <cellStyle name="Normal 5 2 4 5 2 3" xfId="12001" xr:uid="{096F8603-90E0-4E90-AD0A-7C37A92C597D}"/>
    <cellStyle name="Normal 5 2 4 5 2 4" xfId="20442" xr:uid="{68E9F33B-40FE-4232-A191-EE3D1178DA31}"/>
    <cellStyle name="Normal 5 2 4 5 3" xfId="5632" xr:uid="{00000000-0005-0000-0000-000016190000}"/>
    <cellStyle name="Normal 5 2 4 5 3 2" xfId="14074" xr:uid="{1A959C62-41F7-4BA6-B27C-DBCA079F4157}"/>
    <cellStyle name="Normal 5 2 4 5 3 3" xfId="22514" xr:uid="{9173A349-44BD-4A26-AD13-4A0780785902}"/>
    <cellStyle name="Normal 5 2 4 5 4" xfId="9856" xr:uid="{BFC87075-20E9-4493-9746-0732A99ECE04}"/>
    <cellStyle name="Normal 5 2 4 5 5" xfId="18297" xr:uid="{89AB23C3-6283-4EEF-9A04-D9DE54F516D3}"/>
    <cellStyle name="Normal 5 2 4 6" xfId="1737" xr:uid="{00000000-0005-0000-0000-000017190000}"/>
    <cellStyle name="Normal 5 2 4 6 2" xfId="3967" xr:uid="{00000000-0005-0000-0000-000018190000}"/>
    <cellStyle name="Normal 5 2 4 6 2 2" xfId="8190" xr:uid="{00000000-0005-0000-0000-000019190000}"/>
    <cellStyle name="Normal 5 2 4 6 2 2 2" xfId="16632" xr:uid="{9579CEF2-227E-45D4-8AFD-864C444CB5AE}"/>
    <cellStyle name="Normal 5 2 4 6 2 2 3" xfId="25072" xr:uid="{B015AF1A-7419-4263-A770-06975BBCE954}"/>
    <cellStyle name="Normal 5 2 4 6 2 3" xfId="12414" xr:uid="{6C4BB10C-5706-4FBE-9125-58AB15FC7F4D}"/>
    <cellStyle name="Normal 5 2 4 6 2 4" xfId="20855" xr:uid="{5F85AF0D-347A-4F44-956F-418AD6328638}"/>
    <cellStyle name="Normal 5 2 4 6 3" xfId="6045" xr:uid="{00000000-0005-0000-0000-00001A190000}"/>
    <cellStyle name="Normal 5 2 4 6 3 2" xfId="14487" xr:uid="{A6549CEB-0AC9-4EC1-811B-8A25C141371A}"/>
    <cellStyle name="Normal 5 2 4 6 3 3" xfId="22927" xr:uid="{6E883300-5C43-40D0-B3D2-F02DCF6AAF49}"/>
    <cellStyle name="Normal 5 2 4 6 4" xfId="10269" xr:uid="{36FE2F4E-A17E-48C2-8BEA-B1363277774C}"/>
    <cellStyle name="Normal 5 2 4 6 5" xfId="18710" xr:uid="{9ABAE7BC-F25F-4B97-8E94-E3068F806C0C}"/>
    <cellStyle name="Normal 5 2 4 7" xfId="2151" xr:uid="{00000000-0005-0000-0000-00001B190000}"/>
    <cellStyle name="Normal 5 2 4 7 2" xfId="4380" xr:uid="{00000000-0005-0000-0000-00001C190000}"/>
    <cellStyle name="Normal 5 2 4 7 2 2" xfId="8603" xr:uid="{00000000-0005-0000-0000-00001D190000}"/>
    <cellStyle name="Normal 5 2 4 7 2 2 2" xfId="17045" xr:uid="{8F65D2BB-1980-4912-8E2F-E0842327F1E6}"/>
    <cellStyle name="Normal 5 2 4 7 2 2 3" xfId="25485" xr:uid="{7B0B63D6-B54D-41B5-868A-71304462733A}"/>
    <cellStyle name="Normal 5 2 4 7 2 3" xfId="12827" xr:uid="{E7A29A59-12BB-4513-B7DC-D6B9A2774046}"/>
    <cellStyle name="Normal 5 2 4 7 2 4" xfId="21268" xr:uid="{0D9835E4-D3F7-4665-88AB-F80F04A10981}"/>
    <cellStyle name="Normal 5 2 4 7 3" xfId="6458" xr:uid="{00000000-0005-0000-0000-00001E190000}"/>
    <cellStyle name="Normal 5 2 4 7 3 2" xfId="14900" xr:uid="{76252617-0577-40C7-9217-784FFED170BC}"/>
    <cellStyle name="Normal 5 2 4 7 3 3" xfId="23340" xr:uid="{021B02A3-27D9-42C8-AE70-1B66F10118EA}"/>
    <cellStyle name="Normal 5 2 4 7 4" xfId="10682" xr:uid="{8F91A8E6-249C-466C-8DD6-08884923D39D}"/>
    <cellStyle name="Normal 5 2 4 7 5" xfId="19123" xr:uid="{0FFD45E6-9189-4020-BF55-36AE2768CA3A}"/>
    <cellStyle name="Normal 5 2 4 8" xfId="2587" xr:uid="{00000000-0005-0000-0000-00001F190000}"/>
    <cellStyle name="Normal 5 2 4 8 2" xfId="6871" xr:uid="{00000000-0005-0000-0000-000020190000}"/>
    <cellStyle name="Normal 5 2 4 8 2 2" xfId="15313" xr:uid="{431645CA-13DA-489C-A436-3C82D48109C8}"/>
    <cellStyle name="Normal 5 2 4 8 2 3" xfId="23753" xr:uid="{3B549FD5-9DB0-4990-91C1-36A7ABFC971E}"/>
    <cellStyle name="Normal 5 2 4 8 3" xfId="11095" xr:uid="{2355DF0A-7A4F-47A0-B689-1D96608E76EC}"/>
    <cellStyle name="Normal 5 2 4 8 4" xfId="19536" xr:uid="{66C06B7C-B4B2-4660-AC5E-55AB9790FF6A}"/>
    <cellStyle name="Normal 5 2 4 9" xfId="4806" xr:uid="{00000000-0005-0000-0000-000021190000}"/>
    <cellStyle name="Normal 5 2 4 9 2" xfId="13248" xr:uid="{50DD5954-9D79-4120-B510-B8623E080DC5}"/>
    <cellStyle name="Normal 5 2 4 9 3" xfId="21688" xr:uid="{65E1F2DD-8014-4C8B-AC3B-1CE4EF7D2269}"/>
    <cellStyle name="Normal 5 2 5" xfId="436" xr:uid="{00000000-0005-0000-0000-000022190000}"/>
    <cellStyle name="Normal 5 2 5 10" xfId="17475" xr:uid="{E549008D-93E9-4F1F-9FEA-7925F1F0288C}"/>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15811" xr:uid="{BF88285F-0927-4AF2-8DED-B410F1D8A011}"/>
    <cellStyle name="Normal 5 2 5 2 2 2 2 3" xfId="24251" xr:uid="{398C5225-6D8C-43BB-9F05-96EA478F6A9C}"/>
    <cellStyle name="Normal 5 2 5 2 2 2 3" xfId="11593" xr:uid="{8AB47D0C-29DA-4D10-BC1D-E8E80F39AB53}"/>
    <cellStyle name="Normal 5 2 5 2 2 2 4" xfId="20034" xr:uid="{D38C19E2-F79B-48F0-B1F2-4949022F368E}"/>
    <cellStyle name="Normal 5 2 5 2 2 3" xfId="5224" xr:uid="{00000000-0005-0000-0000-000027190000}"/>
    <cellStyle name="Normal 5 2 5 2 2 3 2" xfId="13666" xr:uid="{AFE9077F-33A3-45D6-9983-3068BB1F3A80}"/>
    <cellStyle name="Normal 5 2 5 2 2 3 3" xfId="22106" xr:uid="{2C8012B6-1D00-4C04-A598-A0C924519261}"/>
    <cellStyle name="Normal 5 2 5 2 2 4" xfId="9448" xr:uid="{1FC9BA3E-563F-495F-8670-4970E5AAFFA7}"/>
    <cellStyle name="Normal 5 2 5 2 2 5" xfId="17889" xr:uid="{EEDB6B02-E0ED-4193-AE8C-C2264A5B15DD}"/>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16224" xr:uid="{86D535BC-A7E8-45BE-9A4C-EEEE6F56AB1A}"/>
    <cellStyle name="Normal 5 2 5 2 3 2 2 3" xfId="24664" xr:uid="{398BFED5-DE22-4173-9AF9-01E6BCA44E82}"/>
    <cellStyle name="Normal 5 2 5 2 3 2 3" xfId="12006" xr:uid="{2B104AA4-A5C6-4AB5-AB64-6E4E38996D7D}"/>
    <cellStyle name="Normal 5 2 5 2 3 2 4" xfId="20447" xr:uid="{121A4D24-1D8B-4223-813F-58A2B5D4CB11}"/>
    <cellStyle name="Normal 5 2 5 2 3 3" xfId="5637" xr:uid="{00000000-0005-0000-0000-00002B190000}"/>
    <cellStyle name="Normal 5 2 5 2 3 3 2" xfId="14079" xr:uid="{647459AB-500A-4D06-99D9-F59051D29307}"/>
    <cellStyle name="Normal 5 2 5 2 3 3 3" xfId="22519" xr:uid="{D29C1335-29F4-4281-8FC2-66892B9DDE37}"/>
    <cellStyle name="Normal 5 2 5 2 3 4" xfId="9861" xr:uid="{92978F09-A8C2-4EFC-946A-4390BCDB1441}"/>
    <cellStyle name="Normal 5 2 5 2 3 5" xfId="18302" xr:uid="{364B460D-3D48-4736-968E-83B34C128A9C}"/>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16637" xr:uid="{1D6EAB91-7C2E-4D3C-9AAD-F952B885FB18}"/>
    <cellStyle name="Normal 5 2 5 2 4 2 2 3" xfId="25077" xr:uid="{BF174020-7C15-477F-A898-F2EBEFB15B25}"/>
    <cellStyle name="Normal 5 2 5 2 4 2 3" xfId="12419" xr:uid="{56923F48-B579-4278-A1E0-7126C816B0D1}"/>
    <cellStyle name="Normal 5 2 5 2 4 2 4" xfId="20860" xr:uid="{EBBA3DBE-BC06-46F6-A59A-54CCCC8BFD6B}"/>
    <cellStyle name="Normal 5 2 5 2 4 3" xfId="6050" xr:uid="{00000000-0005-0000-0000-00002F190000}"/>
    <cellStyle name="Normal 5 2 5 2 4 3 2" xfId="14492" xr:uid="{B80CDF19-9BDB-4C38-8160-E8A3DE8D1DE2}"/>
    <cellStyle name="Normal 5 2 5 2 4 3 3" xfId="22932" xr:uid="{4DCD9A03-EC61-438E-89A5-95C06E1BE570}"/>
    <cellStyle name="Normal 5 2 5 2 4 4" xfId="10274" xr:uid="{DA411C0B-4229-430C-A2D4-4EDB8D2496F2}"/>
    <cellStyle name="Normal 5 2 5 2 4 5" xfId="18715" xr:uid="{3831CA48-6DD9-404A-9F13-A9CF5516C5EA}"/>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17050" xr:uid="{DB7EC40E-5598-408B-AED7-C40E9685B3F8}"/>
    <cellStyle name="Normal 5 2 5 2 5 2 2 3" xfId="25490" xr:uid="{1D5B7F99-2E52-440B-9EC1-33B6ED2BF427}"/>
    <cellStyle name="Normal 5 2 5 2 5 2 3" xfId="12832" xr:uid="{0FEEE989-CE4F-4DA9-A96B-7E9B0CD87B38}"/>
    <cellStyle name="Normal 5 2 5 2 5 2 4" xfId="21273" xr:uid="{1F387C95-3554-4C2C-9B34-C392B4E54CED}"/>
    <cellStyle name="Normal 5 2 5 2 5 3" xfId="6463" xr:uid="{00000000-0005-0000-0000-000033190000}"/>
    <cellStyle name="Normal 5 2 5 2 5 3 2" xfId="14905" xr:uid="{23AD84AF-D254-4897-819E-30A7241683EF}"/>
    <cellStyle name="Normal 5 2 5 2 5 3 3" xfId="23345" xr:uid="{C5F0844F-CF56-4C4D-998E-867DF695B2D0}"/>
    <cellStyle name="Normal 5 2 5 2 5 4" xfId="10687" xr:uid="{9F189C92-2563-4964-BD75-631A4A0C5A64}"/>
    <cellStyle name="Normal 5 2 5 2 5 5" xfId="19128" xr:uid="{65D55835-6276-4018-947F-3B9B903E54E8}"/>
    <cellStyle name="Normal 5 2 5 2 6" xfId="2592" xr:uid="{00000000-0005-0000-0000-000034190000}"/>
    <cellStyle name="Normal 5 2 5 2 6 2" xfId="6876" xr:uid="{00000000-0005-0000-0000-000035190000}"/>
    <cellStyle name="Normal 5 2 5 2 6 2 2" xfId="15318" xr:uid="{05AF7FC0-F850-4192-82C9-7E207D0BADBA}"/>
    <cellStyle name="Normal 5 2 5 2 6 2 3" xfId="23758" xr:uid="{E3D09E46-4337-4952-88C0-A972B6D07B7E}"/>
    <cellStyle name="Normal 5 2 5 2 6 3" xfId="11100" xr:uid="{CBD5B504-EE21-4F2B-82B3-0A936702D0D5}"/>
    <cellStyle name="Normal 5 2 5 2 6 4" xfId="19541" xr:uid="{CFC2AA03-B1A8-4E58-A7B2-2609E2EF9483}"/>
    <cellStyle name="Normal 5 2 5 2 7" xfId="4811" xr:uid="{00000000-0005-0000-0000-000036190000}"/>
    <cellStyle name="Normal 5 2 5 2 7 2" xfId="13253" xr:uid="{11CFF7F1-A347-4749-99BE-9D339C455BCC}"/>
    <cellStyle name="Normal 5 2 5 2 7 3" xfId="21693" xr:uid="{EE26D691-9CC1-4BAB-82A7-8473DB38E951}"/>
    <cellStyle name="Normal 5 2 5 2 8" xfId="9035" xr:uid="{1085E050-8425-43F6-8ADE-574B6F6A6703}"/>
    <cellStyle name="Normal 5 2 5 2 9" xfId="17476" xr:uid="{7BF27CF3-DF3A-4434-AEED-1CE6C427006F}"/>
    <cellStyle name="Normal 5 2 5 3" xfId="910" xr:uid="{00000000-0005-0000-0000-000037190000}"/>
    <cellStyle name="Normal 5 2 5 3 2" xfId="3145" xr:uid="{00000000-0005-0000-0000-000038190000}"/>
    <cellStyle name="Normal 5 2 5 3 2 2" xfId="7368" xr:uid="{00000000-0005-0000-0000-000039190000}"/>
    <cellStyle name="Normal 5 2 5 3 2 2 2" xfId="15810" xr:uid="{A57AAFA4-2550-4B0D-BECC-BC29FF16A69B}"/>
    <cellStyle name="Normal 5 2 5 3 2 2 3" xfId="24250" xr:uid="{801A2F41-70BE-4C67-9062-225037B77D67}"/>
    <cellStyle name="Normal 5 2 5 3 2 3" xfId="11592" xr:uid="{FE520662-C5A8-4FFA-98A2-CEFAC5B030BA}"/>
    <cellStyle name="Normal 5 2 5 3 2 4" xfId="20033" xr:uid="{13F82008-7223-4E68-B8D9-7D379C4CE2CD}"/>
    <cellStyle name="Normal 5 2 5 3 3" xfId="5223" xr:uid="{00000000-0005-0000-0000-00003A190000}"/>
    <cellStyle name="Normal 5 2 5 3 3 2" xfId="13665" xr:uid="{2549C527-1EE5-4E88-A946-AED4E77F2655}"/>
    <cellStyle name="Normal 5 2 5 3 3 3" xfId="22105" xr:uid="{3814313F-031A-4B9D-B4E9-345C7D40E9FF}"/>
    <cellStyle name="Normal 5 2 5 3 4" xfId="9447" xr:uid="{72DD52DB-AF6C-4CAD-93BD-478003ECEDAF}"/>
    <cellStyle name="Normal 5 2 5 3 5" xfId="17888" xr:uid="{EF297A33-C876-434B-8F5C-2D3E0D85B937}"/>
    <cellStyle name="Normal 5 2 5 4" xfId="1328" xr:uid="{00000000-0005-0000-0000-00003B190000}"/>
    <cellStyle name="Normal 5 2 5 4 2" xfId="3558" xr:uid="{00000000-0005-0000-0000-00003C190000}"/>
    <cellStyle name="Normal 5 2 5 4 2 2" xfId="7781" xr:uid="{00000000-0005-0000-0000-00003D190000}"/>
    <cellStyle name="Normal 5 2 5 4 2 2 2" xfId="16223" xr:uid="{0EBC6499-D692-4114-AFA2-14AA630CD33F}"/>
    <cellStyle name="Normal 5 2 5 4 2 2 3" xfId="24663" xr:uid="{A470119F-9130-4217-8122-5F2F19DA31E2}"/>
    <cellStyle name="Normal 5 2 5 4 2 3" xfId="12005" xr:uid="{C0C273CC-87EA-49F7-BDB0-71743366A862}"/>
    <cellStyle name="Normal 5 2 5 4 2 4" xfId="20446" xr:uid="{2CA27079-F1FE-4D4B-A2C4-10EBD153D06C}"/>
    <cellStyle name="Normal 5 2 5 4 3" xfId="5636" xr:uid="{00000000-0005-0000-0000-00003E190000}"/>
    <cellStyle name="Normal 5 2 5 4 3 2" xfId="14078" xr:uid="{DB2B13E4-FC85-4432-A4C3-CF91FD24330D}"/>
    <cellStyle name="Normal 5 2 5 4 3 3" xfId="22518" xr:uid="{8DB5D4F9-C704-43CD-9DC2-FEDF257EC39F}"/>
    <cellStyle name="Normal 5 2 5 4 4" xfId="9860" xr:uid="{E71583FC-BD64-44CF-AEA4-C869F62C05D0}"/>
    <cellStyle name="Normal 5 2 5 4 5" xfId="18301" xr:uid="{8A5591BF-CD53-4F02-B880-4B309067442F}"/>
    <cellStyle name="Normal 5 2 5 5" xfId="1741" xr:uid="{00000000-0005-0000-0000-00003F190000}"/>
    <cellStyle name="Normal 5 2 5 5 2" xfId="3971" xr:uid="{00000000-0005-0000-0000-000040190000}"/>
    <cellStyle name="Normal 5 2 5 5 2 2" xfId="8194" xr:uid="{00000000-0005-0000-0000-000041190000}"/>
    <cellStyle name="Normal 5 2 5 5 2 2 2" xfId="16636" xr:uid="{A2EF3432-74F1-4E36-940C-034E1BE71F10}"/>
    <cellStyle name="Normal 5 2 5 5 2 2 3" xfId="25076" xr:uid="{2465E298-1291-47C9-8158-EE97215CBC91}"/>
    <cellStyle name="Normal 5 2 5 5 2 3" xfId="12418" xr:uid="{67A77CB9-CD7C-4CF9-9952-D11BD959E164}"/>
    <cellStyle name="Normal 5 2 5 5 2 4" xfId="20859" xr:uid="{64D53DCB-DDBD-4BA4-B707-68F26BA579BC}"/>
    <cellStyle name="Normal 5 2 5 5 3" xfId="6049" xr:uid="{00000000-0005-0000-0000-000042190000}"/>
    <cellStyle name="Normal 5 2 5 5 3 2" xfId="14491" xr:uid="{FDF7BEF3-5F76-4C46-AC7E-2F355F0FDCE3}"/>
    <cellStyle name="Normal 5 2 5 5 3 3" xfId="22931" xr:uid="{1BFECF68-5E61-409A-AC53-736996DE46DC}"/>
    <cellStyle name="Normal 5 2 5 5 4" xfId="10273" xr:uid="{09E6E941-9AE4-4323-8CD5-96060962280B}"/>
    <cellStyle name="Normal 5 2 5 5 5" xfId="18714" xr:uid="{066870E2-496A-4648-B74C-D2A928278E38}"/>
    <cellStyle name="Normal 5 2 5 6" xfId="2155" xr:uid="{00000000-0005-0000-0000-000043190000}"/>
    <cellStyle name="Normal 5 2 5 6 2" xfId="4384" xr:uid="{00000000-0005-0000-0000-000044190000}"/>
    <cellStyle name="Normal 5 2 5 6 2 2" xfId="8607" xr:uid="{00000000-0005-0000-0000-000045190000}"/>
    <cellStyle name="Normal 5 2 5 6 2 2 2" xfId="17049" xr:uid="{D5FF8703-FECA-4F88-AB2F-8D40189205FD}"/>
    <cellStyle name="Normal 5 2 5 6 2 2 3" xfId="25489" xr:uid="{F0329B17-8D57-4719-91B3-3D956E62B252}"/>
    <cellStyle name="Normal 5 2 5 6 2 3" xfId="12831" xr:uid="{40C27E9B-3F60-4021-A3BE-8DB4762BC16A}"/>
    <cellStyle name="Normal 5 2 5 6 2 4" xfId="21272" xr:uid="{F2AC1315-B41B-4220-B1F4-ECA5F94E43C8}"/>
    <cellStyle name="Normal 5 2 5 6 3" xfId="6462" xr:uid="{00000000-0005-0000-0000-000046190000}"/>
    <cellStyle name="Normal 5 2 5 6 3 2" xfId="14904" xr:uid="{FBD3AD17-E7C3-43F4-B7E3-28A5A06FBE65}"/>
    <cellStyle name="Normal 5 2 5 6 3 3" xfId="23344" xr:uid="{63E1363F-C915-4076-AD34-877793BE92EE}"/>
    <cellStyle name="Normal 5 2 5 6 4" xfId="10686" xr:uid="{DE6DC317-CF39-4761-A17D-5C22F051A5DE}"/>
    <cellStyle name="Normal 5 2 5 6 5" xfId="19127" xr:uid="{0B1912F6-F14A-407D-9756-8D71CFF59FD4}"/>
    <cellStyle name="Normal 5 2 5 7" xfId="2591" xr:uid="{00000000-0005-0000-0000-000047190000}"/>
    <cellStyle name="Normal 5 2 5 7 2" xfId="6875" xr:uid="{00000000-0005-0000-0000-000048190000}"/>
    <cellStyle name="Normal 5 2 5 7 2 2" xfId="15317" xr:uid="{9611901F-BAE7-4E1A-9EC0-9FB4DB934D8B}"/>
    <cellStyle name="Normal 5 2 5 7 2 3" xfId="23757" xr:uid="{FE3ECBBB-2A6D-4409-81EE-532060D78B0C}"/>
    <cellStyle name="Normal 5 2 5 7 3" xfId="11099" xr:uid="{1A549433-8BE3-40FE-9328-64EB8319E694}"/>
    <cellStyle name="Normal 5 2 5 7 4" xfId="19540" xr:uid="{0D58C150-107D-44C5-92CD-5F2B75DBE1CB}"/>
    <cellStyle name="Normal 5 2 5 8" xfId="4810" xr:uid="{00000000-0005-0000-0000-000049190000}"/>
    <cellStyle name="Normal 5 2 5 8 2" xfId="13252" xr:uid="{6D2815F9-F772-47FD-81DF-3C30F038A837}"/>
    <cellStyle name="Normal 5 2 5 8 3" xfId="21692" xr:uid="{AB6EC8DC-22F9-49CA-A5FC-24596F99A47B}"/>
    <cellStyle name="Normal 5 2 5 9" xfId="9034" xr:uid="{FF2358CA-809A-4E30-9907-0EF71A681A61}"/>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2 2 2" xfId="15812" xr:uid="{E413BCF8-DE10-4328-B8C9-E6691BF9D4FD}"/>
    <cellStyle name="Normal 5 2 6 2 2 2 3" xfId="24252" xr:uid="{5219733C-0CA8-435A-B1A0-635EE1B1FCD2}"/>
    <cellStyle name="Normal 5 2 6 2 2 3" xfId="11594" xr:uid="{D025CEA1-AE6B-4396-B073-50CA750BC367}"/>
    <cellStyle name="Normal 5 2 6 2 2 4" xfId="20035" xr:uid="{2E16933E-09D6-436C-A9C7-AA97AA737DA1}"/>
    <cellStyle name="Normal 5 2 6 2 3" xfId="5225" xr:uid="{00000000-0005-0000-0000-00004E190000}"/>
    <cellStyle name="Normal 5 2 6 2 3 2" xfId="13667" xr:uid="{95971D30-012F-446E-90A7-D98FAAB1313A}"/>
    <cellStyle name="Normal 5 2 6 2 3 3" xfId="22107" xr:uid="{CDA4E36B-640E-49C5-A455-99E1852A10DC}"/>
    <cellStyle name="Normal 5 2 6 2 4" xfId="9449" xr:uid="{6402FB9B-E2B6-43D9-A4F2-CA867052DF6B}"/>
    <cellStyle name="Normal 5 2 6 2 5" xfId="17890" xr:uid="{DA67D4F2-6D55-4621-A033-7852FA39C950}"/>
    <cellStyle name="Normal 5 2 6 3" xfId="1330" xr:uid="{00000000-0005-0000-0000-00004F190000}"/>
    <cellStyle name="Normal 5 2 6 3 2" xfId="3560" xr:uid="{00000000-0005-0000-0000-000050190000}"/>
    <cellStyle name="Normal 5 2 6 3 2 2" xfId="7783" xr:uid="{00000000-0005-0000-0000-000051190000}"/>
    <cellStyle name="Normal 5 2 6 3 2 2 2" xfId="16225" xr:uid="{9CB91EC9-B21F-4C6C-84B2-D8D799ACBC9F}"/>
    <cellStyle name="Normal 5 2 6 3 2 2 3" xfId="24665" xr:uid="{1843F5D1-9F17-4C9E-BB00-4BE0510D7E56}"/>
    <cellStyle name="Normal 5 2 6 3 2 3" xfId="12007" xr:uid="{5CD91743-7DEA-4FEF-BC3D-96973B738660}"/>
    <cellStyle name="Normal 5 2 6 3 2 4" xfId="20448" xr:uid="{9677C7EE-D04F-4A46-B7A6-76B317883B25}"/>
    <cellStyle name="Normal 5 2 6 3 3" xfId="5638" xr:uid="{00000000-0005-0000-0000-000052190000}"/>
    <cellStyle name="Normal 5 2 6 3 3 2" xfId="14080" xr:uid="{62F24860-19EF-4698-82F1-9C4536C3C642}"/>
    <cellStyle name="Normal 5 2 6 3 3 3" xfId="22520" xr:uid="{23572BAC-18C9-45A5-B2EE-5237F793A87C}"/>
    <cellStyle name="Normal 5 2 6 3 4" xfId="9862" xr:uid="{4AC6E122-F08E-4245-A3FA-692D3A25A8BB}"/>
    <cellStyle name="Normal 5 2 6 3 5" xfId="18303" xr:uid="{4EA7E484-CDF1-427D-B948-7E48721A48AA}"/>
    <cellStyle name="Normal 5 2 6 4" xfId="1743" xr:uid="{00000000-0005-0000-0000-000053190000}"/>
    <cellStyle name="Normal 5 2 6 4 2" xfId="3973" xr:uid="{00000000-0005-0000-0000-000054190000}"/>
    <cellStyle name="Normal 5 2 6 4 2 2" xfId="8196" xr:uid="{00000000-0005-0000-0000-000055190000}"/>
    <cellStyle name="Normal 5 2 6 4 2 2 2" xfId="16638" xr:uid="{DBDDD8DD-6483-491C-8006-59E9130794A7}"/>
    <cellStyle name="Normal 5 2 6 4 2 2 3" xfId="25078" xr:uid="{E8066D9D-5DBA-441A-BB01-43DE0DDA5500}"/>
    <cellStyle name="Normal 5 2 6 4 2 3" xfId="12420" xr:uid="{E8157E78-C65C-467B-9A1E-341C4178FD97}"/>
    <cellStyle name="Normal 5 2 6 4 2 4" xfId="20861" xr:uid="{E2E910C4-31C8-4D9F-84FC-314780C4D329}"/>
    <cellStyle name="Normal 5 2 6 4 3" xfId="6051" xr:uid="{00000000-0005-0000-0000-000056190000}"/>
    <cellStyle name="Normal 5 2 6 4 3 2" xfId="14493" xr:uid="{E9A010DB-C315-4849-8D7D-8B1CA1F2E285}"/>
    <cellStyle name="Normal 5 2 6 4 3 3" xfId="22933" xr:uid="{B33F0940-E89D-433B-818D-4B783583A31A}"/>
    <cellStyle name="Normal 5 2 6 4 4" xfId="10275" xr:uid="{DF8B75EC-9B5E-4184-AD8E-539B3309B9FA}"/>
    <cellStyle name="Normal 5 2 6 4 5" xfId="18716" xr:uid="{FD073C28-99F3-40CF-A9C2-6239E1385319}"/>
    <cellStyle name="Normal 5 2 6 5" xfId="2157" xr:uid="{00000000-0005-0000-0000-000057190000}"/>
    <cellStyle name="Normal 5 2 6 5 2" xfId="4386" xr:uid="{00000000-0005-0000-0000-000058190000}"/>
    <cellStyle name="Normal 5 2 6 5 2 2" xfId="8609" xr:uid="{00000000-0005-0000-0000-000059190000}"/>
    <cellStyle name="Normal 5 2 6 5 2 2 2" xfId="17051" xr:uid="{2084B877-4BD7-4D5C-944E-FA11FFBC582A}"/>
    <cellStyle name="Normal 5 2 6 5 2 2 3" xfId="25491" xr:uid="{A2F18F11-2C27-48CA-B4D7-8EA809E46144}"/>
    <cellStyle name="Normal 5 2 6 5 2 3" xfId="12833" xr:uid="{60272C24-8686-44F6-AA62-7FB6B5397B67}"/>
    <cellStyle name="Normal 5 2 6 5 2 4" xfId="21274" xr:uid="{688E7DFC-4536-49C2-A525-D910E4283046}"/>
    <cellStyle name="Normal 5 2 6 5 3" xfId="6464" xr:uid="{00000000-0005-0000-0000-00005A190000}"/>
    <cellStyle name="Normal 5 2 6 5 3 2" xfId="14906" xr:uid="{D1AAB7D9-B24C-4EDC-8B5F-2A8B7242FE29}"/>
    <cellStyle name="Normal 5 2 6 5 3 3" xfId="23346" xr:uid="{C4C0EB83-153A-487A-A99D-F6665C9DBD52}"/>
    <cellStyle name="Normal 5 2 6 5 4" xfId="10688" xr:uid="{80A0A1CF-6497-44CD-9968-B0F4D6792C37}"/>
    <cellStyle name="Normal 5 2 6 5 5" xfId="19129" xr:uid="{FF9E5EA7-EF73-4AFC-BDB9-70844EAC1088}"/>
    <cellStyle name="Normal 5 2 6 6" xfId="2593" xr:uid="{00000000-0005-0000-0000-00005B190000}"/>
    <cellStyle name="Normal 5 2 6 6 2" xfId="6877" xr:uid="{00000000-0005-0000-0000-00005C190000}"/>
    <cellStyle name="Normal 5 2 6 6 2 2" xfId="15319" xr:uid="{20CDD3A8-50AF-489C-B6E7-C197D85B0DEE}"/>
    <cellStyle name="Normal 5 2 6 6 2 3" xfId="23759" xr:uid="{6B747866-0166-4B4F-A81C-B9345DC900AE}"/>
    <cellStyle name="Normal 5 2 6 6 3" xfId="11101" xr:uid="{F5D8976E-C7C9-4DEA-85BA-3599474D7195}"/>
    <cellStyle name="Normal 5 2 6 6 4" xfId="19542" xr:uid="{9DC92CA0-6BCC-4724-A894-A6E3C687ACC1}"/>
    <cellStyle name="Normal 5 2 6 7" xfId="4812" xr:uid="{00000000-0005-0000-0000-00005D190000}"/>
    <cellStyle name="Normal 5 2 6 7 2" xfId="13254" xr:uid="{FB546A69-556D-4BD6-9671-B491B766BBCF}"/>
    <cellStyle name="Normal 5 2 6 7 3" xfId="21694" xr:uid="{D9CFF112-27E9-4FDF-A544-91C251DD7792}"/>
    <cellStyle name="Normal 5 2 6 8" xfId="9036" xr:uid="{18EA9C8E-E2F5-429F-920F-1C87D13BD6E5}"/>
    <cellStyle name="Normal 5 2 6 9" xfId="17477" xr:uid="{9A06337B-E289-4F23-BBE3-068B83DE2FB0}"/>
    <cellStyle name="Normal 5 2 7" xfId="881" xr:uid="{00000000-0005-0000-0000-00005E190000}"/>
    <cellStyle name="Normal 5 2 7 2" xfId="3116" xr:uid="{00000000-0005-0000-0000-00005F190000}"/>
    <cellStyle name="Normal 5 2 7 2 2" xfId="7339" xr:uid="{00000000-0005-0000-0000-000060190000}"/>
    <cellStyle name="Normal 5 2 7 2 2 2" xfId="15781" xr:uid="{5CA72A7A-05CD-4837-AC83-48FED71E7A31}"/>
    <cellStyle name="Normal 5 2 7 2 2 3" xfId="24221" xr:uid="{66C6A94C-8431-4E1D-A725-920891D82FED}"/>
    <cellStyle name="Normal 5 2 7 2 3" xfId="11563" xr:uid="{53C77F03-4BF1-4F11-A128-78CA0A4A7982}"/>
    <cellStyle name="Normal 5 2 7 2 4" xfId="20004" xr:uid="{DAF8743B-6E41-4811-AA07-B1688030AE73}"/>
    <cellStyle name="Normal 5 2 7 3" xfId="5194" xr:uid="{00000000-0005-0000-0000-000061190000}"/>
    <cellStyle name="Normal 5 2 7 3 2" xfId="13636" xr:uid="{24B7CFC1-9D5C-42FA-A270-99F715994A47}"/>
    <cellStyle name="Normal 5 2 7 3 3" xfId="22076" xr:uid="{852B602A-E4E6-40D8-B122-F727EB98F039}"/>
    <cellStyle name="Normal 5 2 7 4" xfId="9418" xr:uid="{D6E10074-48BC-4A35-88FB-24C854CEA3C4}"/>
    <cellStyle name="Normal 5 2 7 5" xfId="17859" xr:uid="{BD416855-8AFE-454A-9C1F-0404F879878D}"/>
    <cellStyle name="Normal 5 2 8" xfId="1299" xr:uid="{00000000-0005-0000-0000-000062190000}"/>
    <cellStyle name="Normal 5 2 8 2" xfId="3529" xr:uid="{00000000-0005-0000-0000-000063190000}"/>
    <cellStyle name="Normal 5 2 8 2 2" xfId="7752" xr:uid="{00000000-0005-0000-0000-000064190000}"/>
    <cellStyle name="Normal 5 2 8 2 2 2" xfId="16194" xr:uid="{C95E1E90-7010-456F-B91E-3918BD8F88B1}"/>
    <cellStyle name="Normal 5 2 8 2 2 3" xfId="24634" xr:uid="{D86EA695-BB95-4279-A8C0-4C9E6BA968CC}"/>
    <cellStyle name="Normal 5 2 8 2 3" xfId="11976" xr:uid="{A95334E9-DFD6-4554-BAB4-8D28DBA52ACC}"/>
    <cellStyle name="Normal 5 2 8 2 4" xfId="20417" xr:uid="{28503425-E978-41B3-92ED-07AD1D14FFB8}"/>
    <cellStyle name="Normal 5 2 8 3" xfId="5607" xr:uid="{00000000-0005-0000-0000-000065190000}"/>
    <cellStyle name="Normal 5 2 8 3 2" xfId="14049" xr:uid="{D070D1FD-42D4-47C9-992F-EA9ED7FA9FF7}"/>
    <cellStyle name="Normal 5 2 8 3 3" xfId="22489" xr:uid="{48B9CEFC-E0BC-46F4-8F06-28CA05135D9F}"/>
    <cellStyle name="Normal 5 2 8 4" xfId="9831" xr:uid="{A50D1EA7-3661-4CF8-9324-7A7F1EAA1760}"/>
    <cellStyle name="Normal 5 2 8 5" xfId="18272" xr:uid="{898C6D97-54C0-45B4-9CF8-F8554488F9D1}"/>
    <cellStyle name="Normal 5 2 9" xfId="1712" xr:uid="{00000000-0005-0000-0000-000066190000}"/>
    <cellStyle name="Normal 5 2 9 2" xfId="3942" xr:uid="{00000000-0005-0000-0000-000067190000}"/>
    <cellStyle name="Normal 5 2 9 2 2" xfId="8165" xr:uid="{00000000-0005-0000-0000-000068190000}"/>
    <cellStyle name="Normal 5 2 9 2 2 2" xfId="16607" xr:uid="{B1E2B0DC-DD60-4073-9839-1B3C0D637DD5}"/>
    <cellStyle name="Normal 5 2 9 2 2 3" xfId="25047" xr:uid="{75E713E8-3D01-48EF-B45A-DF1BA7A076CF}"/>
    <cellStyle name="Normal 5 2 9 2 3" xfId="12389" xr:uid="{D3D728BB-3770-44E8-BB1D-C014428B6C04}"/>
    <cellStyle name="Normal 5 2 9 2 4" xfId="20830" xr:uid="{62F66A6D-9434-4AA1-B18C-DA7E47851A74}"/>
    <cellStyle name="Normal 5 2 9 3" xfId="6020" xr:uid="{00000000-0005-0000-0000-000069190000}"/>
    <cellStyle name="Normal 5 2 9 3 2" xfId="14462" xr:uid="{20B23570-02E5-4F03-AA5B-2EE43A629A1D}"/>
    <cellStyle name="Normal 5 2 9 3 3" xfId="22902" xr:uid="{46B60EB4-0D27-4969-B6E9-1EE7CFB2A930}"/>
    <cellStyle name="Normal 5 2 9 4" xfId="10244" xr:uid="{BE18D99C-E8A0-43F7-B9EC-7EBBFB452014}"/>
    <cellStyle name="Normal 5 2 9 5" xfId="18685" xr:uid="{0546E692-D30D-443E-960A-F55BBA72AA68}"/>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17052" xr:uid="{0690B74E-6ECF-422B-9BDF-B4C8809A0FEB}"/>
    <cellStyle name="Normal 5 3 10 2 2 3" xfId="25492" xr:uid="{81AD4C56-CE1F-440B-BF40-7C5D64624D31}"/>
    <cellStyle name="Normal 5 3 10 2 3" xfId="12834" xr:uid="{B4915343-167C-43F6-86F8-DF29FB0A87D5}"/>
    <cellStyle name="Normal 5 3 10 2 4" xfId="21275" xr:uid="{EA9A9CAA-CBDA-4493-86D9-4D7845FF04D6}"/>
    <cellStyle name="Normal 5 3 10 3" xfId="6465" xr:uid="{00000000-0005-0000-0000-00006E190000}"/>
    <cellStyle name="Normal 5 3 10 3 2" xfId="14907" xr:uid="{285239F3-9E70-4314-A197-66BECCD57912}"/>
    <cellStyle name="Normal 5 3 10 3 3" xfId="23347" xr:uid="{53A5FC37-DC15-4961-AA00-EC515E43C1F3}"/>
    <cellStyle name="Normal 5 3 10 4" xfId="10689" xr:uid="{32B67DB9-A76D-4365-A507-ED1B53A5B8BA}"/>
    <cellStyle name="Normal 5 3 10 5" xfId="19130" xr:uid="{A27ADF25-8FA7-4C5D-A2ED-76B322637816}"/>
    <cellStyle name="Normal 5 3 11" xfId="2594" xr:uid="{00000000-0005-0000-0000-00006F190000}"/>
    <cellStyle name="Normal 5 3 11 2" xfId="6878" xr:uid="{00000000-0005-0000-0000-000070190000}"/>
    <cellStyle name="Normal 5 3 11 2 2" xfId="15320" xr:uid="{B643052E-5E79-40BA-A7CB-5E9E037442E8}"/>
    <cellStyle name="Normal 5 3 11 2 3" xfId="23760" xr:uid="{88FE4210-88B5-44E4-9C58-A84BA5A72ED6}"/>
    <cellStyle name="Normal 5 3 11 3" xfId="11102" xr:uid="{67240241-F80B-4F1A-A231-10EE18A89063}"/>
    <cellStyle name="Normal 5 3 11 4" xfId="19543" xr:uid="{B089304D-E5D3-4620-81E3-753E0753DE09}"/>
    <cellStyle name="Normal 5 3 12" xfId="4813" xr:uid="{00000000-0005-0000-0000-000071190000}"/>
    <cellStyle name="Normal 5 3 12 2" xfId="13255" xr:uid="{B658983D-BE50-437E-B6E7-38B181324F18}"/>
    <cellStyle name="Normal 5 3 12 3" xfId="21695" xr:uid="{F4EAD58A-F78C-41B8-B415-B00117E33AF4}"/>
    <cellStyle name="Normal 5 3 13" xfId="9037" xr:uid="{1DBC96A5-15D6-419F-A22D-D021E29D0583}"/>
    <cellStyle name="Normal 5 3 14" xfId="17478" xr:uid="{6AA79C8D-9859-4888-8E23-9CBFAAC474EC}"/>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13256" xr:uid="{6075B5DB-6C4E-41C2-B8A2-5921786D0A6B}"/>
    <cellStyle name="Normal 5 3 3 10 3" xfId="21696" xr:uid="{3FA514FA-E1C7-45A6-A4DD-3D2314578BDD}"/>
    <cellStyle name="Normal 5 3 3 11" xfId="9038" xr:uid="{E5DEBDC2-069D-4A0F-B471-98C8C02E1068}"/>
    <cellStyle name="Normal 5 3 3 12" xfId="17479" xr:uid="{BE055961-2016-4E15-96DB-31953F7A489D}"/>
    <cellStyle name="Normal 5 3 3 2" xfId="442" xr:uid="{00000000-0005-0000-0000-000076190000}"/>
    <cellStyle name="Normal 5 3 3 2 10" xfId="9039" xr:uid="{C6CC9AC1-11AE-4F2A-8FD4-28CF9900DD86}"/>
    <cellStyle name="Normal 5 3 3 2 11" xfId="17480" xr:uid="{A308B0AE-891B-4B87-B0EC-D9DA7FC84A23}"/>
    <cellStyle name="Normal 5 3 3 2 2" xfId="443" xr:uid="{00000000-0005-0000-0000-000077190000}"/>
    <cellStyle name="Normal 5 3 3 2 2 10" xfId="17481" xr:uid="{0DAB849C-8B85-4027-BBDD-5760870B126F}"/>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15817" xr:uid="{3232D0D1-437C-4256-B235-3F72586B2C7F}"/>
    <cellStyle name="Normal 5 3 3 2 2 2 2 2 2 3" xfId="24257" xr:uid="{3B8BFA88-0CDB-4A74-8E22-F5A2A8BF9E0C}"/>
    <cellStyle name="Normal 5 3 3 2 2 2 2 2 3" xfId="11599" xr:uid="{1BA114CC-6D40-4CF0-B17F-4173BBA5A0BC}"/>
    <cellStyle name="Normal 5 3 3 2 2 2 2 2 4" xfId="20040" xr:uid="{56F275C6-45E6-46C7-BBE6-ABAC70858075}"/>
    <cellStyle name="Normal 5 3 3 2 2 2 2 3" xfId="5230" xr:uid="{00000000-0005-0000-0000-00007C190000}"/>
    <cellStyle name="Normal 5 3 3 2 2 2 2 3 2" xfId="13672" xr:uid="{B8F4C0ED-490F-44F4-9384-B149D864D37B}"/>
    <cellStyle name="Normal 5 3 3 2 2 2 2 3 3" xfId="22112" xr:uid="{563F4512-BF81-413C-B7CF-0A44CC4B2B16}"/>
    <cellStyle name="Normal 5 3 3 2 2 2 2 4" xfId="9454" xr:uid="{05526EF2-52E8-42A8-A754-79B510043D01}"/>
    <cellStyle name="Normal 5 3 3 2 2 2 2 5" xfId="17895" xr:uid="{5E21FFBA-54C7-43B1-B351-342A66CBFA7F}"/>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16230" xr:uid="{C1FE29D2-6D12-4DF1-911D-054EBDCF29D5}"/>
    <cellStyle name="Normal 5 3 3 2 2 2 3 2 2 3" xfId="24670" xr:uid="{51856359-295D-4F17-9AD8-3C7AFE021DED}"/>
    <cellStyle name="Normal 5 3 3 2 2 2 3 2 3" xfId="12012" xr:uid="{355CE82F-8F07-49E0-8B6A-93704D17A1BC}"/>
    <cellStyle name="Normal 5 3 3 2 2 2 3 2 4" xfId="20453" xr:uid="{EA4038CF-1633-4A0F-9D3E-F3B58E444F6F}"/>
    <cellStyle name="Normal 5 3 3 2 2 2 3 3" xfId="5643" xr:uid="{00000000-0005-0000-0000-000080190000}"/>
    <cellStyle name="Normal 5 3 3 2 2 2 3 3 2" xfId="14085" xr:uid="{51B85030-22D4-476F-943C-DF6579D47350}"/>
    <cellStyle name="Normal 5 3 3 2 2 2 3 3 3" xfId="22525" xr:uid="{F69C1C83-2B70-4ACA-80D3-69E33A3E88BA}"/>
    <cellStyle name="Normal 5 3 3 2 2 2 3 4" xfId="9867" xr:uid="{C888A009-FEA5-42C6-AB38-679302748343}"/>
    <cellStyle name="Normal 5 3 3 2 2 2 3 5" xfId="18308" xr:uid="{03EC3350-579C-4395-9160-A2FCC3823377}"/>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16643" xr:uid="{2F634D79-3FC2-4F43-9607-0831F767B1C9}"/>
    <cellStyle name="Normal 5 3 3 2 2 2 4 2 2 3" xfId="25083" xr:uid="{9E683846-B912-4544-8AE4-2194E9CFB956}"/>
    <cellStyle name="Normal 5 3 3 2 2 2 4 2 3" xfId="12425" xr:uid="{1794AC1C-06EE-40E6-856F-E5183AAEDE3B}"/>
    <cellStyle name="Normal 5 3 3 2 2 2 4 2 4" xfId="20866" xr:uid="{642C8BA9-2910-40AD-8E33-DC332E7EA109}"/>
    <cellStyle name="Normal 5 3 3 2 2 2 4 3" xfId="6056" xr:uid="{00000000-0005-0000-0000-000084190000}"/>
    <cellStyle name="Normal 5 3 3 2 2 2 4 3 2" xfId="14498" xr:uid="{3A34B3FA-2031-4B3E-A7BE-125834575D06}"/>
    <cellStyle name="Normal 5 3 3 2 2 2 4 3 3" xfId="22938" xr:uid="{8DD216C8-4822-4179-B5C4-234DE7A43534}"/>
    <cellStyle name="Normal 5 3 3 2 2 2 4 4" xfId="10280" xr:uid="{39EA118E-7BA3-4DE5-87D8-F04F0CEBE3B1}"/>
    <cellStyle name="Normal 5 3 3 2 2 2 4 5" xfId="18721" xr:uid="{80E29449-7A81-4CED-BE43-5B8747698B4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17056" xr:uid="{3B88F7CF-E033-4E18-B854-0760F16789BE}"/>
    <cellStyle name="Normal 5 3 3 2 2 2 5 2 2 3" xfId="25496" xr:uid="{796BCA23-D38D-4B17-A089-5BB867723544}"/>
    <cellStyle name="Normal 5 3 3 2 2 2 5 2 3" xfId="12838" xr:uid="{026FFB24-97F3-4270-BD3D-467177709D8B}"/>
    <cellStyle name="Normal 5 3 3 2 2 2 5 2 4" xfId="21279" xr:uid="{F15F51A3-C53F-470A-A83A-D26A5AF1416D}"/>
    <cellStyle name="Normal 5 3 3 2 2 2 5 3" xfId="6469" xr:uid="{00000000-0005-0000-0000-000088190000}"/>
    <cellStyle name="Normal 5 3 3 2 2 2 5 3 2" xfId="14911" xr:uid="{F0A9D4E3-CCD5-41BB-BEC7-36B53C93E993}"/>
    <cellStyle name="Normal 5 3 3 2 2 2 5 3 3" xfId="23351" xr:uid="{D9545B5B-3D45-4540-B3D6-1C2184E34617}"/>
    <cellStyle name="Normal 5 3 3 2 2 2 5 4" xfId="10693" xr:uid="{DE047E0E-BD79-4B9F-9DE4-85A0236B1CFE}"/>
    <cellStyle name="Normal 5 3 3 2 2 2 5 5" xfId="19134" xr:uid="{E64CCCA9-20A6-4138-B2FA-2DD01936F63C}"/>
    <cellStyle name="Normal 5 3 3 2 2 2 6" xfId="2598" xr:uid="{00000000-0005-0000-0000-000089190000}"/>
    <cellStyle name="Normal 5 3 3 2 2 2 6 2" xfId="6882" xr:uid="{00000000-0005-0000-0000-00008A190000}"/>
    <cellStyle name="Normal 5 3 3 2 2 2 6 2 2" xfId="15324" xr:uid="{9B0CD844-3118-4DFB-A074-4495CBA692A4}"/>
    <cellStyle name="Normal 5 3 3 2 2 2 6 2 3" xfId="23764" xr:uid="{76BC9E70-6D69-443A-AAAD-7B686B1C9CC4}"/>
    <cellStyle name="Normal 5 3 3 2 2 2 6 3" xfId="11106" xr:uid="{5C76E60F-A618-4ABA-BDCE-287FC310DF68}"/>
    <cellStyle name="Normal 5 3 3 2 2 2 6 4" xfId="19547" xr:uid="{BDB31BFB-8F7B-4804-BA94-4722BB21EDD7}"/>
    <cellStyle name="Normal 5 3 3 2 2 2 7" xfId="4817" xr:uid="{00000000-0005-0000-0000-00008B190000}"/>
    <cellStyle name="Normal 5 3 3 2 2 2 7 2" xfId="13259" xr:uid="{731DD97A-8E9B-4F49-8A8C-0139B8E75E27}"/>
    <cellStyle name="Normal 5 3 3 2 2 2 7 3" xfId="21699" xr:uid="{27A87F9F-041C-4E51-8EC7-0A62AC1F1253}"/>
    <cellStyle name="Normal 5 3 3 2 2 2 8" xfId="9041" xr:uid="{B8AF3221-4011-41CE-9CAB-00372375E196}"/>
    <cellStyle name="Normal 5 3 3 2 2 2 9" xfId="17482" xr:uid="{17C3161E-EC2E-491F-BC88-AF00CFD3679D}"/>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15816" xr:uid="{C20F4570-9F3F-4B29-ADEC-E5D7BAF0A001}"/>
    <cellStyle name="Normal 5 3 3 2 2 3 2 2 3" xfId="24256" xr:uid="{E4513F9F-6F94-4165-9942-ACBA3EE570B8}"/>
    <cellStyle name="Normal 5 3 3 2 2 3 2 3" xfId="11598" xr:uid="{5C5E1598-36C1-4B7C-9CED-7C9B8B7F24EF}"/>
    <cellStyle name="Normal 5 3 3 2 2 3 2 4" xfId="20039" xr:uid="{BB72FE89-7C4B-409E-B1EF-C6EF7C40C440}"/>
    <cellStyle name="Normal 5 3 3 2 2 3 3" xfId="5229" xr:uid="{00000000-0005-0000-0000-00008F190000}"/>
    <cellStyle name="Normal 5 3 3 2 2 3 3 2" xfId="13671" xr:uid="{F4223506-F36A-436C-BACE-5D605C5DDE9B}"/>
    <cellStyle name="Normal 5 3 3 2 2 3 3 3" xfId="22111" xr:uid="{02075D77-EC4B-4124-B417-2B1B385EAC6C}"/>
    <cellStyle name="Normal 5 3 3 2 2 3 4" xfId="9453" xr:uid="{7CD0C8FC-BC8B-4995-8556-EFF0CD069942}"/>
    <cellStyle name="Normal 5 3 3 2 2 3 5" xfId="17894" xr:uid="{9ACCC1EB-C530-4B00-90F2-E4E1002ECCE9}"/>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16229" xr:uid="{EDDEE83F-4FC8-46DE-A7B3-6C3EE1BC77B8}"/>
    <cellStyle name="Normal 5 3 3 2 2 4 2 2 3" xfId="24669" xr:uid="{108F6748-C2CB-4C75-96A5-BAEFC795EA07}"/>
    <cellStyle name="Normal 5 3 3 2 2 4 2 3" xfId="12011" xr:uid="{985F2257-3E99-42FF-AAFA-9D517F43C452}"/>
    <cellStyle name="Normal 5 3 3 2 2 4 2 4" xfId="20452" xr:uid="{9B6EDB1E-9762-4CCC-9F97-1FC23BE7674C}"/>
    <cellStyle name="Normal 5 3 3 2 2 4 3" xfId="5642" xr:uid="{00000000-0005-0000-0000-000093190000}"/>
    <cellStyle name="Normal 5 3 3 2 2 4 3 2" xfId="14084" xr:uid="{0A61DB4D-5318-4F24-B38D-A1A1C39A5F35}"/>
    <cellStyle name="Normal 5 3 3 2 2 4 3 3" xfId="22524" xr:uid="{CD139AB2-CB73-47B6-BCC5-66452496DADB}"/>
    <cellStyle name="Normal 5 3 3 2 2 4 4" xfId="9866" xr:uid="{F4A5F036-5720-4965-8637-303C3402819B}"/>
    <cellStyle name="Normal 5 3 3 2 2 4 5" xfId="18307" xr:uid="{A4816500-8D5E-43FC-96BA-CE42F6B2EE86}"/>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16642" xr:uid="{F6133A84-AED5-42F6-8A70-012E297BC158}"/>
    <cellStyle name="Normal 5 3 3 2 2 5 2 2 3" xfId="25082" xr:uid="{ED51ACAA-6A71-4D23-BAE4-E962A963386D}"/>
    <cellStyle name="Normal 5 3 3 2 2 5 2 3" xfId="12424" xr:uid="{59C9AB7D-2B88-4B87-A173-4739E05EE324}"/>
    <cellStyle name="Normal 5 3 3 2 2 5 2 4" xfId="20865" xr:uid="{16DDA7C7-C019-46B7-B6B2-9173D9F275DD}"/>
    <cellStyle name="Normal 5 3 3 2 2 5 3" xfId="6055" xr:uid="{00000000-0005-0000-0000-000097190000}"/>
    <cellStyle name="Normal 5 3 3 2 2 5 3 2" xfId="14497" xr:uid="{EDA7F6BE-D825-48F7-8C20-77BEBA973CE6}"/>
    <cellStyle name="Normal 5 3 3 2 2 5 3 3" xfId="22937" xr:uid="{D739ADEF-5091-49F4-A028-00A809F27D69}"/>
    <cellStyle name="Normal 5 3 3 2 2 5 4" xfId="10279" xr:uid="{79EC518D-54F5-40FD-B4D0-B9CB41B1040F}"/>
    <cellStyle name="Normal 5 3 3 2 2 5 5" xfId="18720" xr:uid="{4EAB2A5A-D082-4B2D-8450-59F33F250F18}"/>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17055" xr:uid="{50E53DF7-0AFA-4E3E-8B0B-1EABDE4723AD}"/>
    <cellStyle name="Normal 5 3 3 2 2 6 2 2 3" xfId="25495" xr:uid="{D9E98FA3-3217-489A-9733-FF4C6803F05C}"/>
    <cellStyle name="Normal 5 3 3 2 2 6 2 3" xfId="12837" xr:uid="{E07AC27C-CA45-40BC-BDF0-804589A761C4}"/>
    <cellStyle name="Normal 5 3 3 2 2 6 2 4" xfId="21278" xr:uid="{E3BD9A80-3F94-4695-8227-8D2694513D97}"/>
    <cellStyle name="Normal 5 3 3 2 2 6 3" xfId="6468" xr:uid="{00000000-0005-0000-0000-00009B190000}"/>
    <cellStyle name="Normal 5 3 3 2 2 6 3 2" xfId="14910" xr:uid="{EE9FF82D-DB07-40E9-8396-5B29CA14F4B2}"/>
    <cellStyle name="Normal 5 3 3 2 2 6 3 3" xfId="23350" xr:uid="{D1A138A2-80D9-47CD-82DF-1346688E9F2E}"/>
    <cellStyle name="Normal 5 3 3 2 2 6 4" xfId="10692" xr:uid="{9D7C6A68-1375-42F3-8050-FC17EDE62278}"/>
    <cellStyle name="Normal 5 3 3 2 2 6 5" xfId="19133" xr:uid="{9344B1BC-5BD3-46AB-B359-CB12FA2FEA01}"/>
    <cellStyle name="Normal 5 3 3 2 2 7" xfId="2597" xr:uid="{00000000-0005-0000-0000-00009C190000}"/>
    <cellStyle name="Normal 5 3 3 2 2 7 2" xfId="6881" xr:uid="{00000000-0005-0000-0000-00009D190000}"/>
    <cellStyle name="Normal 5 3 3 2 2 7 2 2" xfId="15323" xr:uid="{CC337E91-D6FB-45D5-9735-7BFD2DF58AA3}"/>
    <cellStyle name="Normal 5 3 3 2 2 7 2 3" xfId="23763" xr:uid="{8B133DE5-B74F-40E8-85B1-5F20AF78FE17}"/>
    <cellStyle name="Normal 5 3 3 2 2 7 3" xfId="11105" xr:uid="{CF8CFB71-F0B9-4A78-A86C-99384F504696}"/>
    <cellStyle name="Normal 5 3 3 2 2 7 4" xfId="19546" xr:uid="{C0CE0705-AF2F-407B-AE96-6C6591C65CC7}"/>
    <cellStyle name="Normal 5 3 3 2 2 8" xfId="4816" xr:uid="{00000000-0005-0000-0000-00009E190000}"/>
    <cellStyle name="Normal 5 3 3 2 2 8 2" xfId="13258" xr:uid="{A95260E7-C054-4E27-BD12-A7E2A76D036D}"/>
    <cellStyle name="Normal 5 3 3 2 2 8 3" xfId="21698" xr:uid="{2E45CC73-51CF-4CEC-9341-A94972C44DE0}"/>
    <cellStyle name="Normal 5 3 3 2 2 9" xfId="9040" xr:uid="{EB5498EB-09C9-4082-82A9-38B6CFC3CF05}"/>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15818" xr:uid="{C99E2BB4-7C52-470F-A22F-7629BDBEBAF8}"/>
    <cellStyle name="Normal 5 3 3 2 3 2 2 2 3" xfId="24258" xr:uid="{4D4A5D99-26B3-421D-8C57-4F44D499C03B}"/>
    <cellStyle name="Normal 5 3 3 2 3 2 2 3" xfId="11600" xr:uid="{DCF45D2C-C46C-438A-AE57-AE515CC13BF1}"/>
    <cellStyle name="Normal 5 3 3 2 3 2 2 4" xfId="20041" xr:uid="{5228C0D1-C7A2-4C22-B833-EFD0E4D3C8E6}"/>
    <cellStyle name="Normal 5 3 3 2 3 2 3" xfId="5231" xr:uid="{00000000-0005-0000-0000-0000A3190000}"/>
    <cellStyle name="Normal 5 3 3 2 3 2 3 2" xfId="13673" xr:uid="{973780FB-4AF1-4221-B376-F7B81EB96B11}"/>
    <cellStyle name="Normal 5 3 3 2 3 2 3 3" xfId="22113" xr:uid="{063AF7B0-B645-493D-9844-6DD26B936CEE}"/>
    <cellStyle name="Normal 5 3 3 2 3 2 4" xfId="9455" xr:uid="{F78F3BE1-3BA3-461B-BC1E-A4B756333494}"/>
    <cellStyle name="Normal 5 3 3 2 3 2 5" xfId="17896" xr:uid="{2F5C1A5B-53CC-4F6E-98BD-A5560527F80D}"/>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16231" xr:uid="{62FE9E9A-8040-45B8-BAD7-C3EB4C5EBB6B}"/>
    <cellStyle name="Normal 5 3 3 2 3 3 2 2 3" xfId="24671" xr:uid="{4300BEE1-0E72-4C16-A93F-C18BC571CD5E}"/>
    <cellStyle name="Normal 5 3 3 2 3 3 2 3" xfId="12013" xr:uid="{77CDCFC6-7F79-4C5D-81EA-3618CEBAD08B}"/>
    <cellStyle name="Normal 5 3 3 2 3 3 2 4" xfId="20454" xr:uid="{35BF31A0-3F57-44FA-A25B-117FC6AFD667}"/>
    <cellStyle name="Normal 5 3 3 2 3 3 3" xfId="5644" xr:uid="{00000000-0005-0000-0000-0000A7190000}"/>
    <cellStyle name="Normal 5 3 3 2 3 3 3 2" xfId="14086" xr:uid="{1B34A018-AAC5-4647-BF76-3683A4B25175}"/>
    <cellStyle name="Normal 5 3 3 2 3 3 3 3" xfId="22526" xr:uid="{787A8252-D8B5-430F-A9B5-55E0C4803938}"/>
    <cellStyle name="Normal 5 3 3 2 3 3 4" xfId="9868" xr:uid="{DAA576BD-86C7-4D19-9660-BEAA3F8A9F3A}"/>
    <cellStyle name="Normal 5 3 3 2 3 3 5" xfId="18309" xr:uid="{F8808B79-2437-4C22-B4E0-B512DF879092}"/>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16644" xr:uid="{E81A82A0-DFDF-4B72-BF25-15A5EC5E59DF}"/>
    <cellStyle name="Normal 5 3 3 2 3 4 2 2 3" xfId="25084" xr:uid="{E320E639-FCC0-4C99-A5B7-CF9F037E5A0A}"/>
    <cellStyle name="Normal 5 3 3 2 3 4 2 3" xfId="12426" xr:uid="{EF16115F-6849-4E0D-AE65-2BE832E72D1A}"/>
    <cellStyle name="Normal 5 3 3 2 3 4 2 4" xfId="20867" xr:uid="{979CCF60-6434-49C1-B214-B23668A32C36}"/>
    <cellStyle name="Normal 5 3 3 2 3 4 3" xfId="6057" xr:uid="{00000000-0005-0000-0000-0000AB190000}"/>
    <cellStyle name="Normal 5 3 3 2 3 4 3 2" xfId="14499" xr:uid="{F6F3DB4B-B912-4714-8C84-ACDC5DCB82DB}"/>
    <cellStyle name="Normal 5 3 3 2 3 4 3 3" xfId="22939" xr:uid="{43D8654A-1C10-4D98-B089-B4BC271119D0}"/>
    <cellStyle name="Normal 5 3 3 2 3 4 4" xfId="10281" xr:uid="{9CA070A6-A45C-42F6-AA1E-27254BE084FB}"/>
    <cellStyle name="Normal 5 3 3 2 3 4 5" xfId="18722" xr:uid="{77B41E51-BCAC-42AE-B269-59FB5360D314}"/>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17057" xr:uid="{E89ABB01-F1F6-4D15-8FDD-70639510B94D}"/>
    <cellStyle name="Normal 5 3 3 2 3 5 2 2 3" xfId="25497" xr:uid="{B86283BE-A48A-4119-80A0-80A1CC42D675}"/>
    <cellStyle name="Normal 5 3 3 2 3 5 2 3" xfId="12839" xr:uid="{BFC1351A-9E77-4E98-B38E-F415E61BD369}"/>
    <cellStyle name="Normal 5 3 3 2 3 5 2 4" xfId="21280" xr:uid="{E3130CC4-75D5-4745-83B3-EC1563111A15}"/>
    <cellStyle name="Normal 5 3 3 2 3 5 3" xfId="6470" xr:uid="{00000000-0005-0000-0000-0000AF190000}"/>
    <cellStyle name="Normal 5 3 3 2 3 5 3 2" xfId="14912" xr:uid="{74AAB8A4-4601-4770-B764-98630335D5A2}"/>
    <cellStyle name="Normal 5 3 3 2 3 5 3 3" xfId="23352" xr:uid="{77F01EF7-CAFF-4A14-84EF-981D5661C451}"/>
    <cellStyle name="Normal 5 3 3 2 3 5 4" xfId="10694" xr:uid="{672AEDEA-0E4E-4815-BB54-976A2EA095B0}"/>
    <cellStyle name="Normal 5 3 3 2 3 5 5" xfId="19135" xr:uid="{43661409-46A5-492C-9F9B-895FB642AD5B}"/>
    <cellStyle name="Normal 5 3 3 2 3 6" xfId="2599" xr:uid="{00000000-0005-0000-0000-0000B0190000}"/>
    <cellStyle name="Normal 5 3 3 2 3 6 2" xfId="6883" xr:uid="{00000000-0005-0000-0000-0000B1190000}"/>
    <cellStyle name="Normal 5 3 3 2 3 6 2 2" xfId="15325" xr:uid="{2E680470-1C69-49D7-A83D-8730F94B7E55}"/>
    <cellStyle name="Normal 5 3 3 2 3 6 2 3" xfId="23765" xr:uid="{F931F614-250F-4D6F-B8DB-CDCE95AEF2DA}"/>
    <cellStyle name="Normal 5 3 3 2 3 6 3" xfId="11107" xr:uid="{78E0550C-1070-4C5F-B895-F21DA94E6BD9}"/>
    <cellStyle name="Normal 5 3 3 2 3 6 4" xfId="19548" xr:uid="{F5AC6CB4-CA82-4178-AE95-36D3D76CD192}"/>
    <cellStyle name="Normal 5 3 3 2 3 7" xfId="4818" xr:uid="{00000000-0005-0000-0000-0000B2190000}"/>
    <cellStyle name="Normal 5 3 3 2 3 7 2" xfId="13260" xr:uid="{287D1BE2-20E1-4DBC-AE3D-2A9BBCB7A920}"/>
    <cellStyle name="Normal 5 3 3 2 3 7 3" xfId="21700" xr:uid="{62716D87-25EF-4B32-947B-38D32CB8D690}"/>
    <cellStyle name="Normal 5 3 3 2 3 8" xfId="9042" xr:uid="{334DD163-1320-4F62-A150-87BBEB6C5E5B}"/>
    <cellStyle name="Normal 5 3 3 2 3 9" xfId="17483" xr:uid="{AC37CC66-1897-47F9-BCDB-4C7DCB1BCB18}"/>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15815" xr:uid="{37428543-CF80-4155-9A1E-0DAD0802E54A}"/>
    <cellStyle name="Normal 5 3 3 2 4 2 2 3" xfId="24255" xr:uid="{15AA4D99-6913-4073-8D73-FCB05A0EFF28}"/>
    <cellStyle name="Normal 5 3 3 2 4 2 3" xfId="11597" xr:uid="{C3120CAC-FDC5-4A67-9666-A4267C6E2B09}"/>
    <cellStyle name="Normal 5 3 3 2 4 2 4" xfId="20038" xr:uid="{E32F567B-9ED5-4E31-B68C-E783F681D573}"/>
    <cellStyle name="Normal 5 3 3 2 4 3" xfId="5228" xr:uid="{00000000-0005-0000-0000-0000B6190000}"/>
    <cellStyle name="Normal 5 3 3 2 4 3 2" xfId="13670" xr:uid="{B555FA40-8742-4F73-87D8-A9C0D06E974F}"/>
    <cellStyle name="Normal 5 3 3 2 4 3 3" xfId="22110" xr:uid="{31996D81-BAF5-4A34-9507-C397CA5E1EC7}"/>
    <cellStyle name="Normal 5 3 3 2 4 4" xfId="9452" xr:uid="{36CEB571-DAE8-4347-9589-8514E1DBB7D4}"/>
    <cellStyle name="Normal 5 3 3 2 4 5" xfId="17893" xr:uid="{8DA31A4F-63BB-4850-9834-64DEDFEE0201}"/>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16228" xr:uid="{8097F2A1-1BE8-4315-9B96-E90119220F96}"/>
    <cellStyle name="Normal 5 3 3 2 5 2 2 3" xfId="24668" xr:uid="{38746660-88D1-4AED-943F-AC9ED5B50122}"/>
    <cellStyle name="Normal 5 3 3 2 5 2 3" xfId="12010" xr:uid="{6EBA167B-E95C-4BF8-BD9E-0DA4DAA9C21A}"/>
    <cellStyle name="Normal 5 3 3 2 5 2 4" xfId="20451" xr:uid="{F01541AB-9ED5-4166-8762-ED5DE25E57A2}"/>
    <cellStyle name="Normal 5 3 3 2 5 3" xfId="5641" xr:uid="{00000000-0005-0000-0000-0000BA190000}"/>
    <cellStyle name="Normal 5 3 3 2 5 3 2" xfId="14083" xr:uid="{D5A61046-2B0C-4A05-8256-447B7F15F7DC}"/>
    <cellStyle name="Normal 5 3 3 2 5 3 3" xfId="22523" xr:uid="{A1CCF426-910C-48B4-92B5-4C06329CE1CA}"/>
    <cellStyle name="Normal 5 3 3 2 5 4" xfId="9865" xr:uid="{D836D325-9751-4A7F-A4AD-3E4C2FD7EFF0}"/>
    <cellStyle name="Normal 5 3 3 2 5 5" xfId="18306" xr:uid="{B82B903C-C3D9-47AA-920B-DF4D43B0BA8C}"/>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16641" xr:uid="{DF25B40E-345E-4004-86E1-BDC506F41EAC}"/>
    <cellStyle name="Normal 5 3 3 2 6 2 2 3" xfId="25081" xr:uid="{0CE75C62-FD57-428C-B163-77B55FDBF1BD}"/>
    <cellStyle name="Normal 5 3 3 2 6 2 3" xfId="12423" xr:uid="{D185E88E-6133-41EE-9F71-288A37B7607E}"/>
    <cellStyle name="Normal 5 3 3 2 6 2 4" xfId="20864" xr:uid="{C482215A-8B17-49ED-AB95-53B92034EC71}"/>
    <cellStyle name="Normal 5 3 3 2 6 3" xfId="6054" xr:uid="{00000000-0005-0000-0000-0000BE190000}"/>
    <cellStyle name="Normal 5 3 3 2 6 3 2" xfId="14496" xr:uid="{82E67C85-7A50-43A6-8628-60E317ACDF5C}"/>
    <cellStyle name="Normal 5 3 3 2 6 3 3" xfId="22936" xr:uid="{C67B6025-BD1A-480C-9785-ABB00FA30E82}"/>
    <cellStyle name="Normal 5 3 3 2 6 4" xfId="10278" xr:uid="{5A290EB2-5C2F-4F60-96BD-625E4962775F}"/>
    <cellStyle name="Normal 5 3 3 2 6 5" xfId="18719" xr:uid="{9B3ADBB9-C2AD-4323-B6A5-A63DB9A8B501}"/>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17054" xr:uid="{7000BC89-F003-40DD-A11E-68D7BA0902F8}"/>
    <cellStyle name="Normal 5 3 3 2 7 2 2 3" xfId="25494" xr:uid="{C227237A-13C0-45AA-A68B-EB2A24F1747C}"/>
    <cellStyle name="Normal 5 3 3 2 7 2 3" xfId="12836" xr:uid="{1E41B4DA-F588-40ED-A186-66E6B600B0E2}"/>
    <cellStyle name="Normal 5 3 3 2 7 2 4" xfId="21277" xr:uid="{64474024-111B-46BB-8F29-92D701061BBE}"/>
    <cellStyle name="Normal 5 3 3 2 7 3" xfId="6467" xr:uid="{00000000-0005-0000-0000-0000C2190000}"/>
    <cellStyle name="Normal 5 3 3 2 7 3 2" xfId="14909" xr:uid="{BB67D26E-9227-44A1-B5EF-D5C656E80EBB}"/>
    <cellStyle name="Normal 5 3 3 2 7 3 3" xfId="23349" xr:uid="{832FAEDE-EDDB-43E9-B25C-2177D4DB0FBB}"/>
    <cellStyle name="Normal 5 3 3 2 7 4" xfId="10691" xr:uid="{D5C31366-00BA-4714-959E-83F161A1723A}"/>
    <cellStyle name="Normal 5 3 3 2 7 5" xfId="19132" xr:uid="{63E9B741-9979-4066-B68C-04AE7B6490AB}"/>
    <cellStyle name="Normal 5 3 3 2 8" xfId="2596" xr:uid="{00000000-0005-0000-0000-0000C3190000}"/>
    <cellStyle name="Normal 5 3 3 2 8 2" xfId="6880" xr:uid="{00000000-0005-0000-0000-0000C4190000}"/>
    <cellStyle name="Normal 5 3 3 2 8 2 2" xfId="15322" xr:uid="{3BCAD11F-CCB6-48EE-9FC6-3A6DDFE2EA78}"/>
    <cellStyle name="Normal 5 3 3 2 8 2 3" xfId="23762" xr:uid="{44AA17A8-52C2-406D-91AF-DB481A98E6BE}"/>
    <cellStyle name="Normal 5 3 3 2 8 3" xfId="11104" xr:uid="{B1713329-BEE7-4DA6-9F24-13EDBA8E1B3C}"/>
    <cellStyle name="Normal 5 3 3 2 8 4" xfId="19545" xr:uid="{2DB516B6-10B8-41ED-A1BA-588D6C4D9412}"/>
    <cellStyle name="Normal 5 3 3 2 9" xfId="4815" xr:uid="{00000000-0005-0000-0000-0000C5190000}"/>
    <cellStyle name="Normal 5 3 3 2 9 2" xfId="13257" xr:uid="{02B853AD-7161-4FFC-A179-4D6293165200}"/>
    <cellStyle name="Normal 5 3 3 2 9 3" xfId="21697" xr:uid="{A22E962E-73D4-4BB6-BFEA-7110EE5A14D3}"/>
    <cellStyle name="Normal 5 3 3 3" xfId="446" xr:uid="{00000000-0005-0000-0000-0000C6190000}"/>
    <cellStyle name="Normal 5 3 3 3 10" xfId="17484" xr:uid="{E82B586D-F46F-49C1-9F31-D8D4AB78CB2C}"/>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15820" xr:uid="{6543B233-C6F7-4EC8-BB93-9EA06D2701F8}"/>
    <cellStyle name="Normal 5 3 3 3 2 2 2 2 3" xfId="24260" xr:uid="{DBB5DB3A-9787-4767-92B2-FF918BFB5D7B}"/>
    <cellStyle name="Normal 5 3 3 3 2 2 2 3" xfId="11602" xr:uid="{3EFB5063-10F9-4864-B9C4-63C04C003F84}"/>
    <cellStyle name="Normal 5 3 3 3 2 2 2 4" xfId="20043" xr:uid="{EC1F1F97-653C-4A90-951C-213ED450B97B}"/>
    <cellStyle name="Normal 5 3 3 3 2 2 3" xfId="5233" xr:uid="{00000000-0005-0000-0000-0000CB190000}"/>
    <cellStyle name="Normal 5 3 3 3 2 2 3 2" xfId="13675" xr:uid="{FE7A3034-DF3A-4A75-91B5-90AFF134B762}"/>
    <cellStyle name="Normal 5 3 3 3 2 2 3 3" xfId="22115" xr:uid="{D7FD0B72-02A4-4219-AA55-1F04617DE3B6}"/>
    <cellStyle name="Normal 5 3 3 3 2 2 4" xfId="9457" xr:uid="{1EEACDAA-176C-4E82-B9FB-47B80B08B65B}"/>
    <cellStyle name="Normal 5 3 3 3 2 2 5" xfId="17898" xr:uid="{D1C20B0E-C5CA-4715-94E5-953D7E375783}"/>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16233" xr:uid="{36E1FA13-82BA-4465-B918-8DE295EF0EF9}"/>
    <cellStyle name="Normal 5 3 3 3 2 3 2 2 3" xfId="24673" xr:uid="{152C286D-D89B-4872-A6B1-2E2990A70C7D}"/>
    <cellStyle name="Normal 5 3 3 3 2 3 2 3" xfId="12015" xr:uid="{F08A4D23-2A28-4352-A2DB-F0DEDC377C32}"/>
    <cellStyle name="Normal 5 3 3 3 2 3 2 4" xfId="20456" xr:uid="{81C7EC8E-1BDD-4BB6-8E2F-B38ACD78C865}"/>
    <cellStyle name="Normal 5 3 3 3 2 3 3" xfId="5646" xr:uid="{00000000-0005-0000-0000-0000CF190000}"/>
    <cellStyle name="Normal 5 3 3 3 2 3 3 2" xfId="14088" xr:uid="{763A604E-9D23-4245-ADDC-A0A4A95A0460}"/>
    <cellStyle name="Normal 5 3 3 3 2 3 3 3" xfId="22528" xr:uid="{6FDE6594-6D28-4683-B10A-9F2175BFBB5F}"/>
    <cellStyle name="Normal 5 3 3 3 2 3 4" xfId="9870" xr:uid="{01CB6E50-9C71-45A0-9AF4-BBC7DE0BCD7C}"/>
    <cellStyle name="Normal 5 3 3 3 2 3 5" xfId="18311" xr:uid="{746EA66E-8624-4412-BEB7-EB903662D24A}"/>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16646" xr:uid="{554F1D38-94DF-47EF-A9D6-6BB2CFC7935B}"/>
    <cellStyle name="Normal 5 3 3 3 2 4 2 2 3" xfId="25086" xr:uid="{445CC333-2C29-44F9-AFC6-CEDE98EBEA88}"/>
    <cellStyle name="Normal 5 3 3 3 2 4 2 3" xfId="12428" xr:uid="{5548DC74-ABD1-4A86-AF9A-8359F642BFE6}"/>
    <cellStyle name="Normal 5 3 3 3 2 4 2 4" xfId="20869" xr:uid="{9DAD7C11-0B95-4B04-A9D1-9BC6904D213E}"/>
    <cellStyle name="Normal 5 3 3 3 2 4 3" xfId="6059" xr:uid="{00000000-0005-0000-0000-0000D3190000}"/>
    <cellStyle name="Normal 5 3 3 3 2 4 3 2" xfId="14501" xr:uid="{23485C8F-5402-4327-B6A0-AED91237FE86}"/>
    <cellStyle name="Normal 5 3 3 3 2 4 3 3" xfId="22941" xr:uid="{3F5C3855-1B0F-4E71-9894-8CAB07891F2E}"/>
    <cellStyle name="Normal 5 3 3 3 2 4 4" xfId="10283" xr:uid="{B74A647C-8CCA-42A7-9046-E57E971FE03F}"/>
    <cellStyle name="Normal 5 3 3 3 2 4 5" xfId="18724" xr:uid="{E6B84273-DE3D-4E8D-B03D-9B3B6FC41028}"/>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17059" xr:uid="{919CE6F4-1FEA-42C9-8EE4-83BFB6FEB811}"/>
    <cellStyle name="Normal 5 3 3 3 2 5 2 2 3" xfId="25499" xr:uid="{3E900904-5E50-4AD5-9BAE-9C55E7526FEE}"/>
    <cellStyle name="Normal 5 3 3 3 2 5 2 3" xfId="12841" xr:uid="{C6771CE1-8014-4AFA-AEFE-B52D7AD56BCC}"/>
    <cellStyle name="Normal 5 3 3 3 2 5 2 4" xfId="21282" xr:uid="{96ECB705-A6EC-454E-82A1-5D4124053E8F}"/>
    <cellStyle name="Normal 5 3 3 3 2 5 3" xfId="6472" xr:uid="{00000000-0005-0000-0000-0000D7190000}"/>
    <cellStyle name="Normal 5 3 3 3 2 5 3 2" xfId="14914" xr:uid="{72E1BBC4-2C16-414E-94C1-D21202300933}"/>
    <cellStyle name="Normal 5 3 3 3 2 5 3 3" xfId="23354" xr:uid="{87DEBA78-6407-4B6F-943C-A1E7866AEFE4}"/>
    <cellStyle name="Normal 5 3 3 3 2 5 4" xfId="10696" xr:uid="{E2AE1B9C-901F-42CD-9539-32DFDB5025DD}"/>
    <cellStyle name="Normal 5 3 3 3 2 5 5" xfId="19137" xr:uid="{67F2624E-69C5-4CC6-AD1B-6BEEFD5CDDFC}"/>
    <cellStyle name="Normal 5 3 3 3 2 6" xfId="2601" xr:uid="{00000000-0005-0000-0000-0000D8190000}"/>
    <cellStyle name="Normal 5 3 3 3 2 6 2" xfId="6885" xr:uid="{00000000-0005-0000-0000-0000D9190000}"/>
    <cellStyle name="Normal 5 3 3 3 2 6 2 2" xfId="15327" xr:uid="{343A2F0F-B006-4C50-AB99-5D9686B08955}"/>
    <cellStyle name="Normal 5 3 3 3 2 6 2 3" xfId="23767" xr:uid="{98DDAC0C-96E0-4554-B445-F531D103CF13}"/>
    <cellStyle name="Normal 5 3 3 3 2 6 3" xfId="11109" xr:uid="{3C5FE477-3467-431F-A682-8CC996F1CBEE}"/>
    <cellStyle name="Normal 5 3 3 3 2 6 4" xfId="19550" xr:uid="{6DDE8A3D-FC81-47D0-9746-E3CCAB396085}"/>
    <cellStyle name="Normal 5 3 3 3 2 7" xfId="4820" xr:uid="{00000000-0005-0000-0000-0000DA190000}"/>
    <cellStyle name="Normal 5 3 3 3 2 7 2" xfId="13262" xr:uid="{2ADC3173-1AE4-4A31-B728-C37F0B6FDC81}"/>
    <cellStyle name="Normal 5 3 3 3 2 7 3" xfId="21702" xr:uid="{73A534D8-FDE9-4AA9-8237-1B2DAB85038A}"/>
    <cellStyle name="Normal 5 3 3 3 2 8" xfId="9044" xr:uid="{8F5B5911-1792-4055-958F-6137A4E284F5}"/>
    <cellStyle name="Normal 5 3 3 3 2 9" xfId="17485" xr:uid="{0769F16F-B809-45AB-80E0-723121DE3163}"/>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15819" xr:uid="{B15889BF-59EE-4A6D-A79A-8D7C582ADE81}"/>
    <cellStyle name="Normal 5 3 3 3 3 2 2 3" xfId="24259" xr:uid="{57C056B4-47F0-4455-AF3E-E74975FA0CED}"/>
    <cellStyle name="Normal 5 3 3 3 3 2 3" xfId="11601" xr:uid="{678D2590-35A7-4196-B3D2-2D485B062EFF}"/>
    <cellStyle name="Normal 5 3 3 3 3 2 4" xfId="20042" xr:uid="{ECC4B091-4743-4581-8CE8-834B2060F46F}"/>
    <cellStyle name="Normal 5 3 3 3 3 3" xfId="5232" xr:uid="{00000000-0005-0000-0000-0000DE190000}"/>
    <cellStyle name="Normal 5 3 3 3 3 3 2" xfId="13674" xr:uid="{200286E4-DE91-4E32-A3D5-D358717C0E6A}"/>
    <cellStyle name="Normal 5 3 3 3 3 3 3" xfId="22114" xr:uid="{998E10B4-0236-4F2F-99A3-0DA3A295ED7C}"/>
    <cellStyle name="Normal 5 3 3 3 3 4" xfId="9456" xr:uid="{EB94089C-D772-40A7-8773-20027E754561}"/>
    <cellStyle name="Normal 5 3 3 3 3 5" xfId="17897" xr:uid="{2F085C9D-3541-40A4-B4E2-8BC7DBC46A9B}"/>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16232" xr:uid="{50E70C82-9074-4BEE-8738-4723140B7295}"/>
    <cellStyle name="Normal 5 3 3 3 4 2 2 3" xfId="24672" xr:uid="{1734BB50-2E45-48A5-9124-FB6903134414}"/>
    <cellStyle name="Normal 5 3 3 3 4 2 3" xfId="12014" xr:uid="{38EF7D7A-AE88-4E7D-AB56-9494B4AD61FF}"/>
    <cellStyle name="Normal 5 3 3 3 4 2 4" xfId="20455" xr:uid="{1DB4807A-2F07-4924-98A5-E8EC53DC95F8}"/>
    <cellStyle name="Normal 5 3 3 3 4 3" xfId="5645" xr:uid="{00000000-0005-0000-0000-0000E2190000}"/>
    <cellStyle name="Normal 5 3 3 3 4 3 2" xfId="14087" xr:uid="{41448844-C849-4267-B4E1-5D1E4CAF0D18}"/>
    <cellStyle name="Normal 5 3 3 3 4 3 3" xfId="22527" xr:uid="{CA5E5BAF-87AC-4D69-938B-1EE42DFF0E18}"/>
    <cellStyle name="Normal 5 3 3 3 4 4" xfId="9869" xr:uid="{5D9808C4-431F-4897-9C03-6EF1DC5F8FC9}"/>
    <cellStyle name="Normal 5 3 3 3 4 5" xfId="18310" xr:uid="{B76A17B6-8AB5-4F4D-ACAD-C39AECD49ACF}"/>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16645" xr:uid="{EEDDD816-51B9-4123-81DE-D498DB235814}"/>
    <cellStyle name="Normal 5 3 3 3 5 2 2 3" xfId="25085" xr:uid="{274054FF-FF90-43C1-A324-86A8CAB5880B}"/>
    <cellStyle name="Normal 5 3 3 3 5 2 3" xfId="12427" xr:uid="{F1839A9B-F600-4A03-B1C8-A13777B3A99D}"/>
    <cellStyle name="Normal 5 3 3 3 5 2 4" xfId="20868" xr:uid="{F53DBE77-8653-43FC-9E5F-7CA09F922D61}"/>
    <cellStyle name="Normal 5 3 3 3 5 3" xfId="6058" xr:uid="{00000000-0005-0000-0000-0000E6190000}"/>
    <cellStyle name="Normal 5 3 3 3 5 3 2" xfId="14500" xr:uid="{A6BD0F54-0596-472A-984B-720F1A01B880}"/>
    <cellStyle name="Normal 5 3 3 3 5 3 3" xfId="22940" xr:uid="{178FD6F4-F7B9-405F-873A-556D5C6CA117}"/>
    <cellStyle name="Normal 5 3 3 3 5 4" xfId="10282" xr:uid="{F8B3CE2B-F072-4564-8BF2-7E7F17367AF6}"/>
    <cellStyle name="Normal 5 3 3 3 5 5" xfId="18723" xr:uid="{A466217A-6C59-43CD-83E6-EBBD43C3D384}"/>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17058" xr:uid="{E9744FC2-0899-4F8A-B076-0A02ED85A4C1}"/>
    <cellStyle name="Normal 5 3 3 3 6 2 2 3" xfId="25498" xr:uid="{5568BB1E-801B-4D89-A007-561C1E9BD261}"/>
    <cellStyle name="Normal 5 3 3 3 6 2 3" xfId="12840" xr:uid="{862DFC50-DE83-4C27-AF94-8A2D127E8B48}"/>
    <cellStyle name="Normal 5 3 3 3 6 2 4" xfId="21281" xr:uid="{DF376743-D3DE-448D-8E64-D8B687311A20}"/>
    <cellStyle name="Normal 5 3 3 3 6 3" xfId="6471" xr:uid="{00000000-0005-0000-0000-0000EA190000}"/>
    <cellStyle name="Normal 5 3 3 3 6 3 2" xfId="14913" xr:uid="{CE5D2759-E487-4A0A-ACFA-2E30FB89AA1B}"/>
    <cellStyle name="Normal 5 3 3 3 6 3 3" xfId="23353" xr:uid="{DDD10430-6D06-432F-BF28-248F54CBB925}"/>
    <cellStyle name="Normal 5 3 3 3 6 4" xfId="10695" xr:uid="{2AD01EE6-2981-46D5-A7B5-F4FE37AF4405}"/>
    <cellStyle name="Normal 5 3 3 3 6 5" xfId="19136" xr:uid="{D558F70B-18EB-4299-AA2A-D645D9F3B911}"/>
    <cellStyle name="Normal 5 3 3 3 7" xfId="2600" xr:uid="{00000000-0005-0000-0000-0000EB190000}"/>
    <cellStyle name="Normal 5 3 3 3 7 2" xfId="6884" xr:uid="{00000000-0005-0000-0000-0000EC190000}"/>
    <cellStyle name="Normal 5 3 3 3 7 2 2" xfId="15326" xr:uid="{A89921F4-6F5C-4544-9B72-AC17A9A02544}"/>
    <cellStyle name="Normal 5 3 3 3 7 2 3" xfId="23766" xr:uid="{342C834B-07B5-4E12-948D-4F3A6AC4EAFB}"/>
    <cellStyle name="Normal 5 3 3 3 7 3" xfId="11108" xr:uid="{8BCAF819-8E02-41B3-B4FC-733684E36CA8}"/>
    <cellStyle name="Normal 5 3 3 3 7 4" xfId="19549" xr:uid="{EBCC4B93-78D8-4BF2-9D5A-F46E8BBD85E2}"/>
    <cellStyle name="Normal 5 3 3 3 8" xfId="4819" xr:uid="{00000000-0005-0000-0000-0000ED190000}"/>
    <cellStyle name="Normal 5 3 3 3 8 2" xfId="13261" xr:uid="{3C09EE14-3A4B-44F1-86D9-AA8C2AA5EA2B}"/>
    <cellStyle name="Normal 5 3 3 3 8 3" xfId="21701" xr:uid="{934645E4-B637-4DF9-9D61-1EE058AC17FF}"/>
    <cellStyle name="Normal 5 3 3 3 9" xfId="9043" xr:uid="{C473CE09-96F7-450A-9E85-A7BE6B89D28F}"/>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15821" xr:uid="{958B825A-04DB-4698-966B-F7A279D13A75}"/>
    <cellStyle name="Normal 5 3 3 4 2 2 2 3" xfId="24261" xr:uid="{3CC12872-62F3-4810-B546-B1A1AA1E8456}"/>
    <cellStyle name="Normal 5 3 3 4 2 2 3" xfId="11603" xr:uid="{E9CD2808-288A-4044-BA2C-96532B293C02}"/>
    <cellStyle name="Normal 5 3 3 4 2 2 4" xfId="20044" xr:uid="{D05E79A1-F4C1-4AA8-9906-52FB5EA21A88}"/>
    <cellStyle name="Normal 5 3 3 4 2 3" xfId="5234" xr:uid="{00000000-0005-0000-0000-0000F2190000}"/>
    <cellStyle name="Normal 5 3 3 4 2 3 2" xfId="13676" xr:uid="{B34712B6-26AD-4BCC-8EEA-4A3A6DFAA107}"/>
    <cellStyle name="Normal 5 3 3 4 2 3 3" xfId="22116" xr:uid="{B786BDC8-7744-4CCF-911D-A1BC32D0A1DA}"/>
    <cellStyle name="Normal 5 3 3 4 2 4" xfId="9458" xr:uid="{EBD1D866-6214-462E-BA37-BBAB89BBA817}"/>
    <cellStyle name="Normal 5 3 3 4 2 5" xfId="17899" xr:uid="{B5094581-6AE2-4455-9533-73C8C2703CB2}"/>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16234" xr:uid="{3773D73C-7887-4F40-BA26-E2C8752A623C}"/>
    <cellStyle name="Normal 5 3 3 4 3 2 2 3" xfId="24674" xr:uid="{997B7AE1-13D9-42BA-9BE1-42D02DE4B2B3}"/>
    <cellStyle name="Normal 5 3 3 4 3 2 3" xfId="12016" xr:uid="{CA282AAC-41F4-4244-88C2-A6AEEC5742DF}"/>
    <cellStyle name="Normal 5 3 3 4 3 2 4" xfId="20457" xr:uid="{0DA87729-B51A-4894-84FD-70224E2DF098}"/>
    <cellStyle name="Normal 5 3 3 4 3 3" xfId="5647" xr:uid="{00000000-0005-0000-0000-0000F6190000}"/>
    <cellStyle name="Normal 5 3 3 4 3 3 2" xfId="14089" xr:uid="{55D22474-5F1B-4033-9D61-2389C3F87557}"/>
    <cellStyle name="Normal 5 3 3 4 3 3 3" xfId="22529" xr:uid="{123F9533-6E26-4EF7-8C9D-FC0A918395C6}"/>
    <cellStyle name="Normal 5 3 3 4 3 4" xfId="9871" xr:uid="{77180496-59FF-4DAE-A0E2-33B953305AB4}"/>
    <cellStyle name="Normal 5 3 3 4 3 5" xfId="18312" xr:uid="{3D299B02-F42F-4CEB-BD77-0DE1C3EFC710}"/>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16647" xr:uid="{C3DE12AE-8837-4B7C-A193-5D7768563DD5}"/>
    <cellStyle name="Normal 5 3 3 4 4 2 2 3" xfId="25087" xr:uid="{67E55635-7E6E-4806-B30A-E7A6CC62426E}"/>
    <cellStyle name="Normal 5 3 3 4 4 2 3" xfId="12429" xr:uid="{DABEA97A-2DEE-47EC-88DD-EBFFE8FBA0B8}"/>
    <cellStyle name="Normal 5 3 3 4 4 2 4" xfId="20870" xr:uid="{B20058C4-3B99-4797-BF67-F111B2F17663}"/>
    <cellStyle name="Normal 5 3 3 4 4 3" xfId="6060" xr:uid="{00000000-0005-0000-0000-0000FA190000}"/>
    <cellStyle name="Normal 5 3 3 4 4 3 2" xfId="14502" xr:uid="{796D4FCC-709D-4626-9F93-C8320534384D}"/>
    <cellStyle name="Normal 5 3 3 4 4 3 3" xfId="22942" xr:uid="{214580B1-97EC-4925-9F9A-24B43F08C704}"/>
    <cellStyle name="Normal 5 3 3 4 4 4" xfId="10284" xr:uid="{492A3B1E-358A-4A32-8C53-F16BDD463D10}"/>
    <cellStyle name="Normal 5 3 3 4 4 5" xfId="18725" xr:uid="{D3D951D0-F987-4B59-94A3-C7A9A1B6A184}"/>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17060" xr:uid="{C3E33F00-A686-49D9-BB92-A79330468290}"/>
    <cellStyle name="Normal 5 3 3 4 5 2 2 3" xfId="25500" xr:uid="{813E1D80-FB90-44F0-B31C-A4AABD007F52}"/>
    <cellStyle name="Normal 5 3 3 4 5 2 3" xfId="12842" xr:uid="{8BF37CCC-F866-41B1-BDF6-001330CF0F83}"/>
    <cellStyle name="Normal 5 3 3 4 5 2 4" xfId="21283" xr:uid="{B2623EF8-4E0F-4B91-9FC5-A5B384983F3D}"/>
    <cellStyle name="Normal 5 3 3 4 5 3" xfId="6473" xr:uid="{00000000-0005-0000-0000-0000FE190000}"/>
    <cellStyle name="Normal 5 3 3 4 5 3 2" xfId="14915" xr:uid="{574A3F91-3A72-40F1-8A5B-76E40427FD66}"/>
    <cellStyle name="Normal 5 3 3 4 5 3 3" xfId="23355" xr:uid="{E3877DD0-C40A-4414-BA19-5BBF03BCFFA5}"/>
    <cellStyle name="Normal 5 3 3 4 5 4" xfId="10697" xr:uid="{762DCB92-4161-4377-A8BC-4058FD3F1343}"/>
    <cellStyle name="Normal 5 3 3 4 5 5" xfId="19138" xr:uid="{8E59D3A6-F6F9-4C2C-8DCD-DDDCC029848D}"/>
    <cellStyle name="Normal 5 3 3 4 6" xfId="2602" xr:uid="{00000000-0005-0000-0000-0000FF190000}"/>
    <cellStyle name="Normal 5 3 3 4 6 2" xfId="6886" xr:uid="{00000000-0005-0000-0000-0000001A0000}"/>
    <cellStyle name="Normal 5 3 3 4 6 2 2" xfId="15328" xr:uid="{CEE01EE1-F065-48A5-8003-D2E458B35279}"/>
    <cellStyle name="Normal 5 3 3 4 6 2 3" xfId="23768" xr:uid="{9C037D0D-47A6-4DDB-9376-3C6668117897}"/>
    <cellStyle name="Normal 5 3 3 4 6 3" xfId="11110" xr:uid="{BB87A89D-E855-4871-AA0D-524460FE9DDB}"/>
    <cellStyle name="Normal 5 3 3 4 6 4" xfId="19551" xr:uid="{FD3848C2-3F39-4D25-8E14-9BFDD8C39271}"/>
    <cellStyle name="Normal 5 3 3 4 7" xfId="4821" xr:uid="{00000000-0005-0000-0000-0000011A0000}"/>
    <cellStyle name="Normal 5 3 3 4 7 2" xfId="13263" xr:uid="{3C623E04-8CE4-4F29-B4F5-AF6E849C0453}"/>
    <cellStyle name="Normal 5 3 3 4 7 3" xfId="21703" xr:uid="{0259ADF9-BA94-41DF-BC2E-692CF8AFB6EC}"/>
    <cellStyle name="Normal 5 3 3 4 8" xfId="9045" xr:uid="{29301692-F2E9-4F87-B05C-1C17CB6BFD8C}"/>
    <cellStyle name="Normal 5 3 3 4 9" xfId="17486" xr:uid="{1C454807-61B1-4EAA-81FD-222C9ECE605E}"/>
    <cellStyle name="Normal 5 3 3 5" xfId="915" xr:uid="{00000000-0005-0000-0000-0000021A0000}"/>
    <cellStyle name="Normal 5 3 3 5 2" xfId="3149" xr:uid="{00000000-0005-0000-0000-0000031A0000}"/>
    <cellStyle name="Normal 5 3 3 5 2 2" xfId="7372" xr:uid="{00000000-0005-0000-0000-0000041A0000}"/>
    <cellStyle name="Normal 5 3 3 5 2 2 2" xfId="15814" xr:uid="{D5EF50B6-3A7C-4A74-8D1D-FDE65A5C97E1}"/>
    <cellStyle name="Normal 5 3 3 5 2 2 3" xfId="24254" xr:uid="{929ABB04-63D9-47DC-A06C-ED058137CA78}"/>
    <cellStyle name="Normal 5 3 3 5 2 3" xfId="11596" xr:uid="{6F37FD41-ABC1-4FCE-B409-28B9C8D78FE6}"/>
    <cellStyle name="Normal 5 3 3 5 2 4" xfId="20037" xr:uid="{7577CE1B-12C8-45AE-9315-D377B6406C5D}"/>
    <cellStyle name="Normal 5 3 3 5 3" xfId="5227" xr:uid="{00000000-0005-0000-0000-0000051A0000}"/>
    <cellStyle name="Normal 5 3 3 5 3 2" xfId="13669" xr:uid="{D66F1EB7-0635-4161-B375-3C091EA5A831}"/>
    <cellStyle name="Normal 5 3 3 5 3 3" xfId="22109" xr:uid="{558EE6BC-680F-4B14-9E33-0F7DF8CCF80D}"/>
    <cellStyle name="Normal 5 3 3 5 4" xfId="9451" xr:uid="{3CBAEF63-DF26-4619-BD48-934BFB68407D}"/>
    <cellStyle name="Normal 5 3 3 5 5" xfId="17892" xr:uid="{49A56B5F-ED22-4721-A088-26B8FFCE5943}"/>
    <cellStyle name="Normal 5 3 3 6" xfId="1332" xr:uid="{00000000-0005-0000-0000-0000061A0000}"/>
    <cellStyle name="Normal 5 3 3 6 2" xfId="3562" xr:uid="{00000000-0005-0000-0000-0000071A0000}"/>
    <cellStyle name="Normal 5 3 3 6 2 2" xfId="7785" xr:uid="{00000000-0005-0000-0000-0000081A0000}"/>
    <cellStyle name="Normal 5 3 3 6 2 2 2" xfId="16227" xr:uid="{8191AA5D-F6CB-4765-AF46-4603AB7D35D1}"/>
    <cellStyle name="Normal 5 3 3 6 2 2 3" xfId="24667" xr:uid="{764A055F-8F87-4E36-B903-FF845BF6561F}"/>
    <cellStyle name="Normal 5 3 3 6 2 3" xfId="12009" xr:uid="{B28969B7-BAA1-4F27-BBCA-2B6DD0F0E445}"/>
    <cellStyle name="Normal 5 3 3 6 2 4" xfId="20450" xr:uid="{0F04CE24-6F06-419C-BE7A-7CC6328EF782}"/>
    <cellStyle name="Normal 5 3 3 6 3" xfId="5640" xr:uid="{00000000-0005-0000-0000-0000091A0000}"/>
    <cellStyle name="Normal 5 3 3 6 3 2" xfId="14082" xr:uid="{C9AA0B2D-B3CF-476E-B213-85C77699F8B8}"/>
    <cellStyle name="Normal 5 3 3 6 3 3" xfId="22522" xr:uid="{2CD922AC-6DB3-4224-B5C5-F81248522107}"/>
    <cellStyle name="Normal 5 3 3 6 4" xfId="9864" xr:uid="{6675DC5D-010E-40B5-BBAC-E51756BDFD7E}"/>
    <cellStyle name="Normal 5 3 3 6 5" xfId="18305" xr:uid="{F72A48BC-4880-4A20-A8D1-039C19917D18}"/>
    <cellStyle name="Normal 5 3 3 7" xfId="1745" xr:uid="{00000000-0005-0000-0000-00000A1A0000}"/>
    <cellStyle name="Normal 5 3 3 7 2" xfId="3975" xr:uid="{00000000-0005-0000-0000-00000B1A0000}"/>
    <cellStyle name="Normal 5 3 3 7 2 2" xfId="8198" xr:uid="{00000000-0005-0000-0000-00000C1A0000}"/>
    <cellStyle name="Normal 5 3 3 7 2 2 2" xfId="16640" xr:uid="{D60C3DA7-FC51-46B0-BCF8-02A6B54079C6}"/>
    <cellStyle name="Normal 5 3 3 7 2 2 3" xfId="25080" xr:uid="{17292B13-A2C0-4A6D-A16E-8A4FDBA3E59B}"/>
    <cellStyle name="Normal 5 3 3 7 2 3" xfId="12422" xr:uid="{3471A794-8505-465E-9F2F-21F3F3B31AE2}"/>
    <cellStyle name="Normal 5 3 3 7 2 4" xfId="20863" xr:uid="{3C5A6949-3FF1-4F04-B716-04ED00ECA6AF}"/>
    <cellStyle name="Normal 5 3 3 7 3" xfId="6053" xr:uid="{00000000-0005-0000-0000-00000D1A0000}"/>
    <cellStyle name="Normal 5 3 3 7 3 2" xfId="14495" xr:uid="{BB417692-EFDE-41BD-99BE-18E0E30EA69F}"/>
    <cellStyle name="Normal 5 3 3 7 3 3" xfId="22935" xr:uid="{CC48A406-FEF1-4E4E-AB89-B6FB6DC63CC5}"/>
    <cellStyle name="Normal 5 3 3 7 4" xfId="10277" xr:uid="{FBF75843-D15D-436F-A3F6-42558201BD3C}"/>
    <cellStyle name="Normal 5 3 3 7 5" xfId="18718" xr:uid="{D77CF6BF-8F6B-4BFA-B279-D5F0B1642BF8}"/>
    <cellStyle name="Normal 5 3 3 8" xfId="2159" xr:uid="{00000000-0005-0000-0000-00000E1A0000}"/>
    <cellStyle name="Normal 5 3 3 8 2" xfId="4388" xr:uid="{00000000-0005-0000-0000-00000F1A0000}"/>
    <cellStyle name="Normal 5 3 3 8 2 2" xfId="8611" xr:uid="{00000000-0005-0000-0000-0000101A0000}"/>
    <cellStyle name="Normal 5 3 3 8 2 2 2" xfId="17053" xr:uid="{F42ED8F1-AACF-4E83-ADB7-883DC4F4B6FF}"/>
    <cellStyle name="Normal 5 3 3 8 2 2 3" xfId="25493" xr:uid="{FEA51036-666D-4F15-9D46-75EF01D2F0C0}"/>
    <cellStyle name="Normal 5 3 3 8 2 3" xfId="12835" xr:uid="{5B5EB5AE-FAA1-4F83-97CF-74CC39E36429}"/>
    <cellStyle name="Normal 5 3 3 8 2 4" xfId="21276" xr:uid="{21DDABE0-8B9B-4E5A-A9E5-30FD72884BE1}"/>
    <cellStyle name="Normal 5 3 3 8 3" xfId="6466" xr:uid="{00000000-0005-0000-0000-0000111A0000}"/>
    <cellStyle name="Normal 5 3 3 8 3 2" xfId="14908" xr:uid="{384082B4-709A-4F49-8CD3-AADFDD462E4A}"/>
    <cellStyle name="Normal 5 3 3 8 3 3" xfId="23348" xr:uid="{DC581109-162A-4B17-A942-646D8AAB50AD}"/>
    <cellStyle name="Normal 5 3 3 8 4" xfId="10690" xr:uid="{D4AD8707-773D-4FAC-A35C-66C6BC68F87C}"/>
    <cellStyle name="Normal 5 3 3 8 5" xfId="19131" xr:uid="{36F91870-0E61-425E-820E-62547F1FDABB}"/>
    <cellStyle name="Normal 5 3 3 9" xfId="2595" xr:uid="{00000000-0005-0000-0000-0000121A0000}"/>
    <cellStyle name="Normal 5 3 3 9 2" xfId="6879" xr:uid="{00000000-0005-0000-0000-0000131A0000}"/>
    <cellStyle name="Normal 5 3 3 9 2 2" xfId="15321" xr:uid="{EF8B27E9-E8D2-4A33-A730-628F1AA88639}"/>
    <cellStyle name="Normal 5 3 3 9 2 3" xfId="23761" xr:uid="{1575C522-EE6A-4EE6-BB3A-2EC1902A75E5}"/>
    <cellStyle name="Normal 5 3 3 9 3" xfId="11103" xr:uid="{D91AE1AC-E23D-4E10-8722-E0599233EF8F}"/>
    <cellStyle name="Normal 5 3 3 9 4" xfId="19544" xr:uid="{27D0D793-251B-49FF-A360-EF2BD0F87165}"/>
    <cellStyle name="Normal 5 3 4" xfId="449" xr:uid="{00000000-0005-0000-0000-0000141A0000}"/>
    <cellStyle name="Normal 5 3 4 10" xfId="9046" xr:uid="{09802095-6405-4B74-9191-6319FACAE5E8}"/>
    <cellStyle name="Normal 5 3 4 11" xfId="17487" xr:uid="{7F9BCD23-6C42-4A7E-9958-6E06E9BC1103}"/>
    <cellStyle name="Normal 5 3 4 2" xfId="450" xr:uid="{00000000-0005-0000-0000-0000151A0000}"/>
    <cellStyle name="Normal 5 3 4 2 10" xfId="17488" xr:uid="{03CEBCE0-BD26-403D-BE4E-9E7D1B3E5E61}"/>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15824" xr:uid="{DFE3D003-0A88-4E7A-AD4B-C9836603E20D}"/>
    <cellStyle name="Normal 5 3 4 2 2 2 2 2 3" xfId="24264" xr:uid="{D387E6CF-6771-43EF-A969-4B9CA120D522}"/>
    <cellStyle name="Normal 5 3 4 2 2 2 2 3" xfId="11606" xr:uid="{2FFDE2D6-E008-4EA9-A935-7DA33D90D6ED}"/>
    <cellStyle name="Normal 5 3 4 2 2 2 2 4" xfId="20047" xr:uid="{D22005D2-5327-425C-81D6-9AAA639FECA7}"/>
    <cellStyle name="Normal 5 3 4 2 2 2 3" xfId="5237" xr:uid="{00000000-0005-0000-0000-00001A1A0000}"/>
    <cellStyle name="Normal 5 3 4 2 2 2 3 2" xfId="13679" xr:uid="{369F7FD1-3379-4FDE-8B3A-793FA36BA4B3}"/>
    <cellStyle name="Normal 5 3 4 2 2 2 3 3" xfId="22119" xr:uid="{21B81A3B-9D31-4290-9DCC-EC52C6A451C4}"/>
    <cellStyle name="Normal 5 3 4 2 2 2 4" xfId="9461" xr:uid="{594C5E73-2571-4953-A6BB-087F533F7C18}"/>
    <cellStyle name="Normal 5 3 4 2 2 2 5" xfId="17902" xr:uid="{7A3DC947-64CA-41C0-A7CC-9548EF10CF51}"/>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16237" xr:uid="{6AE51FEE-6C14-4198-ABC6-52153B3ED471}"/>
    <cellStyle name="Normal 5 3 4 2 2 3 2 2 3" xfId="24677" xr:uid="{B49D87BA-71BE-40E7-A6E8-376A52608D1E}"/>
    <cellStyle name="Normal 5 3 4 2 2 3 2 3" xfId="12019" xr:uid="{96D667BB-837B-448E-A46D-C2C21E73E444}"/>
    <cellStyle name="Normal 5 3 4 2 2 3 2 4" xfId="20460" xr:uid="{6351BE24-9BFD-46BB-ADB4-B1683BFBA022}"/>
    <cellStyle name="Normal 5 3 4 2 2 3 3" xfId="5650" xr:uid="{00000000-0005-0000-0000-00001E1A0000}"/>
    <cellStyle name="Normal 5 3 4 2 2 3 3 2" xfId="14092" xr:uid="{9F4689F3-C55F-4654-B86D-F5407A7D18B1}"/>
    <cellStyle name="Normal 5 3 4 2 2 3 3 3" xfId="22532" xr:uid="{B25C9352-16C1-4557-BBB2-4E643A91AA22}"/>
    <cellStyle name="Normal 5 3 4 2 2 3 4" xfId="9874" xr:uid="{C62E88AA-81F5-4F4C-9EF6-5D48905ECE8D}"/>
    <cellStyle name="Normal 5 3 4 2 2 3 5" xfId="18315" xr:uid="{7F9E6DD0-7785-4198-86D2-D0D2DD83798A}"/>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16650" xr:uid="{A8AB25C6-3C5D-4E03-A1F3-11A1F1765BBF}"/>
    <cellStyle name="Normal 5 3 4 2 2 4 2 2 3" xfId="25090" xr:uid="{30E4F8A3-FD8A-455A-828C-81798BC4FD00}"/>
    <cellStyle name="Normal 5 3 4 2 2 4 2 3" xfId="12432" xr:uid="{907E9838-5515-4678-BCA6-6355DAA7BB91}"/>
    <cellStyle name="Normal 5 3 4 2 2 4 2 4" xfId="20873" xr:uid="{9B24F746-5833-4AF6-B6A9-6305E78FA691}"/>
    <cellStyle name="Normal 5 3 4 2 2 4 3" xfId="6063" xr:uid="{00000000-0005-0000-0000-0000221A0000}"/>
    <cellStyle name="Normal 5 3 4 2 2 4 3 2" xfId="14505" xr:uid="{621726CF-7638-4E33-BB9F-09087A142920}"/>
    <cellStyle name="Normal 5 3 4 2 2 4 3 3" xfId="22945" xr:uid="{5C60E3AC-E338-4DA6-8E59-61D225F02F39}"/>
    <cellStyle name="Normal 5 3 4 2 2 4 4" xfId="10287" xr:uid="{BFDA9B57-8201-4861-BEAF-C870AEA2A68D}"/>
    <cellStyle name="Normal 5 3 4 2 2 4 5" xfId="18728" xr:uid="{06764939-CBA5-4E01-8369-474C6D1DF3AB}"/>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17063" xr:uid="{86940E4E-2F5E-4F6A-B51E-4DCEF56BBE9E}"/>
    <cellStyle name="Normal 5 3 4 2 2 5 2 2 3" xfId="25503" xr:uid="{A986D1A7-76C7-4137-8D6A-9478FC30D6E0}"/>
    <cellStyle name="Normal 5 3 4 2 2 5 2 3" xfId="12845" xr:uid="{28051618-34BC-49B8-A63E-1989C674DBA1}"/>
    <cellStyle name="Normal 5 3 4 2 2 5 2 4" xfId="21286" xr:uid="{1B0914EE-8571-4A3E-945A-9EC1B5303461}"/>
    <cellStyle name="Normal 5 3 4 2 2 5 3" xfId="6476" xr:uid="{00000000-0005-0000-0000-0000261A0000}"/>
    <cellStyle name="Normal 5 3 4 2 2 5 3 2" xfId="14918" xr:uid="{64F40ABC-82C8-4148-B0AE-9017A3546D70}"/>
    <cellStyle name="Normal 5 3 4 2 2 5 3 3" xfId="23358" xr:uid="{EA526271-BA39-4B20-85CE-1105FC585585}"/>
    <cellStyle name="Normal 5 3 4 2 2 5 4" xfId="10700" xr:uid="{5885F5AD-55BF-454F-B9E9-6D722BEB6E4E}"/>
    <cellStyle name="Normal 5 3 4 2 2 5 5" xfId="19141" xr:uid="{80383F08-2803-4671-980E-1C92579C6176}"/>
    <cellStyle name="Normal 5 3 4 2 2 6" xfId="2605" xr:uid="{00000000-0005-0000-0000-0000271A0000}"/>
    <cellStyle name="Normal 5 3 4 2 2 6 2" xfId="6889" xr:uid="{00000000-0005-0000-0000-0000281A0000}"/>
    <cellStyle name="Normal 5 3 4 2 2 6 2 2" xfId="15331" xr:uid="{D7477461-8F97-4C70-B6FF-1A9A2564237A}"/>
    <cellStyle name="Normal 5 3 4 2 2 6 2 3" xfId="23771" xr:uid="{07547A72-244C-40AE-BBD9-21BE1FCBE4BA}"/>
    <cellStyle name="Normal 5 3 4 2 2 6 3" xfId="11113" xr:uid="{80527AF2-60B3-4426-AB35-08DA04F033A3}"/>
    <cellStyle name="Normal 5 3 4 2 2 6 4" xfId="19554" xr:uid="{05A7793B-76C7-4E30-B38F-25F4AC1CE6D6}"/>
    <cellStyle name="Normal 5 3 4 2 2 7" xfId="4824" xr:uid="{00000000-0005-0000-0000-0000291A0000}"/>
    <cellStyle name="Normal 5 3 4 2 2 7 2" xfId="13266" xr:uid="{2452E199-634E-4165-8A24-BC1AD73EBA14}"/>
    <cellStyle name="Normal 5 3 4 2 2 7 3" xfId="21706" xr:uid="{FC25C91B-1BC2-4850-B853-1FD13856CC3C}"/>
    <cellStyle name="Normal 5 3 4 2 2 8" xfId="9048" xr:uid="{08639418-2DEE-413F-974B-C3AB397D1277}"/>
    <cellStyle name="Normal 5 3 4 2 2 9" xfId="17489" xr:uid="{CB32117A-8E39-4C84-9632-2B86BEFF92F9}"/>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15823" xr:uid="{4563BE9E-9882-4B9A-9D81-A1596E9BF741}"/>
    <cellStyle name="Normal 5 3 4 2 3 2 2 3" xfId="24263" xr:uid="{5F9DCFCC-63C1-4303-8A9A-49CD658B2446}"/>
    <cellStyle name="Normal 5 3 4 2 3 2 3" xfId="11605" xr:uid="{10A3FDEA-2A72-4292-AC9C-2025C8F20037}"/>
    <cellStyle name="Normal 5 3 4 2 3 2 4" xfId="20046" xr:uid="{DFFA4097-16A3-486E-A9AE-F2209063B333}"/>
    <cellStyle name="Normal 5 3 4 2 3 3" xfId="5236" xr:uid="{00000000-0005-0000-0000-00002D1A0000}"/>
    <cellStyle name="Normal 5 3 4 2 3 3 2" xfId="13678" xr:uid="{A8FFB0E9-1EF4-4433-BA23-D1B681BE9C90}"/>
    <cellStyle name="Normal 5 3 4 2 3 3 3" xfId="22118" xr:uid="{182A3185-67D3-4EF5-92AC-E897704FD7F8}"/>
    <cellStyle name="Normal 5 3 4 2 3 4" xfId="9460" xr:uid="{5D1EA604-6EDD-4CCC-A02C-7EBC66376E28}"/>
    <cellStyle name="Normal 5 3 4 2 3 5" xfId="17901" xr:uid="{C90F2F67-5013-4263-B387-1E5DAA36A725}"/>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16236" xr:uid="{C6CD79BA-9984-42BC-A523-5E1DDF8D06C7}"/>
    <cellStyle name="Normal 5 3 4 2 4 2 2 3" xfId="24676" xr:uid="{A085B4D1-FD79-4082-8B8B-016BE5EBDF90}"/>
    <cellStyle name="Normal 5 3 4 2 4 2 3" xfId="12018" xr:uid="{EB89D927-6549-4B80-B1B3-F44250EFAE99}"/>
    <cellStyle name="Normal 5 3 4 2 4 2 4" xfId="20459" xr:uid="{DCF2013F-E1F9-4C9D-BF96-69A831CE3CF7}"/>
    <cellStyle name="Normal 5 3 4 2 4 3" xfId="5649" xr:uid="{00000000-0005-0000-0000-0000311A0000}"/>
    <cellStyle name="Normal 5 3 4 2 4 3 2" xfId="14091" xr:uid="{6EB1065F-7E02-45B8-84CA-20ACE59B4423}"/>
    <cellStyle name="Normal 5 3 4 2 4 3 3" xfId="22531" xr:uid="{F806B954-9836-4EB9-8482-6A85B1D04E66}"/>
    <cellStyle name="Normal 5 3 4 2 4 4" xfId="9873" xr:uid="{456EA477-ABAC-482C-9000-43B37C028C5A}"/>
    <cellStyle name="Normal 5 3 4 2 4 5" xfId="18314" xr:uid="{2BD4CBFF-4485-443C-B718-F3AE6D36823F}"/>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16649" xr:uid="{E07678E9-FF2C-4AC0-8E56-72E573D1670D}"/>
    <cellStyle name="Normal 5 3 4 2 5 2 2 3" xfId="25089" xr:uid="{01EE9033-D65E-42B8-8F0E-91F22BD17099}"/>
    <cellStyle name="Normal 5 3 4 2 5 2 3" xfId="12431" xr:uid="{739F5BEC-91DF-4987-8A76-6BDE46CEA862}"/>
    <cellStyle name="Normal 5 3 4 2 5 2 4" xfId="20872" xr:uid="{B1F0CA15-A37F-4AAF-8D39-9916EFB6F773}"/>
    <cellStyle name="Normal 5 3 4 2 5 3" xfId="6062" xr:uid="{00000000-0005-0000-0000-0000351A0000}"/>
    <cellStyle name="Normal 5 3 4 2 5 3 2" xfId="14504" xr:uid="{A771A8A6-893F-4644-AB28-294AF045DF2F}"/>
    <cellStyle name="Normal 5 3 4 2 5 3 3" xfId="22944" xr:uid="{48EAD6CE-19A2-405B-A024-32C51D7FA2A3}"/>
    <cellStyle name="Normal 5 3 4 2 5 4" xfId="10286" xr:uid="{902737A9-A352-401C-B0F6-35C350743510}"/>
    <cellStyle name="Normal 5 3 4 2 5 5" xfId="18727" xr:uid="{C4EB0BB0-7E8E-493E-BE59-F0CA2FB6B201}"/>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17062" xr:uid="{EB6CE2AF-F77F-4246-AF53-351DDF8B48C0}"/>
    <cellStyle name="Normal 5 3 4 2 6 2 2 3" xfId="25502" xr:uid="{106C9B58-8A0E-4964-927D-F5BB2EEECCA0}"/>
    <cellStyle name="Normal 5 3 4 2 6 2 3" xfId="12844" xr:uid="{C91CD3ED-6C62-46CF-9B33-F738049F2395}"/>
    <cellStyle name="Normal 5 3 4 2 6 2 4" xfId="21285" xr:uid="{46509FF5-56B2-4D33-97BF-48D3E39F6C73}"/>
    <cellStyle name="Normal 5 3 4 2 6 3" xfId="6475" xr:uid="{00000000-0005-0000-0000-0000391A0000}"/>
    <cellStyle name="Normal 5 3 4 2 6 3 2" xfId="14917" xr:uid="{A5CCA524-6256-43F4-B581-AFF009EF8896}"/>
    <cellStyle name="Normal 5 3 4 2 6 3 3" xfId="23357" xr:uid="{01C8D3D2-7CD8-4CFD-96F9-460C72CB50A6}"/>
    <cellStyle name="Normal 5 3 4 2 6 4" xfId="10699" xr:uid="{EA19F5C2-CFA8-4C86-B788-8F7CDFE9DB6E}"/>
    <cellStyle name="Normal 5 3 4 2 6 5" xfId="19140" xr:uid="{18A33B3D-8710-41A2-BEC4-674871B97E9A}"/>
    <cellStyle name="Normal 5 3 4 2 7" xfId="2604" xr:uid="{00000000-0005-0000-0000-00003A1A0000}"/>
    <cellStyle name="Normal 5 3 4 2 7 2" xfId="6888" xr:uid="{00000000-0005-0000-0000-00003B1A0000}"/>
    <cellStyle name="Normal 5 3 4 2 7 2 2" xfId="15330" xr:uid="{AE1ACA59-2EFC-478F-9CD2-AFFFE869F295}"/>
    <cellStyle name="Normal 5 3 4 2 7 2 3" xfId="23770" xr:uid="{0D4E5225-039A-45C4-9762-E80EFFE73E66}"/>
    <cellStyle name="Normal 5 3 4 2 7 3" xfId="11112" xr:uid="{FC450300-2EC5-4DEF-94AA-FE3D27925BD2}"/>
    <cellStyle name="Normal 5 3 4 2 7 4" xfId="19553" xr:uid="{979D9664-A73C-4283-BBF6-4401B37CF7C2}"/>
    <cellStyle name="Normal 5 3 4 2 8" xfId="4823" xr:uid="{00000000-0005-0000-0000-00003C1A0000}"/>
    <cellStyle name="Normal 5 3 4 2 8 2" xfId="13265" xr:uid="{DCE03863-3DD2-4C74-AB14-76560500BD4E}"/>
    <cellStyle name="Normal 5 3 4 2 8 3" xfId="21705" xr:uid="{7013BEEA-9350-487A-AA58-03B1A6111F28}"/>
    <cellStyle name="Normal 5 3 4 2 9" xfId="9047" xr:uid="{4BE14479-364F-4ED0-A443-7BE4AB1E3EC5}"/>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15825" xr:uid="{5560756F-4A20-4072-8BEF-C476FF7AAF2D}"/>
    <cellStyle name="Normal 5 3 4 3 2 2 2 3" xfId="24265" xr:uid="{9D35711B-1F99-4B9E-A679-F073F107F1A2}"/>
    <cellStyle name="Normal 5 3 4 3 2 2 3" xfId="11607" xr:uid="{37A18A1D-F8CA-4E72-9A4B-6E8EA5A61826}"/>
    <cellStyle name="Normal 5 3 4 3 2 2 4" xfId="20048" xr:uid="{F0829E1F-C67F-4FB6-8A53-64C5E2EE3123}"/>
    <cellStyle name="Normal 5 3 4 3 2 3" xfId="5238" xr:uid="{00000000-0005-0000-0000-0000411A0000}"/>
    <cellStyle name="Normal 5 3 4 3 2 3 2" xfId="13680" xr:uid="{C73B3686-0125-42E5-9DF4-FB0338251B66}"/>
    <cellStyle name="Normal 5 3 4 3 2 3 3" xfId="22120" xr:uid="{03FDFFBA-8885-485F-9178-8A85960402D0}"/>
    <cellStyle name="Normal 5 3 4 3 2 4" xfId="9462" xr:uid="{0BEF307F-688F-447C-9A1B-A438CBDA7E8C}"/>
    <cellStyle name="Normal 5 3 4 3 2 5" xfId="17903" xr:uid="{5E71FC71-C641-45CD-98D2-6DF372D358B6}"/>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16238" xr:uid="{F245BB29-C4FC-47CA-8AAA-8C1D581E21BF}"/>
    <cellStyle name="Normal 5 3 4 3 3 2 2 3" xfId="24678" xr:uid="{2C18F9B3-076C-4A63-A1B6-8DE8083E4AC5}"/>
    <cellStyle name="Normal 5 3 4 3 3 2 3" xfId="12020" xr:uid="{AF9E8A20-E82A-4B5A-94A4-1F840E0FFD23}"/>
    <cellStyle name="Normal 5 3 4 3 3 2 4" xfId="20461" xr:uid="{5D4D48DE-F238-46C6-83A2-F9AB37A217BE}"/>
    <cellStyle name="Normal 5 3 4 3 3 3" xfId="5651" xr:uid="{00000000-0005-0000-0000-0000451A0000}"/>
    <cellStyle name="Normal 5 3 4 3 3 3 2" xfId="14093" xr:uid="{F8782C70-8279-4111-BCCB-1EA7307A6F7F}"/>
    <cellStyle name="Normal 5 3 4 3 3 3 3" xfId="22533" xr:uid="{409B4086-88BF-4FC7-B439-24EFF6EFA579}"/>
    <cellStyle name="Normal 5 3 4 3 3 4" xfId="9875" xr:uid="{FA6C40F6-4952-460E-8E7A-D469D5D9A373}"/>
    <cellStyle name="Normal 5 3 4 3 3 5" xfId="18316" xr:uid="{F16D0D30-CF87-4AF5-9037-FBD1CA41B92E}"/>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16651" xr:uid="{F7ED13D1-5602-468D-A978-23E3604CB053}"/>
    <cellStyle name="Normal 5 3 4 3 4 2 2 3" xfId="25091" xr:uid="{268CB1E2-BEFD-48F3-8D07-DCBEFECDCADD}"/>
    <cellStyle name="Normal 5 3 4 3 4 2 3" xfId="12433" xr:uid="{78EF60AB-87FF-4DCB-B9B5-AA9FE9F453D2}"/>
    <cellStyle name="Normal 5 3 4 3 4 2 4" xfId="20874" xr:uid="{8204B7A1-6703-439F-9968-1F488037D1F7}"/>
    <cellStyle name="Normal 5 3 4 3 4 3" xfId="6064" xr:uid="{00000000-0005-0000-0000-0000491A0000}"/>
    <cellStyle name="Normal 5 3 4 3 4 3 2" xfId="14506" xr:uid="{2C196FA2-07CD-423E-85A6-A46D8E934C51}"/>
    <cellStyle name="Normal 5 3 4 3 4 3 3" xfId="22946" xr:uid="{6DC06332-53DD-4840-94C7-13C54E9F70A4}"/>
    <cellStyle name="Normal 5 3 4 3 4 4" xfId="10288" xr:uid="{BC0744F5-E99A-4030-918B-EE7F7A1637E0}"/>
    <cellStyle name="Normal 5 3 4 3 4 5" xfId="18729" xr:uid="{17F65071-263B-41CD-AFD3-F2FB54FBA045}"/>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17064" xr:uid="{2F74E474-4BB4-4701-BB66-FBF1CE64A7AD}"/>
    <cellStyle name="Normal 5 3 4 3 5 2 2 3" xfId="25504" xr:uid="{4E1E86C5-EE2F-4EAA-A7EB-0A4E6E87C3B3}"/>
    <cellStyle name="Normal 5 3 4 3 5 2 3" xfId="12846" xr:uid="{BA1B2641-9369-4D85-90A4-AA73A55233B9}"/>
    <cellStyle name="Normal 5 3 4 3 5 2 4" xfId="21287" xr:uid="{72A4230A-B88A-4B58-8A91-FF7F45C0BCAE}"/>
    <cellStyle name="Normal 5 3 4 3 5 3" xfId="6477" xr:uid="{00000000-0005-0000-0000-00004D1A0000}"/>
    <cellStyle name="Normal 5 3 4 3 5 3 2" xfId="14919" xr:uid="{AA34A7A2-ECCA-47E0-B8D7-A16380140484}"/>
    <cellStyle name="Normal 5 3 4 3 5 3 3" xfId="23359" xr:uid="{4F72770F-462F-4CC3-BD90-603DD24BC39A}"/>
    <cellStyle name="Normal 5 3 4 3 5 4" xfId="10701" xr:uid="{CEDC0ED8-ABED-418D-843F-4924CC88147C}"/>
    <cellStyle name="Normal 5 3 4 3 5 5" xfId="19142" xr:uid="{6E1B833F-5182-4C1A-A6CF-4F8F437C9929}"/>
    <cellStyle name="Normal 5 3 4 3 6" xfId="2606" xr:uid="{00000000-0005-0000-0000-00004E1A0000}"/>
    <cellStyle name="Normal 5 3 4 3 6 2" xfId="6890" xr:uid="{00000000-0005-0000-0000-00004F1A0000}"/>
    <cellStyle name="Normal 5 3 4 3 6 2 2" xfId="15332" xr:uid="{8B379610-5A6B-4542-8388-FD104EE6F24C}"/>
    <cellStyle name="Normal 5 3 4 3 6 2 3" xfId="23772" xr:uid="{9472098A-08C7-4972-92D6-6B93A0BCEC88}"/>
    <cellStyle name="Normal 5 3 4 3 6 3" xfId="11114" xr:uid="{4041C1C0-46D6-43C5-AF29-F6B23F294C2D}"/>
    <cellStyle name="Normal 5 3 4 3 6 4" xfId="19555" xr:uid="{077DCB5D-2E7F-492A-87FA-7D93B167B673}"/>
    <cellStyle name="Normal 5 3 4 3 7" xfId="4825" xr:uid="{00000000-0005-0000-0000-0000501A0000}"/>
    <cellStyle name="Normal 5 3 4 3 7 2" xfId="13267" xr:uid="{94E367AB-D88B-452E-B153-7F9413D5870C}"/>
    <cellStyle name="Normal 5 3 4 3 7 3" xfId="21707" xr:uid="{A656C91D-D231-4F73-A731-E0A04009FF27}"/>
    <cellStyle name="Normal 5 3 4 3 8" xfId="9049" xr:uid="{18590E69-4257-4AB1-8BF4-9AF133885770}"/>
    <cellStyle name="Normal 5 3 4 3 9" xfId="17490" xr:uid="{671C2F68-EB4B-4DCA-A243-A180680F75E8}"/>
    <cellStyle name="Normal 5 3 4 4" xfId="923" xr:uid="{00000000-0005-0000-0000-0000511A0000}"/>
    <cellStyle name="Normal 5 3 4 4 2" xfId="3157" xr:uid="{00000000-0005-0000-0000-0000521A0000}"/>
    <cellStyle name="Normal 5 3 4 4 2 2" xfId="7380" xr:uid="{00000000-0005-0000-0000-0000531A0000}"/>
    <cellStyle name="Normal 5 3 4 4 2 2 2" xfId="15822" xr:uid="{DF0A097F-51B7-4C72-9CAC-F36723B139E6}"/>
    <cellStyle name="Normal 5 3 4 4 2 2 3" xfId="24262" xr:uid="{BD7320DE-455B-487D-BCA7-81189041731F}"/>
    <cellStyle name="Normal 5 3 4 4 2 3" xfId="11604" xr:uid="{2BDF5A19-440B-47DD-A2FA-AF0899C19695}"/>
    <cellStyle name="Normal 5 3 4 4 2 4" xfId="20045" xr:uid="{10E7C185-CBB0-4B2C-A8DB-A3CC708FA864}"/>
    <cellStyle name="Normal 5 3 4 4 3" xfId="5235" xr:uid="{00000000-0005-0000-0000-0000541A0000}"/>
    <cellStyle name="Normal 5 3 4 4 3 2" xfId="13677" xr:uid="{FB3CB1F6-4021-439C-9CF1-D71CB150C2A9}"/>
    <cellStyle name="Normal 5 3 4 4 3 3" xfId="22117" xr:uid="{63E4B73A-5981-487E-9D25-E2F326CB6CA5}"/>
    <cellStyle name="Normal 5 3 4 4 4" xfId="9459" xr:uid="{A322AF7F-D988-4B97-957D-AFAE06B0B065}"/>
    <cellStyle name="Normal 5 3 4 4 5" xfId="17900" xr:uid="{B2DCB291-F18B-4A7D-8EB8-067FA288334E}"/>
    <cellStyle name="Normal 5 3 4 5" xfId="1340" xr:uid="{00000000-0005-0000-0000-0000551A0000}"/>
    <cellStyle name="Normal 5 3 4 5 2" xfId="3570" xr:uid="{00000000-0005-0000-0000-0000561A0000}"/>
    <cellStyle name="Normal 5 3 4 5 2 2" xfId="7793" xr:uid="{00000000-0005-0000-0000-0000571A0000}"/>
    <cellStyle name="Normal 5 3 4 5 2 2 2" xfId="16235" xr:uid="{158C5248-9C4B-46F0-BE2D-E4664C1E9349}"/>
    <cellStyle name="Normal 5 3 4 5 2 2 3" xfId="24675" xr:uid="{023B9A8E-8B08-43EB-B3B9-9C05EAD76B1B}"/>
    <cellStyle name="Normal 5 3 4 5 2 3" xfId="12017" xr:uid="{5A932B11-D001-4EB0-9245-EA2F508A67C2}"/>
    <cellStyle name="Normal 5 3 4 5 2 4" xfId="20458" xr:uid="{80752549-A8D0-4692-BB04-ED3BF071B954}"/>
    <cellStyle name="Normal 5 3 4 5 3" xfId="5648" xr:uid="{00000000-0005-0000-0000-0000581A0000}"/>
    <cellStyle name="Normal 5 3 4 5 3 2" xfId="14090" xr:uid="{5BB5D057-4D9C-4938-96A9-A1D291930720}"/>
    <cellStyle name="Normal 5 3 4 5 3 3" xfId="22530" xr:uid="{F556B0FC-B170-45A7-BBB1-AFBC49DB81CD}"/>
    <cellStyle name="Normal 5 3 4 5 4" xfId="9872" xr:uid="{A39676A9-2324-4D51-B48B-A77D04F6A4E3}"/>
    <cellStyle name="Normal 5 3 4 5 5" xfId="18313" xr:uid="{4096C8D5-6458-4365-A108-8F7DCEA36A6A}"/>
    <cellStyle name="Normal 5 3 4 6" xfId="1753" xr:uid="{00000000-0005-0000-0000-0000591A0000}"/>
    <cellStyle name="Normal 5 3 4 6 2" xfId="3983" xr:uid="{00000000-0005-0000-0000-00005A1A0000}"/>
    <cellStyle name="Normal 5 3 4 6 2 2" xfId="8206" xr:uid="{00000000-0005-0000-0000-00005B1A0000}"/>
    <cellStyle name="Normal 5 3 4 6 2 2 2" xfId="16648" xr:uid="{91E6CEBE-3346-4F75-903D-1CA0627EE573}"/>
    <cellStyle name="Normal 5 3 4 6 2 2 3" xfId="25088" xr:uid="{9B3B44C6-C7D8-42A2-BF47-FC46E94AC510}"/>
    <cellStyle name="Normal 5 3 4 6 2 3" xfId="12430" xr:uid="{C81C3F1D-5EAB-4DC9-95BB-DE1229D504DE}"/>
    <cellStyle name="Normal 5 3 4 6 2 4" xfId="20871" xr:uid="{DE46D8B0-F831-4F03-B5DC-78D949DAF695}"/>
    <cellStyle name="Normal 5 3 4 6 3" xfId="6061" xr:uid="{00000000-0005-0000-0000-00005C1A0000}"/>
    <cellStyle name="Normal 5 3 4 6 3 2" xfId="14503" xr:uid="{704894C6-D6A0-4114-9ED3-2C42DE3BAF57}"/>
    <cellStyle name="Normal 5 3 4 6 3 3" xfId="22943" xr:uid="{05D274E8-02FF-4FE0-9BCA-C5EB891A574C}"/>
    <cellStyle name="Normal 5 3 4 6 4" xfId="10285" xr:uid="{CC881EEC-C978-4E3D-A3BB-B1ABB59855EC}"/>
    <cellStyle name="Normal 5 3 4 6 5" xfId="18726" xr:uid="{F15E58FC-424F-4A8F-9677-617C567816CC}"/>
    <cellStyle name="Normal 5 3 4 7" xfId="2167" xr:uid="{00000000-0005-0000-0000-00005D1A0000}"/>
    <cellStyle name="Normal 5 3 4 7 2" xfId="4396" xr:uid="{00000000-0005-0000-0000-00005E1A0000}"/>
    <cellStyle name="Normal 5 3 4 7 2 2" xfId="8619" xr:uid="{00000000-0005-0000-0000-00005F1A0000}"/>
    <cellStyle name="Normal 5 3 4 7 2 2 2" xfId="17061" xr:uid="{261174EF-0742-42D6-8626-773F0D0AD796}"/>
    <cellStyle name="Normal 5 3 4 7 2 2 3" xfId="25501" xr:uid="{C677160D-18DA-445C-9BC0-DA412313D8DA}"/>
    <cellStyle name="Normal 5 3 4 7 2 3" xfId="12843" xr:uid="{B2F9CE47-0F7A-4D22-A883-82A5A89EB770}"/>
    <cellStyle name="Normal 5 3 4 7 2 4" xfId="21284" xr:uid="{21656448-B12F-4CCA-9A2C-9F3FA62C87AC}"/>
    <cellStyle name="Normal 5 3 4 7 3" xfId="6474" xr:uid="{00000000-0005-0000-0000-0000601A0000}"/>
    <cellStyle name="Normal 5 3 4 7 3 2" xfId="14916" xr:uid="{B1537B4C-25CF-41B9-85E8-E5EC9DBD9401}"/>
    <cellStyle name="Normal 5 3 4 7 3 3" xfId="23356" xr:uid="{B84BE39A-982B-4051-9B74-F2DE937DAAF9}"/>
    <cellStyle name="Normal 5 3 4 7 4" xfId="10698" xr:uid="{D2049899-84ED-492C-8FE7-364EB2A5174D}"/>
    <cellStyle name="Normal 5 3 4 7 5" xfId="19139" xr:uid="{52FF3C7D-6E49-4244-B021-5E9C5483CFEC}"/>
    <cellStyle name="Normal 5 3 4 8" xfId="2603" xr:uid="{00000000-0005-0000-0000-0000611A0000}"/>
    <cellStyle name="Normal 5 3 4 8 2" xfId="6887" xr:uid="{00000000-0005-0000-0000-0000621A0000}"/>
    <cellStyle name="Normal 5 3 4 8 2 2" xfId="15329" xr:uid="{C6785418-2526-4BC9-9D30-AECE9C3B0988}"/>
    <cellStyle name="Normal 5 3 4 8 2 3" xfId="23769" xr:uid="{7F713C76-74F1-4777-97D1-689A5B5B67BD}"/>
    <cellStyle name="Normal 5 3 4 8 3" xfId="11111" xr:uid="{59A051E8-887E-4ABF-8605-FB4B35B3B304}"/>
    <cellStyle name="Normal 5 3 4 8 4" xfId="19552" xr:uid="{03568A2F-AEDD-44DA-BFE3-58A584969EA7}"/>
    <cellStyle name="Normal 5 3 4 9" xfId="4822" xr:uid="{00000000-0005-0000-0000-0000631A0000}"/>
    <cellStyle name="Normal 5 3 4 9 2" xfId="13264" xr:uid="{D4C77F80-E69F-4E7F-9EDB-DB662E5FC2C5}"/>
    <cellStyle name="Normal 5 3 4 9 3" xfId="21704" xr:uid="{D2464D29-DC9B-4D76-8601-AB66E9BA6FF0}"/>
    <cellStyle name="Normal 5 3 5" xfId="453" xr:uid="{00000000-0005-0000-0000-0000641A0000}"/>
    <cellStyle name="Normal 5 3 5 10" xfId="17491" xr:uid="{7EB3DD29-53A1-4071-834D-5D1CD9A5CEF2}"/>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15827" xr:uid="{3648C901-B5B4-4595-8EAA-DB18F08947C9}"/>
    <cellStyle name="Normal 5 3 5 2 2 2 2 3" xfId="24267" xr:uid="{BFEA2099-F321-487E-B434-E8F5F69727B7}"/>
    <cellStyle name="Normal 5 3 5 2 2 2 3" xfId="11609" xr:uid="{F7A985CF-85E2-4466-8CAA-8A3E2961E5BB}"/>
    <cellStyle name="Normal 5 3 5 2 2 2 4" xfId="20050" xr:uid="{1A72027C-C590-4993-A2DE-B75ECDA84908}"/>
    <cellStyle name="Normal 5 3 5 2 2 3" xfId="5240" xr:uid="{00000000-0005-0000-0000-0000691A0000}"/>
    <cellStyle name="Normal 5 3 5 2 2 3 2" xfId="13682" xr:uid="{CDE7F008-6C89-4304-BE16-6CDC2A64DE52}"/>
    <cellStyle name="Normal 5 3 5 2 2 3 3" xfId="22122" xr:uid="{3E4D4E3F-4943-4FB5-ADCD-6CDB82924CCD}"/>
    <cellStyle name="Normal 5 3 5 2 2 4" xfId="9464" xr:uid="{A35501CB-EE27-423E-9B15-873857B7882E}"/>
    <cellStyle name="Normal 5 3 5 2 2 5" xfId="17905" xr:uid="{AE39CF0D-7FB6-4FC0-BBA4-CAFC975173C4}"/>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16240" xr:uid="{3632EE1F-049E-4B15-9F02-A9DCFE812BDD}"/>
    <cellStyle name="Normal 5 3 5 2 3 2 2 3" xfId="24680" xr:uid="{95BF59C2-D6A8-4E7E-9EF4-469D3837F5C6}"/>
    <cellStyle name="Normal 5 3 5 2 3 2 3" xfId="12022" xr:uid="{5F74AB44-E67E-4254-B27B-C645DF6C56C7}"/>
    <cellStyle name="Normal 5 3 5 2 3 2 4" xfId="20463" xr:uid="{2F59EF2E-80A9-4502-BCE5-0879D0EBC44C}"/>
    <cellStyle name="Normal 5 3 5 2 3 3" xfId="5653" xr:uid="{00000000-0005-0000-0000-00006D1A0000}"/>
    <cellStyle name="Normal 5 3 5 2 3 3 2" xfId="14095" xr:uid="{8BE53E99-5690-4B7A-B593-BEC17F2DA54D}"/>
    <cellStyle name="Normal 5 3 5 2 3 3 3" xfId="22535" xr:uid="{217C0344-89E5-41A1-8697-EEF249BE6BEE}"/>
    <cellStyle name="Normal 5 3 5 2 3 4" xfId="9877" xr:uid="{FE791EDF-342A-42C4-84E7-BCFAEECEB641}"/>
    <cellStyle name="Normal 5 3 5 2 3 5" xfId="18318" xr:uid="{98B55F86-E39D-4076-A7FC-061E0D69A58F}"/>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16653" xr:uid="{326B38B9-D9AA-4687-890B-62118BB45C54}"/>
    <cellStyle name="Normal 5 3 5 2 4 2 2 3" xfId="25093" xr:uid="{7538DDCE-0838-43E1-A922-B987581DD7E2}"/>
    <cellStyle name="Normal 5 3 5 2 4 2 3" xfId="12435" xr:uid="{5D6BAECD-0E35-4635-852C-425F0A6E0F50}"/>
    <cellStyle name="Normal 5 3 5 2 4 2 4" xfId="20876" xr:uid="{4F91AA64-ABF7-400E-84A4-5C0A715F52D4}"/>
    <cellStyle name="Normal 5 3 5 2 4 3" xfId="6066" xr:uid="{00000000-0005-0000-0000-0000711A0000}"/>
    <cellStyle name="Normal 5 3 5 2 4 3 2" xfId="14508" xr:uid="{BE37A741-0195-4628-88E4-5BFDF8E736B0}"/>
    <cellStyle name="Normal 5 3 5 2 4 3 3" xfId="22948" xr:uid="{57A5FBF7-63D8-4F7F-83A2-74E1060578F4}"/>
    <cellStyle name="Normal 5 3 5 2 4 4" xfId="10290" xr:uid="{09F50EA0-37C8-4456-A3B4-97CDCB528BF3}"/>
    <cellStyle name="Normal 5 3 5 2 4 5" xfId="18731" xr:uid="{6431390F-5D37-460D-8D5A-74A5753C6041}"/>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17066" xr:uid="{E281FC28-1B0D-4281-B549-FD57FD5162A3}"/>
    <cellStyle name="Normal 5 3 5 2 5 2 2 3" xfId="25506" xr:uid="{FAA5D5D3-4768-47DC-A325-73E18EA1AA04}"/>
    <cellStyle name="Normal 5 3 5 2 5 2 3" xfId="12848" xr:uid="{2EE5AF3D-1B07-4DFE-871A-B60F82AD69D8}"/>
    <cellStyle name="Normal 5 3 5 2 5 2 4" xfId="21289" xr:uid="{3F07FA31-03ED-460D-98C9-3CC98A9D20BD}"/>
    <cellStyle name="Normal 5 3 5 2 5 3" xfId="6479" xr:uid="{00000000-0005-0000-0000-0000751A0000}"/>
    <cellStyle name="Normal 5 3 5 2 5 3 2" xfId="14921" xr:uid="{5140DAD8-2076-4139-973C-7C9DFFAD16B5}"/>
    <cellStyle name="Normal 5 3 5 2 5 3 3" xfId="23361" xr:uid="{03B2BE28-A7BD-43DB-9D1E-0A0338867DB2}"/>
    <cellStyle name="Normal 5 3 5 2 5 4" xfId="10703" xr:uid="{D146DF62-D6E2-4897-B0AB-3B1FA72F9AC3}"/>
    <cellStyle name="Normal 5 3 5 2 5 5" xfId="19144" xr:uid="{B6FF9166-BDBB-47D1-86E4-D512F983EE92}"/>
    <cellStyle name="Normal 5 3 5 2 6" xfId="2608" xr:uid="{00000000-0005-0000-0000-0000761A0000}"/>
    <cellStyle name="Normal 5 3 5 2 6 2" xfId="6892" xr:uid="{00000000-0005-0000-0000-0000771A0000}"/>
    <cellStyle name="Normal 5 3 5 2 6 2 2" xfId="15334" xr:uid="{27FD9D2A-26F5-450C-9185-E482595FD225}"/>
    <cellStyle name="Normal 5 3 5 2 6 2 3" xfId="23774" xr:uid="{27A111DA-043E-4771-92F0-EE749FB333CA}"/>
    <cellStyle name="Normal 5 3 5 2 6 3" xfId="11116" xr:uid="{88C91B2A-2D4F-4159-8BA3-DE71877A93B4}"/>
    <cellStyle name="Normal 5 3 5 2 6 4" xfId="19557" xr:uid="{33DB66BF-8A8B-4F5C-9A7F-97FC813EA75C}"/>
    <cellStyle name="Normal 5 3 5 2 7" xfId="4827" xr:uid="{00000000-0005-0000-0000-0000781A0000}"/>
    <cellStyle name="Normal 5 3 5 2 7 2" xfId="13269" xr:uid="{BDA4348B-2EC5-485A-98CB-4B6489E9C2EB}"/>
    <cellStyle name="Normal 5 3 5 2 7 3" xfId="21709" xr:uid="{EFF048B7-D5F3-4544-9DC1-BDB5C0982FB3}"/>
    <cellStyle name="Normal 5 3 5 2 8" xfId="9051" xr:uid="{13D24B3B-CBB9-4207-8163-F66BDAD22726}"/>
    <cellStyle name="Normal 5 3 5 2 9" xfId="17492" xr:uid="{479E1C65-B25A-418C-99EA-82BB6CAD06E0}"/>
    <cellStyle name="Normal 5 3 5 3" xfId="927" xr:uid="{00000000-0005-0000-0000-0000791A0000}"/>
    <cellStyle name="Normal 5 3 5 3 2" xfId="3161" xr:uid="{00000000-0005-0000-0000-00007A1A0000}"/>
    <cellStyle name="Normal 5 3 5 3 2 2" xfId="7384" xr:uid="{00000000-0005-0000-0000-00007B1A0000}"/>
    <cellStyle name="Normal 5 3 5 3 2 2 2" xfId="15826" xr:uid="{6E87D32A-888C-48CA-94D1-216EBE2F6077}"/>
    <cellStyle name="Normal 5 3 5 3 2 2 3" xfId="24266" xr:uid="{20B77E35-5291-4BF0-ABCC-537FE6D93A50}"/>
    <cellStyle name="Normal 5 3 5 3 2 3" xfId="11608" xr:uid="{576B0E81-C166-4223-9626-C47945DCF679}"/>
    <cellStyle name="Normal 5 3 5 3 2 4" xfId="20049" xr:uid="{57E92A2B-6805-418B-8BD3-75E8A1434A13}"/>
    <cellStyle name="Normal 5 3 5 3 3" xfId="5239" xr:uid="{00000000-0005-0000-0000-00007C1A0000}"/>
    <cellStyle name="Normal 5 3 5 3 3 2" xfId="13681" xr:uid="{ED9E513B-4FAA-4658-8624-FEE6D4C6975D}"/>
    <cellStyle name="Normal 5 3 5 3 3 3" xfId="22121" xr:uid="{8500D942-FE95-4F68-AEAF-740ACBBE1432}"/>
    <cellStyle name="Normal 5 3 5 3 4" xfId="9463" xr:uid="{37543174-F91D-46B9-91EB-B2FFA7146029}"/>
    <cellStyle name="Normal 5 3 5 3 5" xfId="17904" xr:uid="{6BF5B2DC-BC99-4879-AC7E-229C859069CD}"/>
    <cellStyle name="Normal 5 3 5 4" xfId="1344" xr:uid="{00000000-0005-0000-0000-00007D1A0000}"/>
    <cellStyle name="Normal 5 3 5 4 2" xfId="3574" xr:uid="{00000000-0005-0000-0000-00007E1A0000}"/>
    <cellStyle name="Normal 5 3 5 4 2 2" xfId="7797" xr:uid="{00000000-0005-0000-0000-00007F1A0000}"/>
    <cellStyle name="Normal 5 3 5 4 2 2 2" xfId="16239" xr:uid="{69BC77F4-639F-42A1-ADF2-4A894F8D2FE6}"/>
    <cellStyle name="Normal 5 3 5 4 2 2 3" xfId="24679" xr:uid="{D3777E88-EF0B-4210-9805-2A660B16F924}"/>
    <cellStyle name="Normal 5 3 5 4 2 3" xfId="12021" xr:uid="{A895BFAD-F2AD-4341-8E0C-2A8F8657B3DD}"/>
    <cellStyle name="Normal 5 3 5 4 2 4" xfId="20462" xr:uid="{C74FE579-31E6-4A76-A251-8BCDE67D8739}"/>
    <cellStyle name="Normal 5 3 5 4 3" xfId="5652" xr:uid="{00000000-0005-0000-0000-0000801A0000}"/>
    <cellStyle name="Normal 5 3 5 4 3 2" xfId="14094" xr:uid="{397B371E-C82D-42B7-A552-0515CFC633FA}"/>
    <cellStyle name="Normal 5 3 5 4 3 3" xfId="22534" xr:uid="{86C1E874-7A86-4265-8556-CDB564CB1DC1}"/>
    <cellStyle name="Normal 5 3 5 4 4" xfId="9876" xr:uid="{97229C31-C498-46FD-A8D2-4AF0DF85E3B7}"/>
    <cellStyle name="Normal 5 3 5 4 5" xfId="18317" xr:uid="{80C03011-39B7-4940-9313-EC7BA2A3FB82}"/>
    <cellStyle name="Normal 5 3 5 5" xfId="1757" xr:uid="{00000000-0005-0000-0000-0000811A0000}"/>
    <cellStyle name="Normal 5 3 5 5 2" xfId="3987" xr:uid="{00000000-0005-0000-0000-0000821A0000}"/>
    <cellStyle name="Normal 5 3 5 5 2 2" xfId="8210" xr:uid="{00000000-0005-0000-0000-0000831A0000}"/>
    <cellStyle name="Normal 5 3 5 5 2 2 2" xfId="16652" xr:uid="{DB470358-D4DF-4E81-A4EC-E8ED657AFFE3}"/>
    <cellStyle name="Normal 5 3 5 5 2 2 3" xfId="25092" xr:uid="{52C5A047-E733-4198-8C16-CB01050B0830}"/>
    <cellStyle name="Normal 5 3 5 5 2 3" xfId="12434" xr:uid="{3827B0AE-6E71-489B-99EA-8A546B61C123}"/>
    <cellStyle name="Normal 5 3 5 5 2 4" xfId="20875" xr:uid="{120B9B59-5685-4374-80AD-ADEB06A1EE13}"/>
    <cellStyle name="Normal 5 3 5 5 3" xfId="6065" xr:uid="{00000000-0005-0000-0000-0000841A0000}"/>
    <cellStyle name="Normal 5 3 5 5 3 2" xfId="14507" xr:uid="{E3785C23-E699-43D3-A216-01AD36F4C8C9}"/>
    <cellStyle name="Normal 5 3 5 5 3 3" xfId="22947" xr:uid="{D9F44CBC-DE0B-468E-AF58-94BF10230EEE}"/>
    <cellStyle name="Normal 5 3 5 5 4" xfId="10289" xr:uid="{85264DB5-BC94-4F74-A010-22545431382C}"/>
    <cellStyle name="Normal 5 3 5 5 5" xfId="18730" xr:uid="{49897D3F-2F68-4E30-8497-24DE02F769EC}"/>
    <cellStyle name="Normal 5 3 5 6" xfId="2171" xr:uid="{00000000-0005-0000-0000-0000851A0000}"/>
    <cellStyle name="Normal 5 3 5 6 2" xfId="4400" xr:uid="{00000000-0005-0000-0000-0000861A0000}"/>
    <cellStyle name="Normal 5 3 5 6 2 2" xfId="8623" xr:uid="{00000000-0005-0000-0000-0000871A0000}"/>
    <cellStyle name="Normal 5 3 5 6 2 2 2" xfId="17065" xr:uid="{544B0C32-72BE-4F8C-B607-032E54974C1B}"/>
    <cellStyle name="Normal 5 3 5 6 2 2 3" xfId="25505" xr:uid="{3F9DC72F-F5C4-4A75-BA34-411F6126EAAB}"/>
    <cellStyle name="Normal 5 3 5 6 2 3" xfId="12847" xr:uid="{D5AF6D1E-4BB6-4F67-9D61-7F2C35154177}"/>
    <cellStyle name="Normal 5 3 5 6 2 4" xfId="21288" xr:uid="{CACBB5A1-2D16-4EBE-ACED-D7303D3E48A0}"/>
    <cellStyle name="Normal 5 3 5 6 3" xfId="6478" xr:uid="{00000000-0005-0000-0000-0000881A0000}"/>
    <cellStyle name="Normal 5 3 5 6 3 2" xfId="14920" xr:uid="{7B1566CD-8074-4FE0-8D89-DF893527364D}"/>
    <cellStyle name="Normal 5 3 5 6 3 3" xfId="23360" xr:uid="{D1B89857-C46B-4813-96ED-BE50735C7E80}"/>
    <cellStyle name="Normal 5 3 5 6 4" xfId="10702" xr:uid="{F0BB9C92-4853-4678-84F2-A7F6C37E9E84}"/>
    <cellStyle name="Normal 5 3 5 6 5" xfId="19143" xr:uid="{15C865FA-61C5-4208-BC99-3E84F8A96EBF}"/>
    <cellStyle name="Normal 5 3 5 7" xfId="2607" xr:uid="{00000000-0005-0000-0000-0000891A0000}"/>
    <cellStyle name="Normal 5 3 5 7 2" xfId="6891" xr:uid="{00000000-0005-0000-0000-00008A1A0000}"/>
    <cellStyle name="Normal 5 3 5 7 2 2" xfId="15333" xr:uid="{7344703C-6B5B-4090-872E-986F5F6C3FC4}"/>
    <cellStyle name="Normal 5 3 5 7 2 3" xfId="23773" xr:uid="{13B6A03F-7F68-460F-96A8-0033E9175AA0}"/>
    <cellStyle name="Normal 5 3 5 7 3" xfId="11115" xr:uid="{E3A633D1-3485-44D2-B87F-93781ADECC8F}"/>
    <cellStyle name="Normal 5 3 5 7 4" xfId="19556" xr:uid="{F2598A2D-CC46-48EC-867E-BE69F8178460}"/>
    <cellStyle name="Normal 5 3 5 8" xfId="4826" xr:uid="{00000000-0005-0000-0000-00008B1A0000}"/>
    <cellStyle name="Normal 5 3 5 8 2" xfId="13268" xr:uid="{852145FA-C46C-43CE-B609-8D7CD236124B}"/>
    <cellStyle name="Normal 5 3 5 8 3" xfId="21708" xr:uid="{075448DA-7955-4306-9162-B433AC374A73}"/>
    <cellStyle name="Normal 5 3 5 9" xfId="9050" xr:uid="{123173F5-DCE4-4CE4-A831-44A8AAECA77C}"/>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2 2 2" xfId="15828" xr:uid="{9B7F3EE7-EF05-4322-9F47-3A6A0B13F620}"/>
    <cellStyle name="Normal 5 3 6 2 2 2 3" xfId="24268" xr:uid="{E4D182DB-D2DA-4A6A-8DD5-369CE41CD81F}"/>
    <cellStyle name="Normal 5 3 6 2 2 3" xfId="11610" xr:uid="{ACFB0469-B09B-4A41-A056-17A64CE4F9DA}"/>
    <cellStyle name="Normal 5 3 6 2 2 4" xfId="20051" xr:uid="{D86A0F8D-409A-44CC-A97A-EEFE788D57F3}"/>
    <cellStyle name="Normal 5 3 6 2 3" xfId="5241" xr:uid="{00000000-0005-0000-0000-0000901A0000}"/>
    <cellStyle name="Normal 5 3 6 2 3 2" xfId="13683" xr:uid="{5B232CFB-E4BD-4F39-93D7-F0239B294401}"/>
    <cellStyle name="Normal 5 3 6 2 3 3" xfId="22123" xr:uid="{8935B4F8-10D6-4468-BB5E-EE0A3AD55809}"/>
    <cellStyle name="Normal 5 3 6 2 4" xfId="9465" xr:uid="{589CB21F-1351-4FBC-9122-682E974A02F6}"/>
    <cellStyle name="Normal 5 3 6 2 5" xfId="17906" xr:uid="{72E74E2C-89F7-4243-A248-1E85AD1A834B}"/>
    <cellStyle name="Normal 5 3 6 3" xfId="1346" xr:uid="{00000000-0005-0000-0000-0000911A0000}"/>
    <cellStyle name="Normal 5 3 6 3 2" xfId="3576" xr:uid="{00000000-0005-0000-0000-0000921A0000}"/>
    <cellStyle name="Normal 5 3 6 3 2 2" xfId="7799" xr:uid="{00000000-0005-0000-0000-0000931A0000}"/>
    <cellStyle name="Normal 5 3 6 3 2 2 2" xfId="16241" xr:uid="{BCB64CD4-D39C-4976-AF5F-287C02227C7F}"/>
    <cellStyle name="Normal 5 3 6 3 2 2 3" xfId="24681" xr:uid="{F151D3F4-5F6B-47C1-BC64-67E4C169A2A3}"/>
    <cellStyle name="Normal 5 3 6 3 2 3" xfId="12023" xr:uid="{6C6E1B5A-81B3-4091-AB72-B2818AAD424B}"/>
    <cellStyle name="Normal 5 3 6 3 2 4" xfId="20464" xr:uid="{E5B30637-F5E4-4A2F-AE06-DDA53F810DA5}"/>
    <cellStyle name="Normal 5 3 6 3 3" xfId="5654" xr:uid="{00000000-0005-0000-0000-0000941A0000}"/>
    <cellStyle name="Normal 5 3 6 3 3 2" xfId="14096" xr:uid="{D8CD7F1D-3DCE-414A-9D9A-9F6C89822B39}"/>
    <cellStyle name="Normal 5 3 6 3 3 3" xfId="22536" xr:uid="{A2186166-7AC9-4F3C-A461-E54169D810A6}"/>
    <cellStyle name="Normal 5 3 6 3 4" xfId="9878" xr:uid="{6E892A88-FB3F-45B6-8B9E-17975DBC75BF}"/>
    <cellStyle name="Normal 5 3 6 3 5" xfId="18319" xr:uid="{18A4ECAA-B114-4EAD-946D-EEF38946B83D}"/>
    <cellStyle name="Normal 5 3 6 4" xfId="1759" xr:uid="{00000000-0005-0000-0000-0000951A0000}"/>
    <cellStyle name="Normal 5 3 6 4 2" xfId="3989" xr:uid="{00000000-0005-0000-0000-0000961A0000}"/>
    <cellStyle name="Normal 5 3 6 4 2 2" xfId="8212" xr:uid="{00000000-0005-0000-0000-0000971A0000}"/>
    <cellStyle name="Normal 5 3 6 4 2 2 2" xfId="16654" xr:uid="{E4F1FCD8-06AA-43F6-9ED4-2A46E3DB9BC5}"/>
    <cellStyle name="Normal 5 3 6 4 2 2 3" xfId="25094" xr:uid="{B34D2561-349B-40D1-8DFA-667AD7DACD34}"/>
    <cellStyle name="Normal 5 3 6 4 2 3" xfId="12436" xr:uid="{AA24F957-7AAC-4866-B487-A4B308F46F4A}"/>
    <cellStyle name="Normal 5 3 6 4 2 4" xfId="20877" xr:uid="{4E8D80F2-C8E8-484B-9831-75B09B7E50AE}"/>
    <cellStyle name="Normal 5 3 6 4 3" xfId="6067" xr:uid="{00000000-0005-0000-0000-0000981A0000}"/>
    <cellStyle name="Normal 5 3 6 4 3 2" xfId="14509" xr:uid="{96E0E309-D189-4072-B411-89655E5501EA}"/>
    <cellStyle name="Normal 5 3 6 4 3 3" xfId="22949" xr:uid="{DAA20D4F-C602-4F9D-8A46-6E00BE13582E}"/>
    <cellStyle name="Normal 5 3 6 4 4" xfId="10291" xr:uid="{A9CDF490-9C6F-4076-8CA5-642FDA55846A}"/>
    <cellStyle name="Normal 5 3 6 4 5" xfId="18732" xr:uid="{63295903-15EC-410E-8397-EBBAB7D3FC76}"/>
    <cellStyle name="Normal 5 3 6 5" xfId="2173" xr:uid="{00000000-0005-0000-0000-0000991A0000}"/>
    <cellStyle name="Normal 5 3 6 5 2" xfId="4402" xr:uid="{00000000-0005-0000-0000-00009A1A0000}"/>
    <cellStyle name="Normal 5 3 6 5 2 2" xfId="8625" xr:uid="{00000000-0005-0000-0000-00009B1A0000}"/>
    <cellStyle name="Normal 5 3 6 5 2 2 2" xfId="17067" xr:uid="{1AE95027-C8E2-438F-A9BC-D933B22408DC}"/>
    <cellStyle name="Normal 5 3 6 5 2 2 3" xfId="25507" xr:uid="{6B29874B-CE0B-4546-A2A3-888AE8CD0B94}"/>
    <cellStyle name="Normal 5 3 6 5 2 3" xfId="12849" xr:uid="{A560D1EA-E002-42F6-9BEF-7EF7F39D6CCB}"/>
    <cellStyle name="Normal 5 3 6 5 2 4" xfId="21290" xr:uid="{B4B8FE1D-5AD4-40FC-8ED9-F651711237F4}"/>
    <cellStyle name="Normal 5 3 6 5 3" xfId="6480" xr:uid="{00000000-0005-0000-0000-00009C1A0000}"/>
    <cellStyle name="Normal 5 3 6 5 3 2" xfId="14922" xr:uid="{BDE163FD-4098-4F36-8D09-AA5444D7477D}"/>
    <cellStyle name="Normal 5 3 6 5 3 3" xfId="23362" xr:uid="{37701B4C-D716-4877-B024-73EF4E3CF808}"/>
    <cellStyle name="Normal 5 3 6 5 4" xfId="10704" xr:uid="{D0E0C0B4-6DEF-499B-AAEA-D656B95CA87B}"/>
    <cellStyle name="Normal 5 3 6 5 5" xfId="19145" xr:uid="{96EADD3A-462E-412E-BAF9-99337859E095}"/>
    <cellStyle name="Normal 5 3 6 6" xfId="2609" xr:uid="{00000000-0005-0000-0000-00009D1A0000}"/>
    <cellStyle name="Normal 5 3 6 6 2" xfId="6893" xr:uid="{00000000-0005-0000-0000-00009E1A0000}"/>
    <cellStyle name="Normal 5 3 6 6 2 2" xfId="15335" xr:uid="{8AE37875-31EF-40F1-887D-7587770B166B}"/>
    <cellStyle name="Normal 5 3 6 6 2 3" xfId="23775" xr:uid="{6A1CE6D9-C9E3-479A-9500-8D66E7FF5DFF}"/>
    <cellStyle name="Normal 5 3 6 6 3" xfId="11117" xr:uid="{F0BDD1A0-1BFC-444D-A652-6A77A33C48EA}"/>
    <cellStyle name="Normal 5 3 6 6 4" xfId="19558" xr:uid="{A9607691-7F60-445F-91E7-FEEEBD086DF9}"/>
    <cellStyle name="Normal 5 3 6 7" xfId="4828" xr:uid="{00000000-0005-0000-0000-00009F1A0000}"/>
    <cellStyle name="Normal 5 3 6 7 2" xfId="13270" xr:uid="{05C8434A-70EE-4AAD-8242-82F78A0F0869}"/>
    <cellStyle name="Normal 5 3 6 7 3" xfId="21710" xr:uid="{DBD6A54C-3A70-4290-92F2-4D0E4B3A9103}"/>
    <cellStyle name="Normal 5 3 6 8" xfId="9052" xr:uid="{6B8C21A4-CB3F-4769-B2EF-EB44DEF8A21A}"/>
    <cellStyle name="Normal 5 3 6 9" xfId="17493" xr:uid="{D7C4764F-926E-49CF-8D10-71CCB69EFA59}"/>
    <cellStyle name="Normal 5 3 7" xfId="913" xr:uid="{00000000-0005-0000-0000-0000A01A0000}"/>
    <cellStyle name="Normal 5 3 7 2" xfId="3148" xr:uid="{00000000-0005-0000-0000-0000A11A0000}"/>
    <cellStyle name="Normal 5 3 7 2 2" xfId="7371" xr:uid="{00000000-0005-0000-0000-0000A21A0000}"/>
    <cellStyle name="Normal 5 3 7 2 2 2" xfId="15813" xr:uid="{35C16A85-D586-44EE-BF3C-7AF784DBE60A}"/>
    <cellStyle name="Normal 5 3 7 2 2 3" xfId="24253" xr:uid="{74CB6199-354A-40BA-A175-118DA206EFF7}"/>
    <cellStyle name="Normal 5 3 7 2 3" xfId="11595" xr:uid="{32423F9E-1BCD-4B38-AB89-E70AC6036B8B}"/>
    <cellStyle name="Normal 5 3 7 2 4" xfId="20036" xr:uid="{321CBE78-4D6D-4FE6-8DDC-83B67E9E5B8E}"/>
    <cellStyle name="Normal 5 3 7 3" xfId="5226" xr:uid="{00000000-0005-0000-0000-0000A31A0000}"/>
    <cellStyle name="Normal 5 3 7 3 2" xfId="13668" xr:uid="{3C52538F-ACF6-4CA0-9190-E1820D00C84F}"/>
    <cellStyle name="Normal 5 3 7 3 3" xfId="22108" xr:uid="{21CA7E9C-26CE-4113-989E-BEDD4C3437E9}"/>
    <cellStyle name="Normal 5 3 7 4" xfId="9450" xr:uid="{E7C0EEE4-F477-4805-9A6B-5FFC32AEFC3B}"/>
    <cellStyle name="Normal 5 3 7 5" xfId="17891" xr:uid="{76C77282-7206-41A5-8A3B-CF1E1E3ABF55}"/>
    <cellStyle name="Normal 5 3 8" xfId="1331" xr:uid="{00000000-0005-0000-0000-0000A41A0000}"/>
    <cellStyle name="Normal 5 3 8 2" xfId="3561" xr:uid="{00000000-0005-0000-0000-0000A51A0000}"/>
    <cellStyle name="Normal 5 3 8 2 2" xfId="7784" xr:uid="{00000000-0005-0000-0000-0000A61A0000}"/>
    <cellStyle name="Normal 5 3 8 2 2 2" xfId="16226" xr:uid="{FB49A609-AB8E-4210-9345-F770B4520C52}"/>
    <cellStyle name="Normal 5 3 8 2 2 3" xfId="24666" xr:uid="{377E9DA3-D1F7-40ED-A6C8-FB989DB37A18}"/>
    <cellStyle name="Normal 5 3 8 2 3" xfId="12008" xr:uid="{D78CBF30-5452-4D4E-B656-1D33D5BE6D2E}"/>
    <cellStyle name="Normal 5 3 8 2 4" xfId="20449" xr:uid="{C0B5498B-96CC-472C-B5AB-FF381B17B44E}"/>
    <cellStyle name="Normal 5 3 8 3" xfId="5639" xr:uid="{00000000-0005-0000-0000-0000A71A0000}"/>
    <cellStyle name="Normal 5 3 8 3 2" xfId="14081" xr:uid="{34C9AA7B-EC18-410E-9003-EAD06C507A9B}"/>
    <cellStyle name="Normal 5 3 8 3 3" xfId="22521" xr:uid="{5AF58F1B-0A5E-402A-A281-A11560F0F5AE}"/>
    <cellStyle name="Normal 5 3 8 4" xfId="9863" xr:uid="{BD5758D9-9B1D-4422-BF9A-1BA36E0DC1F7}"/>
    <cellStyle name="Normal 5 3 8 5" xfId="18304" xr:uid="{F08BC2BD-7E7D-4D12-9693-1181E98CB856}"/>
    <cellStyle name="Normal 5 3 9" xfId="1744" xr:uid="{00000000-0005-0000-0000-0000A81A0000}"/>
    <cellStyle name="Normal 5 3 9 2" xfId="3974" xr:uid="{00000000-0005-0000-0000-0000A91A0000}"/>
    <cellStyle name="Normal 5 3 9 2 2" xfId="8197" xr:uid="{00000000-0005-0000-0000-0000AA1A0000}"/>
    <cellStyle name="Normal 5 3 9 2 2 2" xfId="16639" xr:uid="{CD11B9DD-5A82-4CAA-9870-B4AB6DEDA6BC}"/>
    <cellStyle name="Normal 5 3 9 2 2 3" xfId="25079" xr:uid="{04627FC7-A518-4489-82AC-ED98C4DDA2D3}"/>
    <cellStyle name="Normal 5 3 9 2 3" xfId="12421" xr:uid="{1F89A52E-21E8-49EC-A173-1CA9BE27ABEC}"/>
    <cellStyle name="Normal 5 3 9 2 4" xfId="20862" xr:uid="{6256BEC8-834C-43A5-9EBF-AC9D7DAF0DF4}"/>
    <cellStyle name="Normal 5 3 9 3" xfId="6052" xr:uid="{00000000-0005-0000-0000-0000AB1A0000}"/>
    <cellStyle name="Normal 5 3 9 3 2" xfId="14494" xr:uid="{8DF593D4-5BEE-444A-859D-9970358BDD76}"/>
    <cellStyle name="Normal 5 3 9 3 3" xfId="22934" xr:uid="{E3ABC90F-A18B-45E2-8DD3-57C27E82A18B}"/>
    <cellStyle name="Normal 5 3 9 4" xfId="10276" xr:uid="{94DE7B21-D527-4E74-8354-1A6155808A3C}"/>
    <cellStyle name="Normal 5 3 9 5" xfId="18717" xr:uid="{25335E5A-E5E4-41F1-8AAD-F7E2A6C91C43}"/>
    <cellStyle name="Normal 5 4" xfId="456" xr:uid="{00000000-0005-0000-0000-0000AC1A0000}"/>
    <cellStyle name="Normal 5 4 10" xfId="4829" xr:uid="{00000000-0005-0000-0000-0000AD1A0000}"/>
    <cellStyle name="Normal 5 4 10 2" xfId="13271" xr:uid="{887B8D42-748F-4D5D-87DC-B4CFFEDEDF14}"/>
    <cellStyle name="Normal 5 4 10 3" xfId="21711" xr:uid="{11035CBA-A1DE-4441-9371-07147A03E37A}"/>
    <cellStyle name="Normal 5 4 11" xfId="9053" xr:uid="{280BC05E-7403-475C-9ED1-36EB8E284786}"/>
    <cellStyle name="Normal 5 4 12" xfId="17494" xr:uid="{18CDF447-C740-4CAF-951D-C5623AD7885A}"/>
    <cellStyle name="Normal 5 4 2" xfId="457" xr:uid="{00000000-0005-0000-0000-0000AE1A0000}"/>
    <cellStyle name="Normal 5 4 2 10" xfId="9054" xr:uid="{BE079225-CCB1-4C99-A6BA-DD91DD2152D4}"/>
    <cellStyle name="Normal 5 4 2 11" xfId="17495" xr:uid="{EEE99CCC-BA54-4C98-BA32-E6C97F18ED41}"/>
    <cellStyle name="Normal 5 4 2 2" xfId="458" xr:uid="{00000000-0005-0000-0000-0000AF1A0000}"/>
    <cellStyle name="Normal 5 4 2 2 10" xfId="17496" xr:uid="{E0BB324D-B686-4DE1-9E0D-A42DB6D6E87E}"/>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15832" xr:uid="{C7A5C2BD-34A0-41B2-8703-75EE891D96F3}"/>
    <cellStyle name="Normal 5 4 2 2 2 2 2 2 3" xfId="24272" xr:uid="{44786825-9540-45D7-BF69-F88F4536F5FB}"/>
    <cellStyle name="Normal 5 4 2 2 2 2 2 3" xfId="11614" xr:uid="{8B24A312-A67D-406D-A8D0-FA58CA7CB8FE}"/>
    <cellStyle name="Normal 5 4 2 2 2 2 2 4" xfId="20055" xr:uid="{EA53F6DD-4694-4C29-BA84-366143D2E588}"/>
    <cellStyle name="Normal 5 4 2 2 2 2 3" xfId="5245" xr:uid="{00000000-0005-0000-0000-0000B41A0000}"/>
    <cellStyle name="Normal 5 4 2 2 2 2 3 2" xfId="13687" xr:uid="{251EED5A-E3AD-4E7A-811A-7F4C4C42E6F4}"/>
    <cellStyle name="Normal 5 4 2 2 2 2 3 3" xfId="22127" xr:uid="{C86FCF87-EDCC-4211-8661-5A5EDF06EDE4}"/>
    <cellStyle name="Normal 5 4 2 2 2 2 4" xfId="9469" xr:uid="{C30BC38D-AAEB-4214-9719-6D818D845FA3}"/>
    <cellStyle name="Normal 5 4 2 2 2 2 5" xfId="17910" xr:uid="{3EDCABFF-7C16-41A0-A8FA-7FA97CC274A7}"/>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16245" xr:uid="{3FF54FEA-2DBF-4E82-B9E1-82E635ED1253}"/>
    <cellStyle name="Normal 5 4 2 2 2 3 2 2 3" xfId="24685" xr:uid="{9F8978B7-BC07-477F-B89F-C0794B149DAB}"/>
    <cellStyle name="Normal 5 4 2 2 2 3 2 3" xfId="12027" xr:uid="{BDB9D1BD-F9A2-4541-A9BA-23E0F3E93A6A}"/>
    <cellStyle name="Normal 5 4 2 2 2 3 2 4" xfId="20468" xr:uid="{9ED6D5CD-5245-4FFE-BDD3-6FDAB5132D17}"/>
    <cellStyle name="Normal 5 4 2 2 2 3 3" xfId="5658" xr:uid="{00000000-0005-0000-0000-0000B81A0000}"/>
    <cellStyle name="Normal 5 4 2 2 2 3 3 2" xfId="14100" xr:uid="{64E4249D-5D2A-4190-83FF-D6D2AF43881D}"/>
    <cellStyle name="Normal 5 4 2 2 2 3 3 3" xfId="22540" xr:uid="{BBDCF933-C8FD-4C5F-8D36-E6C477E9A003}"/>
    <cellStyle name="Normal 5 4 2 2 2 3 4" xfId="9882" xr:uid="{578AA37E-B185-40BC-A4C8-2159BCDE9892}"/>
    <cellStyle name="Normal 5 4 2 2 2 3 5" xfId="18323" xr:uid="{8E6E46B7-E0DE-4E70-B52C-ABEAEDD5E16F}"/>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16658" xr:uid="{E5915E68-E49E-43B4-974E-2C730C3A687F}"/>
    <cellStyle name="Normal 5 4 2 2 2 4 2 2 3" xfId="25098" xr:uid="{518C2449-B09A-416C-9343-0E56C77DF470}"/>
    <cellStyle name="Normal 5 4 2 2 2 4 2 3" xfId="12440" xr:uid="{444643E8-1B9C-4FE9-A93A-AC1D44F4AC4A}"/>
    <cellStyle name="Normal 5 4 2 2 2 4 2 4" xfId="20881" xr:uid="{4EB5D8DF-1E2C-46CC-B937-FD204D8E962E}"/>
    <cellStyle name="Normal 5 4 2 2 2 4 3" xfId="6071" xr:uid="{00000000-0005-0000-0000-0000BC1A0000}"/>
    <cellStyle name="Normal 5 4 2 2 2 4 3 2" xfId="14513" xr:uid="{690E5D71-F22B-4202-BBEA-97DF89C489AC}"/>
    <cellStyle name="Normal 5 4 2 2 2 4 3 3" xfId="22953" xr:uid="{2A692217-3241-427E-AE6C-B5044F550737}"/>
    <cellStyle name="Normal 5 4 2 2 2 4 4" xfId="10295" xr:uid="{250C2009-9C68-463B-B559-DD67CBFCC1FC}"/>
    <cellStyle name="Normal 5 4 2 2 2 4 5" xfId="18736" xr:uid="{32AB18E3-957F-4322-88AA-62713EDD823E}"/>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17071" xr:uid="{8F2E2749-392F-46C0-BADC-59A708B25C1E}"/>
    <cellStyle name="Normal 5 4 2 2 2 5 2 2 3" xfId="25511" xr:uid="{30E1C652-2BF8-470F-AA76-F6230F788A79}"/>
    <cellStyle name="Normal 5 4 2 2 2 5 2 3" xfId="12853" xr:uid="{2B2BFEF3-75A3-4A36-97F8-525F24DCE3B3}"/>
    <cellStyle name="Normal 5 4 2 2 2 5 2 4" xfId="21294" xr:uid="{D8433238-4E65-4DD2-B332-61E13D74F309}"/>
    <cellStyle name="Normal 5 4 2 2 2 5 3" xfId="6484" xr:uid="{00000000-0005-0000-0000-0000C01A0000}"/>
    <cellStyle name="Normal 5 4 2 2 2 5 3 2" xfId="14926" xr:uid="{FE98E28B-ADA7-4DA4-A2A0-05600542269F}"/>
    <cellStyle name="Normal 5 4 2 2 2 5 3 3" xfId="23366" xr:uid="{221758E8-9632-4833-B63E-28A6C016932F}"/>
    <cellStyle name="Normal 5 4 2 2 2 5 4" xfId="10708" xr:uid="{4502D22B-1D0F-4B80-AB12-73293F508B54}"/>
    <cellStyle name="Normal 5 4 2 2 2 5 5" xfId="19149" xr:uid="{6C67432A-A6F3-4C76-8FDB-EA087E3129E3}"/>
    <cellStyle name="Normal 5 4 2 2 2 6" xfId="2613" xr:uid="{00000000-0005-0000-0000-0000C11A0000}"/>
    <cellStyle name="Normal 5 4 2 2 2 6 2" xfId="6897" xr:uid="{00000000-0005-0000-0000-0000C21A0000}"/>
    <cellStyle name="Normal 5 4 2 2 2 6 2 2" xfId="15339" xr:uid="{DE0A16CB-8444-45E4-823F-DF57A24A96B9}"/>
    <cellStyle name="Normal 5 4 2 2 2 6 2 3" xfId="23779" xr:uid="{E19A4B19-9347-476C-B623-CE1CC08EE5EC}"/>
    <cellStyle name="Normal 5 4 2 2 2 6 3" xfId="11121" xr:uid="{54B3B6B1-41FC-4142-ABDD-D72ADA7FD4B8}"/>
    <cellStyle name="Normal 5 4 2 2 2 6 4" xfId="19562" xr:uid="{26A1FEB5-49BC-4B2D-90AD-AF310780AAD6}"/>
    <cellStyle name="Normal 5 4 2 2 2 7" xfId="4832" xr:uid="{00000000-0005-0000-0000-0000C31A0000}"/>
    <cellStyle name="Normal 5 4 2 2 2 7 2" xfId="13274" xr:uid="{DE35781C-CD94-4AF4-8B4C-6A2A5B8F4061}"/>
    <cellStyle name="Normal 5 4 2 2 2 7 3" xfId="21714" xr:uid="{E2C59325-577B-4028-AA78-7749025745BA}"/>
    <cellStyle name="Normal 5 4 2 2 2 8" xfId="9056" xr:uid="{4028BA19-79BA-4ABC-94AC-AA62E4F95EA5}"/>
    <cellStyle name="Normal 5 4 2 2 2 9" xfId="17497" xr:uid="{E63DA10D-20F2-4EA4-BA60-FF31ED9EC02C}"/>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15831" xr:uid="{08A41ABB-BC3B-4C68-A532-83045575DA1C}"/>
    <cellStyle name="Normal 5 4 2 2 3 2 2 3" xfId="24271" xr:uid="{CA1EE858-A4D1-4522-8218-FDCD9F1D23A7}"/>
    <cellStyle name="Normal 5 4 2 2 3 2 3" xfId="11613" xr:uid="{B5F61A32-2F1E-4E41-ACCD-3FAF3E424F67}"/>
    <cellStyle name="Normal 5 4 2 2 3 2 4" xfId="20054" xr:uid="{CFB1074F-0528-457E-A84B-5AEE26638DC4}"/>
    <cellStyle name="Normal 5 4 2 2 3 3" xfId="5244" xr:uid="{00000000-0005-0000-0000-0000C71A0000}"/>
    <cellStyle name="Normal 5 4 2 2 3 3 2" xfId="13686" xr:uid="{C07E1ACB-DE1B-4FEE-8BBC-9CC37781E630}"/>
    <cellStyle name="Normal 5 4 2 2 3 3 3" xfId="22126" xr:uid="{75DF5046-3B22-4917-9385-66271F1E1DE7}"/>
    <cellStyle name="Normal 5 4 2 2 3 4" xfId="9468" xr:uid="{0EBB5A1B-16B0-45C7-8928-594AFDD7C307}"/>
    <cellStyle name="Normal 5 4 2 2 3 5" xfId="17909" xr:uid="{5F4501B2-D192-4A3E-8116-8E00D847803E}"/>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16244" xr:uid="{4CCE8B13-8165-4B56-A6BC-6C6CA150C2E8}"/>
    <cellStyle name="Normal 5 4 2 2 4 2 2 3" xfId="24684" xr:uid="{DCC656A3-05E7-49CB-9F38-CF3103D49E94}"/>
    <cellStyle name="Normal 5 4 2 2 4 2 3" xfId="12026" xr:uid="{B8FF916D-7CC7-4D1F-8A44-9EA138E58F46}"/>
    <cellStyle name="Normal 5 4 2 2 4 2 4" xfId="20467" xr:uid="{B99720F1-8169-4341-90F8-2B59D02F3701}"/>
    <cellStyle name="Normal 5 4 2 2 4 3" xfId="5657" xr:uid="{00000000-0005-0000-0000-0000CB1A0000}"/>
    <cellStyle name="Normal 5 4 2 2 4 3 2" xfId="14099" xr:uid="{4E64D688-747F-4F00-A5D1-63F06A31F87D}"/>
    <cellStyle name="Normal 5 4 2 2 4 3 3" xfId="22539" xr:uid="{100D031D-12F1-4F2C-8DD1-4C0F22D5E62B}"/>
    <cellStyle name="Normal 5 4 2 2 4 4" xfId="9881" xr:uid="{0C702341-85DE-437A-8CE5-C36CF6A73716}"/>
    <cellStyle name="Normal 5 4 2 2 4 5" xfId="18322" xr:uid="{BB98749C-98F7-41A5-8890-2963BF66089E}"/>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16657" xr:uid="{9D38FE96-6652-4D0A-BFA6-F0378E8F966A}"/>
    <cellStyle name="Normal 5 4 2 2 5 2 2 3" xfId="25097" xr:uid="{970D4BE0-2E4D-42B9-970F-23C8978B876A}"/>
    <cellStyle name="Normal 5 4 2 2 5 2 3" xfId="12439" xr:uid="{44DA1476-B621-46F0-B393-E63A863688D3}"/>
    <cellStyle name="Normal 5 4 2 2 5 2 4" xfId="20880" xr:uid="{9F03C344-EF2F-421D-9EFC-A89FA6B30202}"/>
    <cellStyle name="Normal 5 4 2 2 5 3" xfId="6070" xr:uid="{00000000-0005-0000-0000-0000CF1A0000}"/>
    <cellStyle name="Normal 5 4 2 2 5 3 2" xfId="14512" xr:uid="{1F390476-37CD-4F3F-8641-503E2101E7D0}"/>
    <cellStyle name="Normal 5 4 2 2 5 3 3" xfId="22952" xr:uid="{62BF9DEA-6984-4104-9F95-D535DA899E3E}"/>
    <cellStyle name="Normal 5 4 2 2 5 4" xfId="10294" xr:uid="{8B4D7576-0E84-4DE3-A29D-FD95E897D954}"/>
    <cellStyle name="Normal 5 4 2 2 5 5" xfId="18735" xr:uid="{4A5313CD-E26D-4F21-9962-41E3BC206729}"/>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17070" xr:uid="{8D714471-45D7-4648-9DD2-452FEE821387}"/>
    <cellStyle name="Normal 5 4 2 2 6 2 2 3" xfId="25510" xr:uid="{BBFBBF5C-7432-4825-ABFD-B709BE8A14DF}"/>
    <cellStyle name="Normal 5 4 2 2 6 2 3" xfId="12852" xr:uid="{53138D6E-B826-4BAD-89A8-73027C329F9C}"/>
    <cellStyle name="Normal 5 4 2 2 6 2 4" xfId="21293" xr:uid="{31E83458-B063-42C1-A6B4-3BFC0F36D31B}"/>
    <cellStyle name="Normal 5 4 2 2 6 3" xfId="6483" xr:uid="{00000000-0005-0000-0000-0000D31A0000}"/>
    <cellStyle name="Normal 5 4 2 2 6 3 2" xfId="14925" xr:uid="{DDDFB63C-114A-40C0-B8B7-2FD3D3E667A9}"/>
    <cellStyle name="Normal 5 4 2 2 6 3 3" xfId="23365" xr:uid="{39D1FB33-C9FE-45EF-8B46-96AFB64FD243}"/>
    <cellStyle name="Normal 5 4 2 2 6 4" xfId="10707" xr:uid="{BD6B954A-EC62-4687-B5D6-66855326B520}"/>
    <cellStyle name="Normal 5 4 2 2 6 5" xfId="19148" xr:uid="{C2CFD3E9-14AF-4777-81D6-C48EBEAB1EC5}"/>
    <cellStyle name="Normal 5 4 2 2 7" xfId="2612" xr:uid="{00000000-0005-0000-0000-0000D41A0000}"/>
    <cellStyle name="Normal 5 4 2 2 7 2" xfId="6896" xr:uid="{00000000-0005-0000-0000-0000D51A0000}"/>
    <cellStyle name="Normal 5 4 2 2 7 2 2" xfId="15338" xr:uid="{860216E0-D689-4075-A0C6-FAD08595A97D}"/>
    <cellStyle name="Normal 5 4 2 2 7 2 3" xfId="23778" xr:uid="{E6FF5F3E-4121-4863-8C02-128B02F82E7E}"/>
    <cellStyle name="Normal 5 4 2 2 7 3" xfId="11120" xr:uid="{9FED4579-5EEB-4821-B28D-469E88013CD3}"/>
    <cellStyle name="Normal 5 4 2 2 7 4" xfId="19561" xr:uid="{DC1F8C4E-780D-4462-B33A-DAC3F00025FD}"/>
    <cellStyle name="Normal 5 4 2 2 8" xfId="4831" xr:uid="{00000000-0005-0000-0000-0000D61A0000}"/>
    <cellStyle name="Normal 5 4 2 2 8 2" xfId="13273" xr:uid="{D618D0EA-5F8B-432D-9D3C-68E0E150AA7B}"/>
    <cellStyle name="Normal 5 4 2 2 8 3" xfId="21713" xr:uid="{D2F7CE26-55BE-4347-93B9-F577E7BBB131}"/>
    <cellStyle name="Normal 5 4 2 2 9" xfId="9055" xr:uid="{AEB3C4C4-D7EE-416A-B489-040290FEE924}"/>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15833" xr:uid="{0F55974A-FF46-4F74-AFAC-272D0FAB1869}"/>
    <cellStyle name="Normal 5 4 2 3 2 2 2 3" xfId="24273" xr:uid="{6A85EF5C-5B1E-4316-AF4E-AEFDD50B22A4}"/>
    <cellStyle name="Normal 5 4 2 3 2 2 3" xfId="11615" xr:uid="{BD242620-7102-4F39-BB99-BCBE058D5CF1}"/>
    <cellStyle name="Normal 5 4 2 3 2 2 4" xfId="20056" xr:uid="{E59496E0-C799-443A-B875-3CEAA8B0F84E}"/>
    <cellStyle name="Normal 5 4 2 3 2 3" xfId="5246" xr:uid="{00000000-0005-0000-0000-0000DB1A0000}"/>
    <cellStyle name="Normal 5 4 2 3 2 3 2" xfId="13688" xr:uid="{5B48AF69-FED7-462D-B3D2-B172440B2798}"/>
    <cellStyle name="Normal 5 4 2 3 2 3 3" xfId="22128" xr:uid="{3DC42B62-A324-4B8B-B217-D2A624C3D14D}"/>
    <cellStyle name="Normal 5 4 2 3 2 4" xfId="9470" xr:uid="{4DDE81E4-5E64-4565-838F-802AE998B3FD}"/>
    <cellStyle name="Normal 5 4 2 3 2 5" xfId="17911" xr:uid="{235A1C31-F07E-4808-A7BB-280D04484BAE}"/>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16246" xr:uid="{40DC3650-ECBF-4AA4-9907-C0D84937B92E}"/>
    <cellStyle name="Normal 5 4 2 3 3 2 2 3" xfId="24686" xr:uid="{64AE2668-CC0E-4D56-A514-3A92AF0BA019}"/>
    <cellStyle name="Normal 5 4 2 3 3 2 3" xfId="12028" xr:uid="{C1BB25DE-C290-4AEA-AFEB-85C3FB586F77}"/>
    <cellStyle name="Normal 5 4 2 3 3 2 4" xfId="20469" xr:uid="{C06A3230-58A2-4F37-BF90-D0439BEB7348}"/>
    <cellStyle name="Normal 5 4 2 3 3 3" xfId="5659" xr:uid="{00000000-0005-0000-0000-0000DF1A0000}"/>
    <cellStyle name="Normal 5 4 2 3 3 3 2" xfId="14101" xr:uid="{857F28E5-23B5-49AD-8968-F8D6582AF0E1}"/>
    <cellStyle name="Normal 5 4 2 3 3 3 3" xfId="22541" xr:uid="{22AC151F-1EC0-4856-803B-85086BC21AD8}"/>
    <cellStyle name="Normal 5 4 2 3 3 4" xfId="9883" xr:uid="{1A124548-63A7-447D-938E-17C0E5DEC3FB}"/>
    <cellStyle name="Normal 5 4 2 3 3 5" xfId="18324" xr:uid="{E1BC8EF8-F3C3-4CE7-925F-D14CF634D8A3}"/>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16659" xr:uid="{D5EFFAC9-53E9-4533-B228-3B720C8510DF}"/>
    <cellStyle name="Normal 5 4 2 3 4 2 2 3" xfId="25099" xr:uid="{F260BF2A-1987-480F-8743-0D546AF408A8}"/>
    <cellStyle name="Normal 5 4 2 3 4 2 3" xfId="12441" xr:uid="{C21A5E6D-8F04-49AA-A23E-75BB0C0C1FFA}"/>
    <cellStyle name="Normal 5 4 2 3 4 2 4" xfId="20882" xr:uid="{A122426F-18A5-4D4B-BA80-5B1E7DD861D5}"/>
    <cellStyle name="Normal 5 4 2 3 4 3" xfId="6072" xr:uid="{00000000-0005-0000-0000-0000E31A0000}"/>
    <cellStyle name="Normal 5 4 2 3 4 3 2" xfId="14514" xr:uid="{A444A89B-761B-458A-A81A-47A62162191B}"/>
    <cellStyle name="Normal 5 4 2 3 4 3 3" xfId="22954" xr:uid="{E4C8B4D2-96D7-4380-B3D5-D0DA0DA1F3F4}"/>
    <cellStyle name="Normal 5 4 2 3 4 4" xfId="10296" xr:uid="{2F1BC498-3747-4C1A-BDBC-1F81F8CB05A9}"/>
    <cellStyle name="Normal 5 4 2 3 4 5" xfId="18737" xr:uid="{3E176D11-5F33-4B1A-9DFD-92FAB3DB3117}"/>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17072" xr:uid="{0874E142-F70F-47C6-AB99-EEE1E0606CFC}"/>
    <cellStyle name="Normal 5 4 2 3 5 2 2 3" xfId="25512" xr:uid="{59E70A59-2D98-4EAB-AA72-6905662BB183}"/>
    <cellStyle name="Normal 5 4 2 3 5 2 3" xfId="12854" xr:uid="{CE0D0F16-D1E2-49B7-9389-2ED1B4DBD03A}"/>
    <cellStyle name="Normal 5 4 2 3 5 2 4" xfId="21295" xr:uid="{5DD0AF3C-C836-4AB4-BDA3-FDD399BAE0FF}"/>
    <cellStyle name="Normal 5 4 2 3 5 3" xfId="6485" xr:uid="{00000000-0005-0000-0000-0000E71A0000}"/>
    <cellStyle name="Normal 5 4 2 3 5 3 2" xfId="14927" xr:uid="{EC4DFA9F-072E-4466-9A00-0B4721DFA7BC}"/>
    <cellStyle name="Normal 5 4 2 3 5 3 3" xfId="23367" xr:uid="{4C910086-9051-4F15-924F-AA7F7FA04922}"/>
    <cellStyle name="Normal 5 4 2 3 5 4" xfId="10709" xr:uid="{81E4EC80-5906-4B36-A1EB-2361C3BA8609}"/>
    <cellStyle name="Normal 5 4 2 3 5 5" xfId="19150" xr:uid="{330C61F5-503C-4571-B8FB-248999868920}"/>
    <cellStyle name="Normal 5 4 2 3 6" xfId="2614" xr:uid="{00000000-0005-0000-0000-0000E81A0000}"/>
    <cellStyle name="Normal 5 4 2 3 6 2" xfId="6898" xr:uid="{00000000-0005-0000-0000-0000E91A0000}"/>
    <cellStyle name="Normal 5 4 2 3 6 2 2" xfId="15340" xr:uid="{5297ABA0-4480-4709-9A7B-AE87C7492ABF}"/>
    <cellStyle name="Normal 5 4 2 3 6 2 3" xfId="23780" xr:uid="{1382BEFF-BCB2-48B9-93CF-FD7A4AB77373}"/>
    <cellStyle name="Normal 5 4 2 3 6 3" xfId="11122" xr:uid="{C83373FB-5BB5-4BF8-9641-10226047D82C}"/>
    <cellStyle name="Normal 5 4 2 3 6 4" xfId="19563" xr:uid="{201E5A91-7A1C-4A0C-97F2-FDC642481ED5}"/>
    <cellStyle name="Normal 5 4 2 3 7" xfId="4833" xr:uid="{00000000-0005-0000-0000-0000EA1A0000}"/>
    <cellStyle name="Normal 5 4 2 3 7 2" xfId="13275" xr:uid="{FA2C5431-91CB-4F18-9D9E-7B693B300754}"/>
    <cellStyle name="Normal 5 4 2 3 7 3" xfId="21715" xr:uid="{20AE6CA7-1F2D-4878-BDB9-05B7ADF68F56}"/>
    <cellStyle name="Normal 5 4 2 3 8" xfId="9057" xr:uid="{55B21AAE-563B-45B0-8987-D5D09D96321C}"/>
    <cellStyle name="Normal 5 4 2 3 9" xfId="17498" xr:uid="{F956690C-19E9-4E6D-9E94-3A95A289AE2D}"/>
    <cellStyle name="Normal 5 4 2 4" xfId="931" xr:uid="{00000000-0005-0000-0000-0000EB1A0000}"/>
    <cellStyle name="Normal 5 4 2 4 2" xfId="3165" xr:uid="{00000000-0005-0000-0000-0000EC1A0000}"/>
    <cellStyle name="Normal 5 4 2 4 2 2" xfId="7388" xr:uid="{00000000-0005-0000-0000-0000ED1A0000}"/>
    <cellStyle name="Normal 5 4 2 4 2 2 2" xfId="15830" xr:uid="{32418242-1C2B-43E3-8A93-647CB099247E}"/>
    <cellStyle name="Normal 5 4 2 4 2 2 3" xfId="24270" xr:uid="{61981711-EFDC-4469-AA05-985B361DBD64}"/>
    <cellStyle name="Normal 5 4 2 4 2 3" xfId="11612" xr:uid="{43379C42-5603-4094-8CE5-C63D7485731C}"/>
    <cellStyle name="Normal 5 4 2 4 2 4" xfId="20053" xr:uid="{DDCCB8E8-7099-4028-88C5-CE8BBD960780}"/>
    <cellStyle name="Normal 5 4 2 4 3" xfId="5243" xr:uid="{00000000-0005-0000-0000-0000EE1A0000}"/>
    <cellStyle name="Normal 5 4 2 4 3 2" xfId="13685" xr:uid="{2F54F4CA-EFBF-4433-9869-5C40A4C4AFE9}"/>
    <cellStyle name="Normal 5 4 2 4 3 3" xfId="22125" xr:uid="{56479CDC-2FCD-4831-B066-01DE5B433189}"/>
    <cellStyle name="Normal 5 4 2 4 4" xfId="9467" xr:uid="{C63C635C-A3AC-4371-93D0-E5AC0F76A860}"/>
    <cellStyle name="Normal 5 4 2 4 5" xfId="17908" xr:uid="{62C2A8AB-C11D-4525-AAB2-971116A36C51}"/>
    <cellStyle name="Normal 5 4 2 5" xfId="1348" xr:uid="{00000000-0005-0000-0000-0000EF1A0000}"/>
    <cellStyle name="Normal 5 4 2 5 2" xfId="3578" xr:uid="{00000000-0005-0000-0000-0000F01A0000}"/>
    <cellStyle name="Normal 5 4 2 5 2 2" xfId="7801" xr:uid="{00000000-0005-0000-0000-0000F11A0000}"/>
    <cellStyle name="Normal 5 4 2 5 2 2 2" xfId="16243" xr:uid="{0FDDA8A9-8049-415A-A57A-F5443C93BF2A}"/>
    <cellStyle name="Normal 5 4 2 5 2 2 3" xfId="24683" xr:uid="{39B50E1E-CF2F-4BD0-8B9A-45DD2F9E9A7E}"/>
    <cellStyle name="Normal 5 4 2 5 2 3" xfId="12025" xr:uid="{6300001C-1CCA-4B32-83CB-06C15175C2E4}"/>
    <cellStyle name="Normal 5 4 2 5 2 4" xfId="20466" xr:uid="{AADEF4C5-5E93-48B3-8E37-575A20AB63D1}"/>
    <cellStyle name="Normal 5 4 2 5 3" xfId="5656" xr:uid="{00000000-0005-0000-0000-0000F21A0000}"/>
    <cellStyle name="Normal 5 4 2 5 3 2" xfId="14098" xr:uid="{E0BF6730-055B-46F1-BB36-49F58A8B3F5E}"/>
    <cellStyle name="Normal 5 4 2 5 3 3" xfId="22538" xr:uid="{62D6A6DF-951E-465C-B019-527E44D4D9BC}"/>
    <cellStyle name="Normal 5 4 2 5 4" xfId="9880" xr:uid="{80068AF1-6FA2-47CF-B865-D9620DBDB258}"/>
    <cellStyle name="Normal 5 4 2 5 5" xfId="18321" xr:uid="{6EBFD0E0-080D-4318-AB0F-B9DA313CFCF6}"/>
    <cellStyle name="Normal 5 4 2 6" xfId="1761" xr:uid="{00000000-0005-0000-0000-0000F31A0000}"/>
    <cellStyle name="Normal 5 4 2 6 2" xfId="3991" xr:uid="{00000000-0005-0000-0000-0000F41A0000}"/>
    <cellStyle name="Normal 5 4 2 6 2 2" xfId="8214" xr:uid="{00000000-0005-0000-0000-0000F51A0000}"/>
    <cellStyle name="Normal 5 4 2 6 2 2 2" xfId="16656" xr:uid="{F9A0D39A-EFAE-4211-8795-021FB5718B6B}"/>
    <cellStyle name="Normal 5 4 2 6 2 2 3" xfId="25096" xr:uid="{57977B40-A1B9-464E-8034-BB18F767E463}"/>
    <cellStyle name="Normal 5 4 2 6 2 3" xfId="12438" xr:uid="{8BA17052-C3E1-45B9-940B-E69019D2955C}"/>
    <cellStyle name="Normal 5 4 2 6 2 4" xfId="20879" xr:uid="{CADAE354-C1D8-4588-A2C7-5F164DE58FEC}"/>
    <cellStyle name="Normal 5 4 2 6 3" xfId="6069" xr:uid="{00000000-0005-0000-0000-0000F61A0000}"/>
    <cellStyle name="Normal 5 4 2 6 3 2" xfId="14511" xr:uid="{A61E39E3-0A4D-4251-95B8-C194A27100E3}"/>
    <cellStyle name="Normal 5 4 2 6 3 3" xfId="22951" xr:uid="{AFAD3AFD-60F8-4685-87B7-C96835228621}"/>
    <cellStyle name="Normal 5 4 2 6 4" xfId="10293" xr:uid="{A0C5451B-D9F4-4F7E-ABE3-99F28517C544}"/>
    <cellStyle name="Normal 5 4 2 6 5" xfId="18734" xr:uid="{EADC24AD-EC5E-48A5-8D09-69FCFCF3C705}"/>
    <cellStyle name="Normal 5 4 2 7" xfId="2175" xr:uid="{00000000-0005-0000-0000-0000F71A0000}"/>
    <cellStyle name="Normal 5 4 2 7 2" xfId="4404" xr:uid="{00000000-0005-0000-0000-0000F81A0000}"/>
    <cellStyle name="Normal 5 4 2 7 2 2" xfId="8627" xr:uid="{00000000-0005-0000-0000-0000F91A0000}"/>
    <cellStyle name="Normal 5 4 2 7 2 2 2" xfId="17069" xr:uid="{EC8449F0-88B0-4F63-AFBB-F3A4B3E603E5}"/>
    <cellStyle name="Normal 5 4 2 7 2 2 3" xfId="25509" xr:uid="{F516D980-8EE3-45F0-ABC0-BE2F7CF903CB}"/>
    <cellStyle name="Normal 5 4 2 7 2 3" xfId="12851" xr:uid="{E1D038AC-2CC5-48C5-8A4C-3E9F0CFDD618}"/>
    <cellStyle name="Normal 5 4 2 7 2 4" xfId="21292" xr:uid="{DCC6DF7E-0A46-4796-9476-23309F499587}"/>
    <cellStyle name="Normal 5 4 2 7 3" xfId="6482" xr:uid="{00000000-0005-0000-0000-0000FA1A0000}"/>
    <cellStyle name="Normal 5 4 2 7 3 2" xfId="14924" xr:uid="{8E2A5C24-51B0-4E05-82E4-38AF86BA890F}"/>
    <cellStyle name="Normal 5 4 2 7 3 3" xfId="23364" xr:uid="{F5E028C6-EB60-442F-81FF-A0C35DEBFE22}"/>
    <cellStyle name="Normal 5 4 2 7 4" xfId="10706" xr:uid="{C3882F13-F9DF-4C17-AB5B-C0C3C0E9B3CF}"/>
    <cellStyle name="Normal 5 4 2 7 5" xfId="19147" xr:uid="{998B6DAD-FBEC-49E3-84D1-14EE61F5D97E}"/>
    <cellStyle name="Normal 5 4 2 8" xfId="2611" xr:uid="{00000000-0005-0000-0000-0000FB1A0000}"/>
    <cellStyle name="Normal 5 4 2 8 2" xfId="6895" xr:uid="{00000000-0005-0000-0000-0000FC1A0000}"/>
    <cellStyle name="Normal 5 4 2 8 2 2" xfId="15337" xr:uid="{3B5F968D-8755-4B98-9825-5810458A6575}"/>
    <cellStyle name="Normal 5 4 2 8 2 3" xfId="23777" xr:uid="{BCF4DA4B-13F0-401B-92BA-F9FB61F4E04E}"/>
    <cellStyle name="Normal 5 4 2 8 3" xfId="11119" xr:uid="{012B843D-39C7-482E-A0C8-B5B2B54D8681}"/>
    <cellStyle name="Normal 5 4 2 8 4" xfId="19560" xr:uid="{C354DE68-613D-455E-977A-D9EDBBBF66E2}"/>
    <cellStyle name="Normal 5 4 2 9" xfId="4830" xr:uid="{00000000-0005-0000-0000-0000FD1A0000}"/>
    <cellStyle name="Normal 5 4 2 9 2" xfId="13272" xr:uid="{B62EC874-7069-419E-BB31-9969FC419A53}"/>
    <cellStyle name="Normal 5 4 2 9 3" xfId="21712" xr:uid="{7904B457-DE79-4C6C-8B4A-942A179BDA07}"/>
    <cellStyle name="Normal 5 4 3" xfId="461" xr:uid="{00000000-0005-0000-0000-0000FE1A0000}"/>
    <cellStyle name="Normal 5 4 3 10" xfId="17499" xr:uid="{A3040DE7-2E9A-4EF5-9927-0FC83347288B}"/>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15835" xr:uid="{0EDF4E29-F9B5-466C-AAA5-12C74DC9872A}"/>
    <cellStyle name="Normal 5 4 3 2 2 2 2 3" xfId="24275" xr:uid="{4DD25858-A51F-4F08-9E51-A31D98503F8F}"/>
    <cellStyle name="Normal 5 4 3 2 2 2 3" xfId="11617" xr:uid="{F2313F7A-D70C-4688-BCA6-69C52AC82CC3}"/>
    <cellStyle name="Normal 5 4 3 2 2 2 4" xfId="20058" xr:uid="{59C172AE-8CD0-48C0-BF02-1C5A2A8BFC18}"/>
    <cellStyle name="Normal 5 4 3 2 2 3" xfId="5248" xr:uid="{00000000-0005-0000-0000-0000031B0000}"/>
    <cellStyle name="Normal 5 4 3 2 2 3 2" xfId="13690" xr:uid="{52661734-43A3-48B2-BB74-ED997632A85C}"/>
    <cellStyle name="Normal 5 4 3 2 2 3 3" xfId="22130" xr:uid="{B47D25F8-1C4E-421C-B23B-58E6C486EF08}"/>
    <cellStyle name="Normal 5 4 3 2 2 4" xfId="9472" xr:uid="{F9A014C0-6180-48EF-A3E0-1DB0FE02B34F}"/>
    <cellStyle name="Normal 5 4 3 2 2 5" xfId="17913" xr:uid="{C00E3074-1CB3-411F-BA55-1406F3C4561C}"/>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16248" xr:uid="{1AE10D91-FF3B-4034-A569-88FF07FCA3D6}"/>
    <cellStyle name="Normal 5 4 3 2 3 2 2 3" xfId="24688" xr:uid="{C4B24601-57D7-408A-B57B-090B2CA44472}"/>
    <cellStyle name="Normal 5 4 3 2 3 2 3" xfId="12030" xr:uid="{42230191-5A7D-49FC-BF01-B29D420F4E30}"/>
    <cellStyle name="Normal 5 4 3 2 3 2 4" xfId="20471" xr:uid="{D997AFD5-012A-41D3-BC4A-3FA110A51DBF}"/>
    <cellStyle name="Normal 5 4 3 2 3 3" xfId="5661" xr:uid="{00000000-0005-0000-0000-0000071B0000}"/>
    <cellStyle name="Normal 5 4 3 2 3 3 2" xfId="14103" xr:uid="{22076074-3F22-4BFA-A39B-6808A7419BBA}"/>
    <cellStyle name="Normal 5 4 3 2 3 3 3" xfId="22543" xr:uid="{D4B278C2-BCD4-4D3B-BCD5-C86118B7223E}"/>
    <cellStyle name="Normal 5 4 3 2 3 4" xfId="9885" xr:uid="{104DAE25-B3FE-4820-8BE5-CB6AF120BE45}"/>
    <cellStyle name="Normal 5 4 3 2 3 5" xfId="18326" xr:uid="{4E231A69-FA85-4CD5-A714-44FFA431F587}"/>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16661" xr:uid="{76F4BF4C-94E8-43C6-992C-D3CF86CAEE5C}"/>
    <cellStyle name="Normal 5 4 3 2 4 2 2 3" xfId="25101" xr:uid="{837354C6-D5F5-4559-AF56-57E1B775E35D}"/>
    <cellStyle name="Normal 5 4 3 2 4 2 3" xfId="12443" xr:uid="{34780C1C-28DD-46F0-A712-5F1625186A68}"/>
    <cellStyle name="Normal 5 4 3 2 4 2 4" xfId="20884" xr:uid="{1563D473-1F91-4A2D-A11C-5D461839CA54}"/>
    <cellStyle name="Normal 5 4 3 2 4 3" xfId="6074" xr:uid="{00000000-0005-0000-0000-00000B1B0000}"/>
    <cellStyle name="Normal 5 4 3 2 4 3 2" xfId="14516" xr:uid="{C8F248A3-938D-4FAC-8DF8-BB2D07916530}"/>
    <cellStyle name="Normal 5 4 3 2 4 3 3" xfId="22956" xr:uid="{B51C0B82-21E0-4BAC-ABE4-972EFA52D019}"/>
    <cellStyle name="Normal 5 4 3 2 4 4" xfId="10298" xr:uid="{FAC8B435-856F-47F9-AFB1-6CF8697929EF}"/>
    <cellStyle name="Normal 5 4 3 2 4 5" xfId="18739" xr:uid="{0A07A601-2F53-4B65-80A8-EEAB768034B4}"/>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17074" xr:uid="{BD7290B7-AFAE-4467-8794-9FBAB3184B21}"/>
    <cellStyle name="Normal 5 4 3 2 5 2 2 3" xfId="25514" xr:uid="{26937454-ED8B-40B8-A1E3-F77E94BD3537}"/>
    <cellStyle name="Normal 5 4 3 2 5 2 3" xfId="12856" xr:uid="{94618C92-E8AF-425F-AE74-A05EBE6FCA7A}"/>
    <cellStyle name="Normal 5 4 3 2 5 2 4" xfId="21297" xr:uid="{32DBCDBF-18BD-4532-89C3-EE218B1C6E70}"/>
    <cellStyle name="Normal 5 4 3 2 5 3" xfId="6487" xr:uid="{00000000-0005-0000-0000-00000F1B0000}"/>
    <cellStyle name="Normal 5 4 3 2 5 3 2" xfId="14929" xr:uid="{0CF1D592-6C5D-4776-AA1D-7432003545B1}"/>
    <cellStyle name="Normal 5 4 3 2 5 3 3" xfId="23369" xr:uid="{C72A03AA-8FC5-4FC7-B903-D964A4CECC20}"/>
    <cellStyle name="Normal 5 4 3 2 5 4" xfId="10711" xr:uid="{AD744E17-274B-473D-A54A-F4DEEA6548A9}"/>
    <cellStyle name="Normal 5 4 3 2 5 5" xfId="19152" xr:uid="{72E4C586-FF05-48FE-9714-93AA46900A37}"/>
    <cellStyle name="Normal 5 4 3 2 6" xfId="2616" xr:uid="{00000000-0005-0000-0000-0000101B0000}"/>
    <cellStyle name="Normal 5 4 3 2 6 2" xfId="6900" xr:uid="{00000000-0005-0000-0000-0000111B0000}"/>
    <cellStyle name="Normal 5 4 3 2 6 2 2" xfId="15342" xr:uid="{4D973A7E-1475-4BC4-A958-01F5A3BF1BF9}"/>
    <cellStyle name="Normal 5 4 3 2 6 2 3" xfId="23782" xr:uid="{140E30D3-8180-4BF1-9F5B-A7372B317332}"/>
    <cellStyle name="Normal 5 4 3 2 6 3" xfId="11124" xr:uid="{AF328BA9-790E-4438-9EF7-7689FCC91960}"/>
    <cellStyle name="Normal 5 4 3 2 6 4" xfId="19565" xr:uid="{862227FE-9C45-4092-92F7-BD49E934DA1A}"/>
    <cellStyle name="Normal 5 4 3 2 7" xfId="4835" xr:uid="{00000000-0005-0000-0000-0000121B0000}"/>
    <cellStyle name="Normal 5 4 3 2 7 2" xfId="13277" xr:uid="{B7E4F625-D482-4B05-917F-1357D1DF019C}"/>
    <cellStyle name="Normal 5 4 3 2 7 3" xfId="21717" xr:uid="{7CCF0F39-ECD4-482D-8A79-081285542A94}"/>
    <cellStyle name="Normal 5 4 3 2 8" xfId="9059" xr:uid="{98C2F77F-CE0A-4CD2-AF6B-9C2CD3A9ADFE}"/>
    <cellStyle name="Normal 5 4 3 2 9" xfId="17500" xr:uid="{99F0DB51-201A-48DE-9582-CC6199CE3092}"/>
    <cellStyle name="Normal 5 4 3 3" xfId="935" xr:uid="{00000000-0005-0000-0000-0000131B0000}"/>
    <cellStyle name="Normal 5 4 3 3 2" xfId="3169" xr:uid="{00000000-0005-0000-0000-0000141B0000}"/>
    <cellStyle name="Normal 5 4 3 3 2 2" xfId="7392" xr:uid="{00000000-0005-0000-0000-0000151B0000}"/>
    <cellStyle name="Normal 5 4 3 3 2 2 2" xfId="15834" xr:uid="{8E67A48E-A352-4ACD-A2CA-1D78E458D909}"/>
    <cellStyle name="Normal 5 4 3 3 2 2 3" xfId="24274" xr:uid="{6561A9E6-E4F5-411A-BDE2-74DD565521EF}"/>
    <cellStyle name="Normal 5 4 3 3 2 3" xfId="11616" xr:uid="{4CDC00BC-6B69-45E6-8906-932973914114}"/>
    <cellStyle name="Normal 5 4 3 3 2 4" xfId="20057" xr:uid="{05AEE95F-9383-463E-A29F-53DF6A6B5195}"/>
    <cellStyle name="Normal 5 4 3 3 3" xfId="5247" xr:uid="{00000000-0005-0000-0000-0000161B0000}"/>
    <cellStyle name="Normal 5 4 3 3 3 2" xfId="13689" xr:uid="{BB5F35C1-27C6-46FB-AFCD-24F0BB22D84E}"/>
    <cellStyle name="Normal 5 4 3 3 3 3" xfId="22129" xr:uid="{22D5FC66-614D-4719-AED6-CD4792B51B38}"/>
    <cellStyle name="Normal 5 4 3 3 4" xfId="9471" xr:uid="{72DB2C56-24B2-444D-B81C-A27136CADDAC}"/>
    <cellStyle name="Normal 5 4 3 3 5" xfId="17912" xr:uid="{E2B34EB7-29F4-4B86-B9ED-94BBF0A8D667}"/>
    <cellStyle name="Normal 5 4 3 4" xfId="1352" xr:uid="{00000000-0005-0000-0000-0000171B0000}"/>
    <cellStyle name="Normal 5 4 3 4 2" xfId="3582" xr:uid="{00000000-0005-0000-0000-0000181B0000}"/>
    <cellStyle name="Normal 5 4 3 4 2 2" xfId="7805" xr:uid="{00000000-0005-0000-0000-0000191B0000}"/>
    <cellStyle name="Normal 5 4 3 4 2 2 2" xfId="16247" xr:uid="{AB0EDF5B-7607-49C3-8A8A-57058FF63599}"/>
    <cellStyle name="Normal 5 4 3 4 2 2 3" xfId="24687" xr:uid="{30A42CD4-D53C-4191-A8C5-6A1355D248E3}"/>
    <cellStyle name="Normal 5 4 3 4 2 3" xfId="12029" xr:uid="{2ACF4E99-6C53-49B6-ACAF-A6FDBBF468F8}"/>
    <cellStyle name="Normal 5 4 3 4 2 4" xfId="20470" xr:uid="{8E101612-5F62-40B9-8EB9-167ABED65986}"/>
    <cellStyle name="Normal 5 4 3 4 3" xfId="5660" xr:uid="{00000000-0005-0000-0000-00001A1B0000}"/>
    <cellStyle name="Normal 5 4 3 4 3 2" xfId="14102" xr:uid="{E7665E99-E30E-4272-B37E-A0D51771A0E4}"/>
    <cellStyle name="Normal 5 4 3 4 3 3" xfId="22542" xr:uid="{2EAA6AA4-FA74-4C64-A4A5-C66E028A2FF0}"/>
    <cellStyle name="Normal 5 4 3 4 4" xfId="9884" xr:uid="{0951A445-553C-4218-8348-D3AFCE558F8B}"/>
    <cellStyle name="Normal 5 4 3 4 5" xfId="18325" xr:uid="{F5A0AA0A-74D1-44B2-9602-102F62E894EE}"/>
    <cellStyle name="Normal 5 4 3 5" xfId="1765" xr:uid="{00000000-0005-0000-0000-00001B1B0000}"/>
    <cellStyle name="Normal 5 4 3 5 2" xfId="3995" xr:uid="{00000000-0005-0000-0000-00001C1B0000}"/>
    <cellStyle name="Normal 5 4 3 5 2 2" xfId="8218" xr:uid="{00000000-0005-0000-0000-00001D1B0000}"/>
    <cellStyle name="Normal 5 4 3 5 2 2 2" xfId="16660" xr:uid="{F9C4E326-FD4A-4E1D-8569-ABFB18715D32}"/>
    <cellStyle name="Normal 5 4 3 5 2 2 3" xfId="25100" xr:uid="{A898C2C1-CC73-422D-B9E1-3E901605AB19}"/>
    <cellStyle name="Normal 5 4 3 5 2 3" xfId="12442" xr:uid="{B6F8C301-5AF9-40EB-809F-B2BEA0FAE444}"/>
    <cellStyle name="Normal 5 4 3 5 2 4" xfId="20883" xr:uid="{35AD7B2B-72F4-4329-8933-9DDFD51CEDEA}"/>
    <cellStyle name="Normal 5 4 3 5 3" xfId="6073" xr:uid="{00000000-0005-0000-0000-00001E1B0000}"/>
    <cellStyle name="Normal 5 4 3 5 3 2" xfId="14515" xr:uid="{DBBAF7E0-C4C8-448F-89E5-60A0D6861DC6}"/>
    <cellStyle name="Normal 5 4 3 5 3 3" xfId="22955" xr:uid="{83A5247F-7F8B-463F-A956-D78E20F6C635}"/>
    <cellStyle name="Normal 5 4 3 5 4" xfId="10297" xr:uid="{7732A427-33B8-4F2C-80E8-BBAD07E2DC54}"/>
    <cellStyle name="Normal 5 4 3 5 5" xfId="18738" xr:uid="{5A67D8FD-F033-47E0-8BC4-9DA284F89CAF}"/>
    <cellStyle name="Normal 5 4 3 6" xfId="2179" xr:uid="{00000000-0005-0000-0000-00001F1B0000}"/>
    <cellStyle name="Normal 5 4 3 6 2" xfId="4408" xr:uid="{00000000-0005-0000-0000-0000201B0000}"/>
    <cellStyle name="Normal 5 4 3 6 2 2" xfId="8631" xr:uid="{00000000-0005-0000-0000-0000211B0000}"/>
    <cellStyle name="Normal 5 4 3 6 2 2 2" xfId="17073" xr:uid="{8FBC6348-A0C8-492B-9456-4A94F6D7A823}"/>
    <cellStyle name="Normal 5 4 3 6 2 2 3" xfId="25513" xr:uid="{C3AB2362-A96A-46E5-A3A7-71ABB20DB849}"/>
    <cellStyle name="Normal 5 4 3 6 2 3" xfId="12855" xr:uid="{A77F9BCD-47EA-4A10-8E50-8879CDDBE596}"/>
    <cellStyle name="Normal 5 4 3 6 2 4" xfId="21296" xr:uid="{DB9AB8A6-F4CE-490D-971F-61A63DF9C15A}"/>
    <cellStyle name="Normal 5 4 3 6 3" xfId="6486" xr:uid="{00000000-0005-0000-0000-0000221B0000}"/>
    <cellStyle name="Normal 5 4 3 6 3 2" xfId="14928" xr:uid="{7DA4F8A5-05F4-4C24-8083-21A639A528F8}"/>
    <cellStyle name="Normal 5 4 3 6 3 3" xfId="23368" xr:uid="{3F60C025-51E0-4E22-AE1F-1FE5047B85CD}"/>
    <cellStyle name="Normal 5 4 3 6 4" xfId="10710" xr:uid="{D12BADBA-AF61-454E-9BD0-CA5B3AB39D18}"/>
    <cellStyle name="Normal 5 4 3 6 5" xfId="19151" xr:uid="{40BE71AC-28EE-4B2E-9F11-B7960FBC9ED8}"/>
    <cellStyle name="Normal 5 4 3 7" xfId="2615" xr:uid="{00000000-0005-0000-0000-0000231B0000}"/>
    <cellStyle name="Normal 5 4 3 7 2" xfId="6899" xr:uid="{00000000-0005-0000-0000-0000241B0000}"/>
    <cellStyle name="Normal 5 4 3 7 2 2" xfId="15341" xr:uid="{77500EA5-4B99-4ADD-8E11-711DAFB87EED}"/>
    <cellStyle name="Normal 5 4 3 7 2 3" xfId="23781" xr:uid="{82BE9A38-0C95-4482-B173-A749B7EDA167}"/>
    <cellStyle name="Normal 5 4 3 7 3" xfId="11123" xr:uid="{D5F87A76-0911-4FE4-B534-4714F81C5341}"/>
    <cellStyle name="Normal 5 4 3 7 4" xfId="19564" xr:uid="{B3D3FF11-113B-4ED8-B6D2-6C92E488A326}"/>
    <cellStyle name="Normal 5 4 3 8" xfId="4834" xr:uid="{00000000-0005-0000-0000-0000251B0000}"/>
    <cellStyle name="Normal 5 4 3 8 2" xfId="13276" xr:uid="{96764B4F-FAB7-47A4-9493-9707CB957F2A}"/>
    <cellStyle name="Normal 5 4 3 8 3" xfId="21716" xr:uid="{4C804376-9AB5-48B4-B271-CB0AB210F510}"/>
    <cellStyle name="Normal 5 4 3 9" xfId="9058" xr:uid="{F60E7BB2-9883-46E0-94CB-B10BEC4E9292}"/>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2 2 2" xfId="15836" xr:uid="{50A1A7A0-9959-4786-B0EA-00961CFFDB93}"/>
    <cellStyle name="Normal 5 4 4 2 2 2 3" xfId="24276" xr:uid="{C82BAFB9-AB00-417A-8022-EFFD78947F87}"/>
    <cellStyle name="Normal 5 4 4 2 2 3" xfId="11618" xr:uid="{BD19C923-186D-490C-867E-E4378A01451D}"/>
    <cellStyle name="Normal 5 4 4 2 2 4" xfId="20059" xr:uid="{530E15B7-DA23-42F3-A3AF-4178505ABAFB}"/>
    <cellStyle name="Normal 5 4 4 2 3" xfId="5249" xr:uid="{00000000-0005-0000-0000-00002A1B0000}"/>
    <cellStyle name="Normal 5 4 4 2 3 2" xfId="13691" xr:uid="{E5044C9D-6FCE-4343-BE18-4735216C5886}"/>
    <cellStyle name="Normal 5 4 4 2 3 3" xfId="22131" xr:uid="{2F286503-2197-45C6-93C8-7108E6505CD2}"/>
    <cellStyle name="Normal 5 4 4 2 4" xfId="9473" xr:uid="{D299F54D-93CF-4B02-8203-39E4FC2FD4B4}"/>
    <cellStyle name="Normal 5 4 4 2 5" xfId="17914" xr:uid="{C0049ACF-D7E0-488E-BBF8-D47AC5EDB722}"/>
    <cellStyle name="Normal 5 4 4 3" xfId="1354" xr:uid="{00000000-0005-0000-0000-00002B1B0000}"/>
    <cellStyle name="Normal 5 4 4 3 2" xfId="3584" xr:uid="{00000000-0005-0000-0000-00002C1B0000}"/>
    <cellStyle name="Normal 5 4 4 3 2 2" xfId="7807" xr:uid="{00000000-0005-0000-0000-00002D1B0000}"/>
    <cellStyle name="Normal 5 4 4 3 2 2 2" xfId="16249" xr:uid="{BC1F1C24-8557-4856-8705-6816CB7C6BD0}"/>
    <cellStyle name="Normal 5 4 4 3 2 2 3" xfId="24689" xr:uid="{02C40308-DC69-4364-B1B2-8EE6C380F11B}"/>
    <cellStyle name="Normal 5 4 4 3 2 3" xfId="12031" xr:uid="{EEC8C3AE-E304-4269-8A60-7709137A2A2C}"/>
    <cellStyle name="Normal 5 4 4 3 2 4" xfId="20472" xr:uid="{E80C640C-A731-423C-A7B9-086B71A4FF9F}"/>
    <cellStyle name="Normal 5 4 4 3 3" xfId="5662" xr:uid="{00000000-0005-0000-0000-00002E1B0000}"/>
    <cellStyle name="Normal 5 4 4 3 3 2" xfId="14104" xr:uid="{D48D05E4-6089-4C6A-9067-378CEF449302}"/>
    <cellStyle name="Normal 5 4 4 3 3 3" xfId="22544" xr:uid="{45C0DE4C-970E-4B95-A7F7-E6E405BC5894}"/>
    <cellStyle name="Normal 5 4 4 3 4" xfId="9886" xr:uid="{65E37C69-9467-4A22-BFB0-5B506516370D}"/>
    <cellStyle name="Normal 5 4 4 3 5" xfId="18327" xr:uid="{3C1E8285-1A1A-497C-93B8-C41031B5A33B}"/>
    <cellStyle name="Normal 5 4 4 4" xfId="1767" xr:uid="{00000000-0005-0000-0000-00002F1B0000}"/>
    <cellStyle name="Normal 5 4 4 4 2" xfId="3997" xr:uid="{00000000-0005-0000-0000-0000301B0000}"/>
    <cellStyle name="Normal 5 4 4 4 2 2" xfId="8220" xr:uid="{00000000-0005-0000-0000-0000311B0000}"/>
    <cellStyle name="Normal 5 4 4 4 2 2 2" xfId="16662" xr:uid="{5AE8F364-C05A-4245-A9E7-85F7AE9DAA07}"/>
    <cellStyle name="Normal 5 4 4 4 2 2 3" xfId="25102" xr:uid="{246D3809-DCA6-4AE4-9992-2A1F4A6DA4CC}"/>
    <cellStyle name="Normal 5 4 4 4 2 3" xfId="12444" xr:uid="{C0B54498-E780-4BCB-B3A1-92E1053D2927}"/>
    <cellStyle name="Normal 5 4 4 4 2 4" xfId="20885" xr:uid="{8E128490-0C51-4071-9ED8-209CA66E4C5D}"/>
    <cellStyle name="Normal 5 4 4 4 3" xfId="6075" xr:uid="{00000000-0005-0000-0000-0000321B0000}"/>
    <cellStyle name="Normal 5 4 4 4 3 2" xfId="14517" xr:uid="{12579B41-597F-4291-8F56-6394EEDACAC2}"/>
    <cellStyle name="Normal 5 4 4 4 3 3" xfId="22957" xr:uid="{B362E7B9-ABB1-44B5-8A42-EF7E64C22975}"/>
    <cellStyle name="Normal 5 4 4 4 4" xfId="10299" xr:uid="{D2E78092-842F-46D5-B140-F8C0FAD5D6F5}"/>
    <cellStyle name="Normal 5 4 4 4 5" xfId="18740" xr:uid="{EDD8679E-6CB9-40D5-ABEE-7053B42E9202}"/>
    <cellStyle name="Normal 5 4 4 5" xfId="2181" xr:uid="{00000000-0005-0000-0000-0000331B0000}"/>
    <cellStyle name="Normal 5 4 4 5 2" xfId="4410" xr:uid="{00000000-0005-0000-0000-0000341B0000}"/>
    <cellStyle name="Normal 5 4 4 5 2 2" xfId="8633" xr:uid="{00000000-0005-0000-0000-0000351B0000}"/>
    <cellStyle name="Normal 5 4 4 5 2 2 2" xfId="17075" xr:uid="{779B6236-63B9-4B24-96BA-D2718CA3C1BE}"/>
    <cellStyle name="Normal 5 4 4 5 2 2 3" xfId="25515" xr:uid="{5FFADCEF-78E4-48D9-A38E-08F592F873E2}"/>
    <cellStyle name="Normal 5 4 4 5 2 3" xfId="12857" xr:uid="{60CFFA63-02D5-44FA-8568-813E379201B5}"/>
    <cellStyle name="Normal 5 4 4 5 2 4" xfId="21298" xr:uid="{EAC5D38D-81D5-478D-A4D6-FE4893E5AF4B}"/>
    <cellStyle name="Normal 5 4 4 5 3" xfId="6488" xr:uid="{00000000-0005-0000-0000-0000361B0000}"/>
    <cellStyle name="Normal 5 4 4 5 3 2" xfId="14930" xr:uid="{9E27250A-4901-4B2E-B9B7-0CF59FE0F9F0}"/>
    <cellStyle name="Normal 5 4 4 5 3 3" xfId="23370" xr:uid="{6A848B3B-8471-4FBA-99B8-8EAD0EF61E19}"/>
    <cellStyle name="Normal 5 4 4 5 4" xfId="10712" xr:uid="{30B7AC0B-071E-4E09-9559-265FDA84AAEB}"/>
    <cellStyle name="Normal 5 4 4 5 5" xfId="19153" xr:uid="{CAAD8A70-C8EB-4BAD-AA4B-5327FF6E09F2}"/>
    <cellStyle name="Normal 5 4 4 6" xfId="2617" xr:uid="{00000000-0005-0000-0000-0000371B0000}"/>
    <cellStyle name="Normal 5 4 4 6 2" xfId="6901" xr:uid="{00000000-0005-0000-0000-0000381B0000}"/>
    <cellStyle name="Normal 5 4 4 6 2 2" xfId="15343" xr:uid="{5E08522A-0961-4FEE-80D6-EFD877FB4C2B}"/>
    <cellStyle name="Normal 5 4 4 6 2 3" xfId="23783" xr:uid="{4E0EF1AD-7A88-4F4B-AEF0-43A6D5C53127}"/>
    <cellStyle name="Normal 5 4 4 6 3" xfId="11125" xr:uid="{7CFBBE6E-9F06-4083-AE38-399096DA2C29}"/>
    <cellStyle name="Normal 5 4 4 6 4" xfId="19566" xr:uid="{A0F9D8FA-58D9-49E5-AFD0-3F1B62E35738}"/>
    <cellStyle name="Normal 5 4 4 7" xfId="4836" xr:uid="{00000000-0005-0000-0000-0000391B0000}"/>
    <cellStyle name="Normal 5 4 4 7 2" xfId="13278" xr:uid="{CA3A77ED-DEAC-4D4D-987D-3F5B64E053AB}"/>
    <cellStyle name="Normal 5 4 4 7 3" xfId="21718" xr:uid="{8C4E2C54-BB54-4519-82F3-4A5C2A753996}"/>
    <cellStyle name="Normal 5 4 4 8" xfId="9060" xr:uid="{0F3C27E5-48F3-4BFC-A7D9-486EF25AA4A8}"/>
    <cellStyle name="Normal 5 4 4 9" xfId="17501" xr:uid="{025807FE-59D1-4273-B519-EFDE66737CE5}"/>
    <cellStyle name="Normal 5 4 5" xfId="930" xr:uid="{00000000-0005-0000-0000-00003A1B0000}"/>
    <cellStyle name="Normal 5 4 5 2" xfId="3164" xr:uid="{00000000-0005-0000-0000-00003B1B0000}"/>
    <cellStyle name="Normal 5 4 5 2 2" xfId="7387" xr:uid="{00000000-0005-0000-0000-00003C1B0000}"/>
    <cellStyle name="Normal 5 4 5 2 2 2" xfId="15829" xr:uid="{21336108-BC07-47E1-9B26-208A642790B3}"/>
    <cellStyle name="Normal 5 4 5 2 2 3" xfId="24269" xr:uid="{8CBE602A-2EB8-4F70-80AA-CE956508A7CF}"/>
    <cellStyle name="Normal 5 4 5 2 3" xfId="11611" xr:uid="{A1287D05-895D-446A-857A-D5CC4184F137}"/>
    <cellStyle name="Normal 5 4 5 2 4" xfId="20052" xr:uid="{DB8F2770-6C66-43F4-A5A0-67C7A5D413AA}"/>
    <cellStyle name="Normal 5 4 5 3" xfId="5242" xr:uid="{00000000-0005-0000-0000-00003D1B0000}"/>
    <cellStyle name="Normal 5 4 5 3 2" xfId="13684" xr:uid="{45D09B86-9A34-4520-9AE0-BBF590995B14}"/>
    <cellStyle name="Normal 5 4 5 3 3" xfId="22124" xr:uid="{F2072B94-2637-494A-AAA2-26E67DFB46BD}"/>
    <cellStyle name="Normal 5 4 5 4" xfId="9466" xr:uid="{2ED95CCA-A3FA-482E-A72C-49AB690B9375}"/>
    <cellStyle name="Normal 5 4 5 5" xfId="17907" xr:uid="{9BC0B5EC-6198-495F-A9C2-C95720E709C9}"/>
    <cellStyle name="Normal 5 4 6" xfId="1347" xr:uid="{00000000-0005-0000-0000-00003E1B0000}"/>
    <cellStyle name="Normal 5 4 6 2" xfId="3577" xr:uid="{00000000-0005-0000-0000-00003F1B0000}"/>
    <cellStyle name="Normal 5 4 6 2 2" xfId="7800" xr:uid="{00000000-0005-0000-0000-0000401B0000}"/>
    <cellStyle name="Normal 5 4 6 2 2 2" xfId="16242" xr:uid="{5637F9ED-5D44-433C-AAFF-F2DFD8084769}"/>
    <cellStyle name="Normal 5 4 6 2 2 3" xfId="24682" xr:uid="{9EA1EBAF-FC4C-4B51-A151-251EA08A9B9D}"/>
    <cellStyle name="Normal 5 4 6 2 3" xfId="12024" xr:uid="{543EC42C-9A2D-44A7-BB67-F5D08C23B07E}"/>
    <cellStyle name="Normal 5 4 6 2 4" xfId="20465" xr:uid="{325205DA-1C0F-49F6-BC16-6C57217EF20F}"/>
    <cellStyle name="Normal 5 4 6 3" xfId="5655" xr:uid="{00000000-0005-0000-0000-0000411B0000}"/>
    <cellStyle name="Normal 5 4 6 3 2" xfId="14097" xr:uid="{CDB0CBEA-EFA3-43EE-B4C6-10406AC05A8B}"/>
    <cellStyle name="Normal 5 4 6 3 3" xfId="22537" xr:uid="{2ACF4F7A-F6E2-470A-B9BD-9445224937DE}"/>
    <cellStyle name="Normal 5 4 6 4" xfId="9879" xr:uid="{981D33BE-4A68-4F5F-9246-27D7DE595501}"/>
    <cellStyle name="Normal 5 4 6 5" xfId="18320" xr:uid="{A1F81876-38B4-46E2-80E5-BA3457C344B4}"/>
    <cellStyle name="Normal 5 4 7" xfId="1760" xr:uid="{00000000-0005-0000-0000-0000421B0000}"/>
    <cellStyle name="Normal 5 4 7 2" xfId="3990" xr:uid="{00000000-0005-0000-0000-0000431B0000}"/>
    <cellStyle name="Normal 5 4 7 2 2" xfId="8213" xr:uid="{00000000-0005-0000-0000-0000441B0000}"/>
    <cellStyle name="Normal 5 4 7 2 2 2" xfId="16655" xr:uid="{F96CD601-CEB8-44B7-A978-5C8859136678}"/>
    <cellStyle name="Normal 5 4 7 2 2 3" xfId="25095" xr:uid="{8D266A86-CC38-4FE8-9C99-57EBECD162AD}"/>
    <cellStyle name="Normal 5 4 7 2 3" xfId="12437" xr:uid="{4F9E4632-8379-4420-93A7-4FCA6C6DC011}"/>
    <cellStyle name="Normal 5 4 7 2 4" xfId="20878" xr:uid="{8A219703-4AA7-4450-8740-08FE2544CA56}"/>
    <cellStyle name="Normal 5 4 7 3" xfId="6068" xr:uid="{00000000-0005-0000-0000-0000451B0000}"/>
    <cellStyle name="Normal 5 4 7 3 2" xfId="14510" xr:uid="{CCB9883D-1D68-4265-96A5-7FB9F2EEE77C}"/>
    <cellStyle name="Normal 5 4 7 3 3" xfId="22950" xr:uid="{FFFBAD0B-2240-43D1-A177-B56DD45CE1C5}"/>
    <cellStyle name="Normal 5 4 7 4" xfId="10292" xr:uid="{436737A8-C1E6-4277-8A26-A21C190B6F2F}"/>
    <cellStyle name="Normal 5 4 7 5" xfId="18733" xr:uid="{CFDA9F8D-817D-4C2F-A08C-11C18F0EA7DC}"/>
    <cellStyle name="Normal 5 4 8" xfId="2174" xr:uid="{00000000-0005-0000-0000-0000461B0000}"/>
    <cellStyle name="Normal 5 4 8 2" xfId="4403" xr:uid="{00000000-0005-0000-0000-0000471B0000}"/>
    <cellStyle name="Normal 5 4 8 2 2" xfId="8626" xr:uid="{00000000-0005-0000-0000-0000481B0000}"/>
    <cellStyle name="Normal 5 4 8 2 2 2" xfId="17068" xr:uid="{950AB622-44E8-4A6E-8510-3403C28823A6}"/>
    <cellStyle name="Normal 5 4 8 2 2 3" xfId="25508" xr:uid="{97E3D73A-8BFA-4BED-8BB3-7E47647C6628}"/>
    <cellStyle name="Normal 5 4 8 2 3" xfId="12850" xr:uid="{89BDBE60-A2D2-4D04-B631-05DAC9E54966}"/>
    <cellStyle name="Normal 5 4 8 2 4" xfId="21291" xr:uid="{0FC1451D-EB0A-4FD0-B4EF-BC06BC86E13C}"/>
    <cellStyle name="Normal 5 4 8 3" xfId="6481" xr:uid="{00000000-0005-0000-0000-0000491B0000}"/>
    <cellStyle name="Normal 5 4 8 3 2" xfId="14923" xr:uid="{EE81DB84-3161-48D7-8DF9-03F554CE9C31}"/>
    <cellStyle name="Normal 5 4 8 3 3" xfId="23363" xr:uid="{1986617C-CC2A-4517-8455-E7528F17FCA7}"/>
    <cellStyle name="Normal 5 4 8 4" xfId="10705" xr:uid="{2D5E3D72-9F39-495F-BEE5-DB0CD940DC59}"/>
    <cellStyle name="Normal 5 4 8 5" xfId="19146" xr:uid="{EA600E58-B908-4AF0-B5FD-B881A64D0239}"/>
    <cellStyle name="Normal 5 4 9" xfId="2610" xr:uid="{00000000-0005-0000-0000-00004A1B0000}"/>
    <cellStyle name="Normal 5 4 9 2" xfId="6894" xr:uid="{00000000-0005-0000-0000-00004B1B0000}"/>
    <cellStyle name="Normal 5 4 9 2 2" xfId="15336" xr:uid="{449864A7-3A44-4A0B-8FE8-5378828D6072}"/>
    <cellStyle name="Normal 5 4 9 2 3" xfId="23776" xr:uid="{5378D112-41D6-4BB6-8977-D593DCAA2363}"/>
    <cellStyle name="Normal 5 4 9 3" xfId="11118" xr:uid="{7FE150C7-BF2B-473C-AAE7-4BE15166F8A5}"/>
    <cellStyle name="Normal 5 4 9 4" xfId="19559" xr:uid="{93F12D0B-A4E2-4034-AF00-E96525EF4F23}"/>
    <cellStyle name="Normal 5 5" xfId="464" xr:uid="{00000000-0005-0000-0000-00004C1B0000}"/>
    <cellStyle name="Normal 5 5 10" xfId="9061" xr:uid="{37CD99FF-3B87-48B3-A743-8AA0EC7C7306}"/>
    <cellStyle name="Normal 5 5 11" xfId="17502" xr:uid="{2144E8FD-72E9-46B9-9CAE-30ED5A15B7B1}"/>
    <cellStyle name="Normal 5 5 2" xfId="465" xr:uid="{00000000-0005-0000-0000-00004D1B0000}"/>
    <cellStyle name="Normal 5 5 2 10" xfId="17503" xr:uid="{69D00F1B-3B51-4BA4-BFF9-9137AD8D0B5B}"/>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15839" xr:uid="{49C282C9-C1C4-4080-BE19-B53854AA3361}"/>
    <cellStyle name="Normal 5 5 2 2 2 2 2 3" xfId="24279" xr:uid="{58836D3F-F316-4323-982F-5A559C2AFC39}"/>
    <cellStyle name="Normal 5 5 2 2 2 2 3" xfId="11621" xr:uid="{0BD9A46D-2CCC-4902-9E9E-883C933A1691}"/>
    <cellStyle name="Normal 5 5 2 2 2 2 4" xfId="20062" xr:uid="{797699F8-87BA-4F6C-ACB0-134E6BBEE640}"/>
    <cellStyle name="Normal 5 5 2 2 2 3" xfId="5252" xr:uid="{00000000-0005-0000-0000-0000521B0000}"/>
    <cellStyle name="Normal 5 5 2 2 2 3 2" xfId="13694" xr:uid="{1CBEFC5A-C5B9-4D03-9D61-B673509C2023}"/>
    <cellStyle name="Normal 5 5 2 2 2 3 3" xfId="22134" xr:uid="{A0B1F090-4584-4539-853A-8238DE94C263}"/>
    <cellStyle name="Normal 5 5 2 2 2 4" xfId="9476" xr:uid="{7C28F237-2355-4A8A-9C8E-8343691153F1}"/>
    <cellStyle name="Normal 5 5 2 2 2 5" xfId="17917" xr:uid="{4BFDF7FE-0623-4A0C-9D50-29EC310DD058}"/>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16252" xr:uid="{6FFA0C2C-AB77-48CA-BE39-8111E2C8396D}"/>
    <cellStyle name="Normal 5 5 2 2 3 2 2 3" xfId="24692" xr:uid="{AEBBCC4F-9202-4746-9B29-8A6EB2DDACF5}"/>
    <cellStyle name="Normal 5 5 2 2 3 2 3" xfId="12034" xr:uid="{A6191125-2BE3-44C9-8AEF-6A7A3CDC972B}"/>
    <cellStyle name="Normal 5 5 2 2 3 2 4" xfId="20475" xr:uid="{7D041419-7868-4744-9C0C-1CE3E3DA5EDF}"/>
    <cellStyle name="Normal 5 5 2 2 3 3" xfId="5665" xr:uid="{00000000-0005-0000-0000-0000561B0000}"/>
    <cellStyle name="Normal 5 5 2 2 3 3 2" xfId="14107" xr:uid="{E93F1C81-86F9-44DA-B7AF-2C65E6DC8D0C}"/>
    <cellStyle name="Normal 5 5 2 2 3 3 3" xfId="22547" xr:uid="{B9BA201A-4C31-47B2-B345-BF96401557E3}"/>
    <cellStyle name="Normal 5 5 2 2 3 4" xfId="9889" xr:uid="{05B02938-EE13-4A1B-9DF3-964661E6DFFF}"/>
    <cellStyle name="Normal 5 5 2 2 3 5" xfId="18330" xr:uid="{DAB4AA13-8B99-4BB2-A38C-6F21F097E918}"/>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16665" xr:uid="{093F8289-1904-461F-AF9C-EA080DA4D466}"/>
    <cellStyle name="Normal 5 5 2 2 4 2 2 3" xfId="25105" xr:uid="{CC2845A2-1A3D-423D-8D86-77CEC5C7A14A}"/>
    <cellStyle name="Normal 5 5 2 2 4 2 3" xfId="12447" xr:uid="{012583C8-153C-4638-B9F6-FD7A9ECD89E4}"/>
    <cellStyle name="Normal 5 5 2 2 4 2 4" xfId="20888" xr:uid="{8A5C6099-E0EC-430F-BB6C-4F780DE00386}"/>
    <cellStyle name="Normal 5 5 2 2 4 3" xfId="6078" xr:uid="{00000000-0005-0000-0000-00005A1B0000}"/>
    <cellStyle name="Normal 5 5 2 2 4 3 2" xfId="14520" xr:uid="{74BBFBEF-F4E9-47BD-9AA2-003849A0D4BE}"/>
    <cellStyle name="Normal 5 5 2 2 4 3 3" xfId="22960" xr:uid="{75193105-67DF-4614-914B-D2212760926D}"/>
    <cellStyle name="Normal 5 5 2 2 4 4" xfId="10302" xr:uid="{C90ADDD7-C0A4-41BE-AB86-348DD91E4728}"/>
    <cellStyle name="Normal 5 5 2 2 4 5" xfId="18743" xr:uid="{6BB22923-CB5B-4BF8-A4CC-5BEEC7CF4792}"/>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17078" xr:uid="{71C2C544-3395-47AA-9F20-432CF53AE9BD}"/>
    <cellStyle name="Normal 5 5 2 2 5 2 2 3" xfId="25518" xr:uid="{E765E827-57BD-42D8-A98D-E3503319EF60}"/>
    <cellStyle name="Normal 5 5 2 2 5 2 3" xfId="12860" xr:uid="{CA8AA182-40BF-44D2-82FB-A7DBC638186F}"/>
    <cellStyle name="Normal 5 5 2 2 5 2 4" xfId="21301" xr:uid="{F596307F-62EE-43FD-8855-E98F3DF8C227}"/>
    <cellStyle name="Normal 5 5 2 2 5 3" xfId="6491" xr:uid="{00000000-0005-0000-0000-00005E1B0000}"/>
    <cellStyle name="Normal 5 5 2 2 5 3 2" xfId="14933" xr:uid="{F524E1DF-6D2E-4918-A10B-32FAD0119AD5}"/>
    <cellStyle name="Normal 5 5 2 2 5 3 3" xfId="23373" xr:uid="{1B75C243-B5C3-45B1-AC3B-92A1CF22D111}"/>
    <cellStyle name="Normal 5 5 2 2 5 4" xfId="10715" xr:uid="{88ABACA4-9358-4C92-8637-101B1386D64D}"/>
    <cellStyle name="Normal 5 5 2 2 5 5" xfId="19156" xr:uid="{B54D171C-9CCB-4EBD-903E-EEC88D360E41}"/>
    <cellStyle name="Normal 5 5 2 2 6" xfId="2620" xr:uid="{00000000-0005-0000-0000-00005F1B0000}"/>
    <cellStyle name="Normal 5 5 2 2 6 2" xfId="6904" xr:uid="{00000000-0005-0000-0000-0000601B0000}"/>
    <cellStyle name="Normal 5 5 2 2 6 2 2" xfId="15346" xr:uid="{361117C6-52C8-46F1-B975-15FFEED7DC07}"/>
    <cellStyle name="Normal 5 5 2 2 6 2 3" xfId="23786" xr:uid="{BD998957-B8AF-483A-966A-BB7C272E5412}"/>
    <cellStyle name="Normal 5 5 2 2 6 3" xfId="11128" xr:uid="{ED0B2979-B47E-4ABE-896A-0483BE9B4948}"/>
    <cellStyle name="Normal 5 5 2 2 6 4" xfId="19569" xr:uid="{E2F77853-098C-4F26-8141-75BF1E617CFB}"/>
    <cellStyle name="Normal 5 5 2 2 7" xfId="4839" xr:uid="{00000000-0005-0000-0000-0000611B0000}"/>
    <cellStyle name="Normal 5 5 2 2 7 2" xfId="13281" xr:uid="{E19BC6DE-C27E-4E84-B267-BDE67A14C2FE}"/>
    <cellStyle name="Normal 5 5 2 2 7 3" xfId="21721" xr:uid="{BC64BD79-EFC3-4340-ACEA-756DF1576A32}"/>
    <cellStyle name="Normal 5 5 2 2 8" xfId="9063" xr:uid="{48A02B32-A98D-4FBE-B29D-061C24146D10}"/>
    <cellStyle name="Normal 5 5 2 2 9" xfId="17504" xr:uid="{DB9BACA1-DFE5-45AC-A26E-0CB2039FE214}"/>
    <cellStyle name="Normal 5 5 2 3" xfId="939" xr:uid="{00000000-0005-0000-0000-0000621B0000}"/>
    <cellStyle name="Normal 5 5 2 3 2" xfId="3173" xr:uid="{00000000-0005-0000-0000-0000631B0000}"/>
    <cellStyle name="Normal 5 5 2 3 2 2" xfId="7396" xr:uid="{00000000-0005-0000-0000-0000641B0000}"/>
    <cellStyle name="Normal 5 5 2 3 2 2 2" xfId="15838" xr:uid="{681EA6EF-9ED3-4EF2-99E0-1C7C7E030F76}"/>
    <cellStyle name="Normal 5 5 2 3 2 2 3" xfId="24278" xr:uid="{986DA065-AC99-41A9-B6B0-A5545FD0078B}"/>
    <cellStyle name="Normal 5 5 2 3 2 3" xfId="11620" xr:uid="{FAE00B5A-AFD8-4026-8B32-1B5503A9AC67}"/>
    <cellStyle name="Normal 5 5 2 3 2 4" xfId="20061" xr:uid="{B05793DE-0C51-4662-A86B-4AAEA36AE9DC}"/>
    <cellStyle name="Normal 5 5 2 3 3" xfId="5251" xr:uid="{00000000-0005-0000-0000-0000651B0000}"/>
    <cellStyle name="Normal 5 5 2 3 3 2" xfId="13693" xr:uid="{03F6E3CF-2C88-4971-90EF-0CB2C671B928}"/>
    <cellStyle name="Normal 5 5 2 3 3 3" xfId="22133" xr:uid="{88906DED-3DE5-4977-8DAE-53E1C8D4262B}"/>
    <cellStyle name="Normal 5 5 2 3 4" xfId="9475" xr:uid="{E566FA93-7EA8-47D1-AA89-BFA35E9A3802}"/>
    <cellStyle name="Normal 5 5 2 3 5" xfId="17916" xr:uid="{2607FC1E-A439-430B-B1B3-666FDB51B4E9}"/>
    <cellStyle name="Normal 5 5 2 4" xfId="1356" xr:uid="{00000000-0005-0000-0000-0000661B0000}"/>
    <cellStyle name="Normal 5 5 2 4 2" xfId="3586" xr:uid="{00000000-0005-0000-0000-0000671B0000}"/>
    <cellStyle name="Normal 5 5 2 4 2 2" xfId="7809" xr:uid="{00000000-0005-0000-0000-0000681B0000}"/>
    <cellStyle name="Normal 5 5 2 4 2 2 2" xfId="16251" xr:uid="{7EBD5925-E655-48AA-9943-4D0B55954F3A}"/>
    <cellStyle name="Normal 5 5 2 4 2 2 3" xfId="24691" xr:uid="{5B9645A0-4CE1-4182-9CFC-2D9C0A4811C5}"/>
    <cellStyle name="Normal 5 5 2 4 2 3" xfId="12033" xr:uid="{D35CB8AF-F0AD-416A-B808-6881705D693C}"/>
    <cellStyle name="Normal 5 5 2 4 2 4" xfId="20474" xr:uid="{C10AB71E-5E01-498F-BA23-917039053822}"/>
    <cellStyle name="Normal 5 5 2 4 3" xfId="5664" xr:uid="{00000000-0005-0000-0000-0000691B0000}"/>
    <cellStyle name="Normal 5 5 2 4 3 2" xfId="14106" xr:uid="{D39E0D16-2F3F-4014-9288-864FE6B5DB0B}"/>
    <cellStyle name="Normal 5 5 2 4 3 3" xfId="22546" xr:uid="{B584DB65-BD7F-4C42-AB16-8B9942CFCCB8}"/>
    <cellStyle name="Normal 5 5 2 4 4" xfId="9888" xr:uid="{F3CBF580-93D8-4BA6-B506-BC1F328C2AE2}"/>
    <cellStyle name="Normal 5 5 2 4 5" xfId="18329" xr:uid="{10F48180-7606-495D-B629-DBD12F020B41}"/>
    <cellStyle name="Normal 5 5 2 5" xfId="1769" xr:uid="{00000000-0005-0000-0000-00006A1B0000}"/>
    <cellStyle name="Normal 5 5 2 5 2" xfId="3999" xr:uid="{00000000-0005-0000-0000-00006B1B0000}"/>
    <cellStyle name="Normal 5 5 2 5 2 2" xfId="8222" xr:uid="{00000000-0005-0000-0000-00006C1B0000}"/>
    <cellStyle name="Normal 5 5 2 5 2 2 2" xfId="16664" xr:uid="{FC4C5894-2E0B-48DE-9F75-2676569E4CAE}"/>
    <cellStyle name="Normal 5 5 2 5 2 2 3" xfId="25104" xr:uid="{3F3A6216-175B-4190-BE15-541776B64F69}"/>
    <cellStyle name="Normal 5 5 2 5 2 3" xfId="12446" xr:uid="{EF6CCC8B-7072-4840-8D1E-466A5A5178CE}"/>
    <cellStyle name="Normal 5 5 2 5 2 4" xfId="20887" xr:uid="{08A3B727-A773-4C50-91BB-3B33987AFF55}"/>
    <cellStyle name="Normal 5 5 2 5 3" xfId="6077" xr:uid="{00000000-0005-0000-0000-00006D1B0000}"/>
    <cellStyle name="Normal 5 5 2 5 3 2" xfId="14519" xr:uid="{60BF49C7-1C29-4DB6-BEB9-417FD7F59E23}"/>
    <cellStyle name="Normal 5 5 2 5 3 3" xfId="22959" xr:uid="{DA7F9B39-A1F6-40E5-BC38-BE12792EA725}"/>
    <cellStyle name="Normal 5 5 2 5 4" xfId="10301" xr:uid="{2ABA76E4-6554-4833-8A2D-86DA007F0E61}"/>
    <cellStyle name="Normal 5 5 2 5 5" xfId="18742" xr:uid="{4CFDCDDE-56C3-4F06-8CBE-5454F465A118}"/>
    <cellStyle name="Normal 5 5 2 6" xfId="2183" xr:uid="{00000000-0005-0000-0000-00006E1B0000}"/>
    <cellStyle name="Normal 5 5 2 6 2" xfId="4412" xr:uid="{00000000-0005-0000-0000-00006F1B0000}"/>
    <cellStyle name="Normal 5 5 2 6 2 2" xfId="8635" xr:uid="{00000000-0005-0000-0000-0000701B0000}"/>
    <cellStyle name="Normal 5 5 2 6 2 2 2" xfId="17077" xr:uid="{B1F02C04-0531-44DD-BD51-B903365008D7}"/>
    <cellStyle name="Normal 5 5 2 6 2 2 3" xfId="25517" xr:uid="{7F59640C-1700-4D54-8BE9-7484A03CE1F7}"/>
    <cellStyle name="Normal 5 5 2 6 2 3" xfId="12859" xr:uid="{1B7AAE37-793D-4757-84A5-F01FCCC728A9}"/>
    <cellStyle name="Normal 5 5 2 6 2 4" xfId="21300" xr:uid="{1FD52951-1B92-4EE0-81F4-56A2C7487447}"/>
    <cellStyle name="Normal 5 5 2 6 3" xfId="6490" xr:uid="{00000000-0005-0000-0000-0000711B0000}"/>
    <cellStyle name="Normal 5 5 2 6 3 2" xfId="14932" xr:uid="{E7C1E9D6-D2A8-4FB3-9D59-2D0EB8F8690B}"/>
    <cellStyle name="Normal 5 5 2 6 3 3" xfId="23372" xr:uid="{5A94B472-FA63-4CF4-A24A-28E179F2A606}"/>
    <cellStyle name="Normal 5 5 2 6 4" xfId="10714" xr:uid="{07BD0759-B68B-41A8-8015-CABF343D1D7F}"/>
    <cellStyle name="Normal 5 5 2 6 5" xfId="19155" xr:uid="{FC15D4C7-9C4A-4A38-AF37-0464A49A7F55}"/>
    <cellStyle name="Normal 5 5 2 7" xfId="2619" xr:uid="{00000000-0005-0000-0000-0000721B0000}"/>
    <cellStyle name="Normal 5 5 2 7 2" xfId="6903" xr:uid="{00000000-0005-0000-0000-0000731B0000}"/>
    <cellStyle name="Normal 5 5 2 7 2 2" xfId="15345" xr:uid="{8DE2821D-DF8E-43F9-BD8C-E597B81E9779}"/>
    <cellStyle name="Normal 5 5 2 7 2 3" xfId="23785" xr:uid="{CAA8648B-9DD5-48E2-A573-3F11AAB0D1D2}"/>
    <cellStyle name="Normal 5 5 2 7 3" xfId="11127" xr:uid="{6360D92C-D994-4647-90A0-1AEE0196E9D6}"/>
    <cellStyle name="Normal 5 5 2 7 4" xfId="19568" xr:uid="{3C3918CA-F62E-4BFA-8B87-48075250A4FA}"/>
    <cellStyle name="Normal 5 5 2 8" xfId="4838" xr:uid="{00000000-0005-0000-0000-0000741B0000}"/>
    <cellStyle name="Normal 5 5 2 8 2" xfId="13280" xr:uid="{7805825D-D5A0-49B2-B29C-C103E5AED793}"/>
    <cellStyle name="Normal 5 5 2 8 3" xfId="21720" xr:uid="{D8A38126-AF58-469C-90C3-A50283D2CF79}"/>
    <cellStyle name="Normal 5 5 2 9" xfId="9062" xr:uid="{620A1D9E-22E3-4210-92EB-65C41501F5AC}"/>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2 2 2" xfId="15840" xr:uid="{17A8F147-DC89-4739-99CF-3DD1A8B4EE31}"/>
    <cellStyle name="Normal 5 5 3 2 2 2 3" xfId="24280" xr:uid="{CE618609-B52A-4AB1-A481-FF47943EDB05}"/>
    <cellStyle name="Normal 5 5 3 2 2 3" xfId="11622" xr:uid="{8AA2424F-7C20-4114-972B-E3D4EFECB176}"/>
    <cellStyle name="Normal 5 5 3 2 2 4" xfId="20063" xr:uid="{2D570744-FBDE-4B44-8E6E-B5DE3575FF8D}"/>
    <cellStyle name="Normal 5 5 3 2 3" xfId="5253" xr:uid="{00000000-0005-0000-0000-0000791B0000}"/>
    <cellStyle name="Normal 5 5 3 2 3 2" xfId="13695" xr:uid="{B2D259FA-1234-45B1-9213-3D11BD059F2E}"/>
    <cellStyle name="Normal 5 5 3 2 3 3" xfId="22135" xr:uid="{03A2660B-0C46-4666-AAEF-CA4B4E92F357}"/>
    <cellStyle name="Normal 5 5 3 2 4" xfId="9477" xr:uid="{9E5AA061-ABCD-4CA6-A234-A21A40142654}"/>
    <cellStyle name="Normal 5 5 3 2 5" xfId="17918" xr:uid="{ABFED109-1C8F-4603-977A-F74860F3A660}"/>
    <cellStyle name="Normal 5 5 3 3" xfId="1358" xr:uid="{00000000-0005-0000-0000-00007A1B0000}"/>
    <cellStyle name="Normal 5 5 3 3 2" xfId="3588" xr:uid="{00000000-0005-0000-0000-00007B1B0000}"/>
    <cellStyle name="Normal 5 5 3 3 2 2" xfId="7811" xr:uid="{00000000-0005-0000-0000-00007C1B0000}"/>
    <cellStyle name="Normal 5 5 3 3 2 2 2" xfId="16253" xr:uid="{38928E2E-5DC7-4B93-8AD9-8AEB2BA38A61}"/>
    <cellStyle name="Normal 5 5 3 3 2 2 3" xfId="24693" xr:uid="{5B7FD77B-3F03-4977-8E48-32802DA26D02}"/>
    <cellStyle name="Normal 5 5 3 3 2 3" xfId="12035" xr:uid="{55001FA7-CCA4-4872-813C-82BA36AEB72F}"/>
    <cellStyle name="Normal 5 5 3 3 2 4" xfId="20476" xr:uid="{2CFA439F-735D-41C7-B0EC-57C71009DC7B}"/>
    <cellStyle name="Normal 5 5 3 3 3" xfId="5666" xr:uid="{00000000-0005-0000-0000-00007D1B0000}"/>
    <cellStyle name="Normal 5 5 3 3 3 2" xfId="14108" xr:uid="{A86D66C3-149B-490A-91E8-CBC1F97DF057}"/>
    <cellStyle name="Normal 5 5 3 3 3 3" xfId="22548" xr:uid="{38793544-274A-438D-9755-9ABE4D6A5466}"/>
    <cellStyle name="Normal 5 5 3 3 4" xfId="9890" xr:uid="{D2AEAEFB-26C2-49ED-837F-66452A0FB489}"/>
    <cellStyle name="Normal 5 5 3 3 5" xfId="18331" xr:uid="{1BD30762-2AFB-4EB4-B10D-6B61CE410EB4}"/>
    <cellStyle name="Normal 5 5 3 4" xfId="1771" xr:uid="{00000000-0005-0000-0000-00007E1B0000}"/>
    <cellStyle name="Normal 5 5 3 4 2" xfId="4001" xr:uid="{00000000-0005-0000-0000-00007F1B0000}"/>
    <cellStyle name="Normal 5 5 3 4 2 2" xfId="8224" xr:uid="{00000000-0005-0000-0000-0000801B0000}"/>
    <cellStyle name="Normal 5 5 3 4 2 2 2" xfId="16666" xr:uid="{94F9F792-F65E-4747-B63F-526A66C480D2}"/>
    <cellStyle name="Normal 5 5 3 4 2 2 3" xfId="25106" xr:uid="{75A1C510-0C52-4B34-A24A-D42959E859F9}"/>
    <cellStyle name="Normal 5 5 3 4 2 3" xfId="12448" xr:uid="{F83DA4C6-7155-4D96-8660-AFB872F49CC1}"/>
    <cellStyle name="Normal 5 5 3 4 2 4" xfId="20889" xr:uid="{3FC41604-C7C2-4E7C-A294-849CC6E25762}"/>
    <cellStyle name="Normal 5 5 3 4 3" xfId="6079" xr:uid="{00000000-0005-0000-0000-0000811B0000}"/>
    <cellStyle name="Normal 5 5 3 4 3 2" xfId="14521" xr:uid="{A7498D3A-0911-4742-947C-86EF9969DED4}"/>
    <cellStyle name="Normal 5 5 3 4 3 3" xfId="22961" xr:uid="{017D8D90-B48F-491F-A3C4-605D37D902E0}"/>
    <cellStyle name="Normal 5 5 3 4 4" xfId="10303" xr:uid="{D1194CD9-C943-4977-A9D2-3F948C7A595D}"/>
    <cellStyle name="Normal 5 5 3 4 5" xfId="18744" xr:uid="{7B266BA2-717A-408E-998A-87E6FC3787A0}"/>
    <cellStyle name="Normal 5 5 3 5" xfId="2185" xr:uid="{00000000-0005-0000-0000-0000821B0000}"/>
    <cellStyle name="Normal 5 5 3 5 2" xfId="4414" xr:uid="{00000000-0005-0000-0000-0000831B0000}"/>
    <cellStyle name="Normal 5 5 3 5 2 2" xfId="8637" xr:uid="{00000000-0005-0000-0000-0000841B0000}"/>
    <cellStyle name="Normal 5 5 3 5 2 2 2" xfId="17079" xr:uid="{5DADCF1C-A1FA-4B7D-9B75-2A5631763973}"/>
    <cellStyle name="Normal 5 5 3 5 2 2 3" xfId="25519" xr:uid="{C4F604BB-5966-4EB8-9D5E-699739B7A143}"/>
    <cellStyle name="Normal 5 5 3 5 2 3" xfId="12861" xr:uid="{89990F70-C7A8-42CD-AA4E-BAF9D2797F04}"/>
    <cellStyle name="Normal 5 5 3 5 2 4" xfId="21302" xr:uid="{795F04B4-A9AF-4022-A44B-B9DE91F4A5CB}"/>
    <cellStyle name="Normal 5 5 3 5 3" xfId="6492" xr:uid="{00000000-0005-0000-0000-0000851B0000}"/>
    <cellStyle name="Normal 5 5 3 5 3 2" xfId="14934" xr:uid="{28663548-5A4B-44B3-9C7B-7BDF88EAFFDA}"/>
    <cellStyle name="Normal 5 5 3 5 3 3" xfId="23374" xr:uid="{78BA784E-E15B-4CED-8E54-F4A6319BAA20}"/>
    <cellStyle name="Normal 5 5 3 5 4" xfId="10716" xr:uid="{D4F1BDE3-401C-4646-B1DF-E62069B89344}"/>
    <cellStyle name="Normal 5 5 3 5 5" xfId="19157" xr:uid="{865E5F24-3350-4313-A5C8-24D808A45CF2}"/>
    <cellStyle name="Normal 5 5 3 6" xfId="2621" xr:uid="{00000000-0005-0000-0000-0000861B0000}"/>
    <cellStyle name="Normal 5 5 3 6 2" xfId="6905" xr:uid="{00000000-0005-0000-0000-0000871B0000}"/>
    <cellStyle name="Normal 5 5 3 6 2 2" xfId="15347" xr:uid="{F264C4A8-E4A3-42FF-8436-202C4FB5075C}"/>
    <cellStyle name="Normal 5 5 3 6 2 3" xfId="23787" xr:uid="{D5DDE4A1-39BF-465E-B615-71DCDB28EE2D}"/>
    <cellStyle name="Normal 5 5 3 6 3" xfId="11129" xr:uid="{E9029C4E-EB26-4D66-B671-01682F3585C6}"/>
    <cellStyle name="Normal 5 5 3 6 4" xfId="19570" xr:uid="{17263545-DE15-421B-96E8-A2075A68736A}"/>
    <cellStyle name="Normal 5 5 3 7" xfId="4840" xr:uid="{00000000-0005-0000-0000-0000881B0000}"/>
    <cellStyle name="Normal 5 5 3 7 2" xfId="13282" xr:uid="{D05923F1-0ADE-434C-9393-41C7A57E612B}"/>
    <cellStyle name="Normal 5 5 3 7 3" xfId="21722" xr:uid="{2984A46D-743C-4676-BACC-9F2044E3DD4F}"/>
    <cellStyle name="Normal 5 5 3 8" xfId="9064" xr:uid="{EA1B24E4-A8D6-4A57-8460-5F2B22E1A1A7}"/>
    <cellStyle name="Normal 5 5 3 9" xfId="17505" xr:uid="{D6B88276-9499-4A07-8143-904CFF125268}"/>
    <cellStyle name="Normal 5 5 4" xfId="938" xr:uid="{00000000-0005-0000-0000-0000891B0000}"/>
    <cellStyle name="Normal 5 5 4 2" xfId="3172" xr:uid="{00000000-0005-0000-0000-00008A1B0000}"/>
    <cellStyle name="Normal 5 5 4 2 2" xfId="7395" xr:uid="{00000000-0005-0000-0000-00008B1B0000}"/>
    <cellStyle name="Normal 5 5 4 2 2 2" xfId="15837" xr:uid="{3C6D09B6-1E8A-4A13-BD10-44FDD279C735}"/>
    <cellStyle name="Normal 5 5 4 2 2 3" xfId="24277" xr:uid="{C3F27C52-5AE5-4B69-89B3-54EAB27E5D36}"/>
    <cellStyle name="Normal 5 5 4 2 3" xfId="11619" xr:uid="{82B1264C-0F36-4C04-81B6-C27EC704D6C6}"/>
    <cellStyle name="Normal 5 5 4 2 4" xfId="20060" xr:uid="{774BD7F1-5473-444E-BECC-51A3ED57E409}"/>
    <cellStyle name="Normal 5 5 4 3" xfId="5250" xr:uid="{00000000-0005-0000-0000-00008C1B0000}"/>
    <cellStyle name="Normal 5 5 4 3 2" xfId="13692" xr:uid="{668D808D-53D8-469A-B28D-73EAA980D1BB}"/>
    <cellStyle name="Normal 5 5 4 3 3" xfId="22132" xr:uid="{0F208B64-0E12-4AFC-BC65-DC21EF940214}"/>
    <cellStyle name="Normal 5 5 4 4" xfId="9474" xr:uid="{3FEC1AF7-BC2A-46C9-82B3-F80EBA487AAB}"/>
    <cellStyle name="Normal 5 5 4 5" xfId="17915" xr:uid="{D8742190-6881-45C5-A55F-557FBA31102C}"/>
    <cellStyle name="Normal 5 5 5" xfId="1355" xr:uid="{00000000-0005-0000-0000-00008D1B0000}"/>
    <cellStyle name="Normal 5 5 5 2" xfId="3585" xr:uid="{00000000-0005-0000-0000-00008E1B0000}"/>
    <cellStyle name="Normal 5 5 5 2 2" xfId="7808" xr:uid="{00000000-0005-0000-0000-00008F1B0000}"/>
    <cellStyle name="Normal 5 5 5 2 2 2" xfId="16250" xr:uid="{36BB745D-E09A-48A5-B9D5-34B702299492}"/>
    <cellStyle name="Normal 5 5 5 2 2 3" xfId="24690" xr:uid="{6F790527-D7EA-474D-9116-5B9E82BE54F2}"/>
    <cellStyle name="Normal 5 5 5 2 3" xfId="12032" xr:uid="{6F73BE62-586B-4452-93CE-6008A654614D}"/>
    <cellStyle name="Normal 5 5 5 2 4" xfId="20473" xr:uid="{F3D9AB7F-32A1-4646-89C8-C41C4AEDCC03}"/>
    <cellStyle name="Normal 5 5 5 3" xfId="5663" xr:uid="{00000000-0005-0000-0000-0000901B0000}"/>
    <cellStyle name="Normal 5 5 5 3 2" xfId="14105" xr:uid="{8412917F-37E2-46B3-8811-9829A6BBF3C2}"/>
    <cellStyle name="Normal 5 5 5 3 3" xfId="22545" xr:uid="{211A3918-2D7C-478E-B53A-F56D13F5C858}"/>
    <cellStyle name="Normal 5 5 5 4" xfId="9887" xr:uid="{886C0A4A-4B80-4E55-8629-A1009F19CB0F}"/>
    <cellStyle name="Normal 5 5 5 5" xfId="18328" xr:uid="{18B29A04-DCAE-4237-9767-11F4D2D3413C}"/>
    <cellStyle name="Normal 5 5 6" xfId="1768" xr:uid="{00000000-0005-0000-0000-0000911B0000}"/>
    <cellStyle name="Normal 5 5 6 2" xfId="3998" xr:uid="{00000000-0005-0000-0000-0000921B0000}"/>
    <cellStyle name="Normal 5 5 6 2 2" xfId="8221" xr:uid="{00000000-0005-0000-0000-0000931B0000}"/>
    <cellStyle name="Normal 5 5 6 2 2 2" xfId="16663" xr:uid="{916D6B91-0059-418D-AB7B-2CCC141AC364}"/>
    <cellStyle name="Normal 5 5 6 2 2 3" xfId="25103" xr:uid="{FC86D5BA-A1A5-49ED-974D-9C941A0B1BFD}"/>
    <cellStyle name="Normal 5 5 6 2 3" xfId="12445" xr:uid="{B06C1522-98B6-40A9-AF33-076687B1FBB7}"/>
    <cellStyle name="Normal 5 5 6 2 4" xfId="20886" xr:uid="{1AD848E6-A77A-49E1-AA71-C0DA0B5BD8B2}"/>
    <cellStyle name="Normal 5 5 6 3" xfId="6076" xr:uid="{00000000-0005-0000-0000-0000941B0000}"/>
    <cellStyle name="Normal 5 5 6 3 2" xfId="14518" xr:uid="{97ED5F81-7AAB-4194-9282-4A412C393A66}"/>
    <cellStyle name="Normal 5 5 6 3 3" xfId="22958" xr:uid="{0D1BF512-FDE5-4FAC-BEF5-10E9ADBDC3BA}"/>
    <cellStyle name="Normal 5 5 6 4" xfId="10300" xr:uid="{CEE9A052-7A89-4FCD-AC62-9A1CF082D828}"/>
    <cellStyle name="Normal 5 5 6 5" xfId="18741" xr:uid="{487A9AB3-996C-497E-B9D9-CB1472078981}"/>
    <cellStyle name="Normal 5 5 7" xfId="2182" xr:uid="{00000000-0005-0000-0000-0000951B0000}"/>
    <cellStyle name="Normal 5 5 7 2" xfId="4411" xr:uid="{00000000-0005-0000-0000-0000961B0000}"/>
    <cellStyle name="Normal 5 5 7 2 2" xfId="8634" xr:uid="{00000000-0005-0000-0000-0000971B0000}"/>
    <cellStyle name="Normal 5 5 7 2 2 2" xfId="17076" xr:uid="{BE66BA7F-D25C-42EF-931A-BB50DE65B77E}"/>
    <cellStyle name="Normal 5 5 7 2 2 3" xfId="25516" xr:uid="{4BA612F9-6240-4E77-BD50-54492640FBAD}"/>
    <cellStyle name="Normal 5 5 7 2 3" xfId="12858" xr:uid="{80ED31C7-E8E5-469E-B7F6-14AA265E2470}"/>
    <cellStyle name="Normal 5 5 7 2 4" xfId="21299" xr:uid="{57FFF5FE-9430-4964-AB6F-076EBB598BB1}"/>
    <cellStyle name="Normal 5 5 7 3" xfId="6489" xr:uid="{00000000-0005-0000-0000-0000981B0000}"/>
    <cellStyle name="Normal 5 5 7 3 2" xfId="14931" xr:uid="{A293167E-77D0-49C6-B1F0-4107122CD448}"/>
    <cellStyle name="Normal 5 5 7 3 3" xfId="23371" xr:uid="{D6DC798E-BFAB-4017-83AB-5747F1930506}"/>
    <cellStyle name="Normal 5 5 7 4" xfId="10713" xr:uid="{3A7845DE-24B5-41E2-8035-D0B631BB6BEB}"/>
    <cellStyle name="Normal 5 5 7 5" xfId="19154" xr:uid="{2F6A0AF0-A983-495F-91F9-DCDC2B388C28}"/>
    <cellStyle name="Normal 5 5 8" xfId="2618" xr:uid="{00000000-0005-0000-0000-0000991B0000}"/>
    <cellStyle name="Normal 5 5 8 2" xfId="6902" xr:uid="{00000000-0005-0000-0000-00009A1B0000}"/>
    <cellStyle name="Normal 5 5 8 2 2" xfId="15344" xr:uid="{DF0BDB56-73EF-42F7-AB3E-5134CCBAE9BE}"/>
    <cellStyle name="Normal 5 5 8 2 3" xfId="23784" xr:uid="{D82458BA-1015-4F30-B03E-DDB8AF47B91B}"/>
    <cellStyle name="Normal 5 5 8 3" xfId="11126" xr:uid="{CE02DCB0-0955-4BEA-AE6A-C0A5FB94B5BE}"/>
    <cellStyle name="Normal 5 5 8 4" xfId="19567" xr:uid="{F4C19BB8-799E-4EA5-BFDF-B0C38AB72D2B}"/>
    <cellStyle name="Normal 5 5 9" xfId="4837" xr:uid="{00000000-0005-0000-0000-00009B1B0000}"/>
    <cellStyle name="Normal 5 5 9 2" xfId="13279" xr:uid="{C41F95AB-6111-4EF0-A8EF-673FF20D3FC9}"/>
    <cellStyle name="Normal 5 5 9 3" xfId="21719" xr:uid="{91F36E18-5951-43FD-B8D3-16D241FD56ED}"/>
    <cellStyle name="Normal 5 6" xfId="468" xr:uid="{00000000-0005-0000-0000-00009C1B0000}"/>
    <cellStyle name="Normal 5 6 10" xfId="17506" xr:uid="{9B3C0177-BB47-45E5-ACB0-3EDFDC94982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2 2 2" xfId="15842" xr:uid="{784D2DB0-2B7A-4400-AFBF-E35EA71E7995}"/>
    <cellStyle name="Normal 5 6 2 2 2 2 3" xfId="24282" xr:uid="{58F011EE-A94D-4BB1-9C43-492F610EEFDB}"/>
    <cellStyle name="Normal 5 6 2 2 2 3" xfId="11624" xr:uid="{8840383F-EA40-4C57-8ABC-1B61DA36AB90}"/>
    <cellStyle name="Normal 5 6 2 2 2 4" xfId="20065" xr:uid="{9ACA17F7-0A48-476D-B3FE-296A16406EE8}"/>
    <cellStyle name="Normal 5 6 2 2 3" xfId="5255" xr:uid="{00000000-0005-0000-0000-0000A11B0000}"/>
    <cellStyle name="Normal 5 6 2 2 3 2" xfId="13697" xr:uid="{08D32A04-03BE-4A16-B28B-50A33A56F58A}"/>
    <cellStyle name="Normal 5 6 2 2 3 3" xfId="22137" xr:uid="{8DF16497-009B-45C0-B382-93C56CE865D6}"/>
    <cellStyle name="Normal 5 6 2 2 4" xfId="9479" xr:uid="{1FB569A9-A475-4B13-8C9D-9877B7F3800A}"/>
    <cellStyle name="Normal 5 6 2 2 5" xfId="17920" xr:uid="{6CF794FD-DE4F-45A3-9F73-EB3C38F1E228}"/>
    <cellStyle name="Normal 5 6 2 3" xfId="1360" xr:uid="{00000000-0005-0000-0000-0000A21B0000}"/>
    <cellStyle name="Normal 5 6 2 3 2" xfId="3590" xr:uid="{00000000-0005-0000-0000-0000A31B0000}"/>
    <cellStyle name="Normal 5 6 2 3 2 2" xfId="7813" xr:uid="{00000000-0005-0000-0000-0000A41B0000}"/>
    <cellStyle name="Normal 5 6 2 3 2 2 2" xfId="16255" xr:uid="{72A5531D-E8A3-4AD8-B3FB-7556F0283C51}"/>
    <cellStyle name="Normal 5 6 2 3 2 2 3" xfId="24695" xr:uid="{A0131D0D-A23F-458F-8428-1A7A2AC346F6}"/>
    <cellStyle name="Normal 5 6 2 3 2 3" xfId="12037" xr:uid="{1C2A6651-04F0-4309-A83B-3B49031AC48F}"/>
    <cellStyle name="Normal 5 6 2 3 2 4" xfId="20478" xr:uid="{D3885A8E-F6A5-4BA6-AF8D-32C4537B6764}"/>
    <cellStyle name="Normal 5 6 2 3 3" xfId="5668" xr:uid="{00000000-0005-0000-0000-0000A51B0000}"/>
    <cellStyle name="Normal 5 6 2 3 3 2" xfId="14110" xr:uid="{FC1836B6-8CEB-42F5-9778-B7764B70EE38}"/>
    <cellStyle name="Normal 5 6 2 3 3 3" xfId="22550" xr:uid="{0374208D-3240-4A6F-BBFD-1D0E056F0277}"/>
    <cellStyle name="Normal 5 6 2 3 4" xfId="9892" xr:uid="{A686F18E-7C74-487A-BABC-03A22C803E83}"/>
    <cellStyle name="Normal 5 6 2 3 5" xfId="18333" xr:uid="{D4698FD2-0171-479C-81D3-35037E94250B}"/>
    <cellStyle name="Normal 5 6 2 4" xfId="1773" xr:uid="{00000000-0005-0000-0000-0000A61B0000}"/>
    <cellStyle name="Normal 5 6 2 4 2" xfId="4003" xr:uid="{00000000-0005-0000-0000-0000A71B0000}"/>
    <cellStyle name="Normal 5 6 2 4 2 2" xfId="8226" xr:uid="{00000000-0005-0000-0000-0000A81B0000}"/>
    <cellStyle name="Normal 5 6 2 4 2 2 2" xfId="16668" xr:uid="{51C47A23-C153-4EAC-A153-E775CA23696D}"/>
    <cellStyle name="Normal 5 6 2 4 2 2 3" xfId="25108" xr:uid="{DC32062F-D5FF-46F7-803B-6FB4D516AF0E}"/>
    <cellStyle name="Normal 5 6 2 4 2 3" xfId="12450" xr:uid="{A2A72430-7BB0-46B3-9AE2-2B7A047AF6EA}"/>
    <cellStyle name="Normal 5 6 2 4 2 4" xfId="20891" xr:uid="{B568F5ED-B557-444F-9FB9-1E5E0FB41BDE}"/>
    <cellStyle name="Normal 5 6 2 4 3" xfId="6081" xr:uid="{00000000-0005-0000-0000-0000A91B0000}"/>
    <cellStyle name="Normal 5 6 2 4 3 2" xfId="14523" xr:uid="{167D8412-F995-4920-888C-227DC8AB3C42}"/>
    <cellStyle name="Normal 5 6 2 4 3 3" xfId="22963" xr:uid="{37D3B279-184B-4BF6-9409-EFF150EDFFAF}"/>
    <cellStyle name="Normal 5 6 2 4 4" xfId="10305" xr:uid="{AA415FD1-0DC6-4391-9A53-C88B603D8E4A}"/>
    <cellStyle name="Normal 5 6 2 4 5" xfId="18746" xr:uid="{F0B2043C-426A-4026-9603-A7F47622FA5A}"/>
    <cellStyle name="Normal 5 6 2 5" xfId="2187" xr:uid="{00000000-0005-0000-0000-0000AA1B0000}"/>
    <cellStyle name="Normal 5 6 2 5 2" xfId="4416" xr:uid="{00000000-0005-0000-0000-0000AB1B0000}"/>
    <cellStyle name="Normal 5 6 2 5 2 2" xfId="8639" xr:uid="{00000000-0005-0000-0000-0000AC1B0000}"/>
    <cellStyle name="Normal 5 6 2 5 2 2 2" xfId="17081" xr:uid="{17C73643-4A92-4F38-95C9-EF0B392DF69C}"/>
    <cellStyle name="Normal 5 6 2 5 2 2 3" xfId="25521" xr:uid="{31A85861-6F34-4835-AFCD-B8B760357DE4}"/>
    <cellStyle name="Normal 5 6 2 5 2 3" xfId="12863" xr:uid="{21A1B33E-4ACF-4C2E-9A85-D13E5958F91A}"/>
    <cellStyle name="Normal 5 6 2 5 2 4" xfId="21304" xr:uid="{9E183AA4-4CB4-47ED-8084-718BC7E0FC14}"/>
    <cellStyle name="Normal 5 6 2 5 3" xfId="6494" xr:uid="{00000000-0005-0000-0000-0000AD1B0000}"/>
    <cellStyle name="Normal 5 6 2 5 3 2" xfId="14936" xr:uid="{2E020E2A-01B6-4D48-879B-0D788318A0A0}"/>
    <cellStyle name="Normal 5 6 2 5 3 3" xfId="23376" xr:uid="{A22256EB-D4F9-4F53-851B-AD6334502183}"/>
    <cellStyle name="Normal 5 6 2 5 4" xfId="10718" xr:uid="{349BE7F3-52A0-4782-87FC-DAFE895779B9}"/>
    <cellStyle name="Normal 5 6 2 5 5" xfId="19159" xr:uid="{69655F08-31D2-4DD1-A69B-2B5665D705E5}"/>
    <cellStyle name="Normal 5 6 2 6" xfId="2623" xr:uid="{00000000-0005-0000-0000-0000AE1B0000}"/>
    <cellStyle name="Normal 5 6 2 6 2" xfId="6907" xr:uid="{00000000-0005-0000-0000-0000AF1B0000}"/>
    <cellStyle name="Normal 5 6 2 6 2 2" xfId="15349" xr:uid="{F3E648A6-D187-4A8C-B302-6BC7BC951EEA}"/>
    <cellStyle name="Normal 5 6 2 6 2 3" xfId="23789" xr:uid="{8F9A233C-2FAC-4AB5-A218-11D448BF4806}"/>
    <cellStyle name="Normal 5 6 2 6 3" xfId="11131" xr:uid="{1DDACD2C-D4F3-4911-9697-2451767433C8}"/>
    <cellStyle name="Normal 5 6 2 6 4" xfId="19572" xr:uid="{BB6E5C23-1B53-4692-8239-807555EE49D9}"/>
    <cellStyle name="Normal 5 6 2 7" xfId="4842" xr:uid="{00000000-0005-0000-0000-0000B01B0000}"/>
    <cellStyle name="Normal 5 6 2 7 2" xfId="13284" xr:uid="{B0E718FE-60D3-4A11-A586-7F64456E5ED8}"/>
    <cellStyle name="Normal 5 6 2 7 3" xfId="21724" xr:uid="{5BC96BDC-3CCF-4AB0-A74A-48C5A91C26F4}"/>
    <cellStyle name="Normal 5 6 2 8" xfId="9066" xr:uid="{BB079957-6439-4ED8-A2E2-69EFF708F15B}"/>
    <cellStyle name="Normal 5 6 2 9" xfId="17507" xr:uid="{3C202DAD-93F0-48D5-9DDD-6677361A3A59}"/>
    <cellStyle name="Normal 5 6 3" xfId="942" xr:uid="{00000000-0005-0000-0000-0000B11B0000}"/>
    <cellStyle name="Normal 5 6 3 2" xfId="3176" xr:uid="{00000000-0005-0000-0000-0000B21B0000}"/>
    <cellStyle name="Normal 5 6 3 2 2" xfId="7399" xr:uid="{00000000-0005-0000-0000-0000B31B0000}"/>
    <cellStyle name="Normal 5 6 3 2 2 2" xfId="15841" xr:uid="{84EDDDD8-7C33-408D-9098-AD8908847B02}"/>
    <cellStyle name="Normal 5 6 3 2 2 3" xfId="24281" xr:uid="{125D1332-E69B-4CC9-B4E2-2C709AFF7538}"/>
    <cellStyle name="Normal 5 6 3 2 3" xfId="11623" xr:uid="{96CCBF03-6ED8-421D-A3C2-05DB5723EE3E}"/>
    <cellStyle name="Normal 5 6 3 2 4" xfId="20064" xr:uid="{564ECB03-2400-46E3-B7A7-1442561ACADB}"/>
    <cellStyle name="Normal 5 6 3 3" xfId="5254" xr:uid="{00000000-0005-0000-0000-0000B41B0000}"/>
    <cellStyle name="Normal 5 6 3 3 2" xfId="13696" xr:uid="{0A0A0400-9C97-4FCE-B702-79E4A947F5A8}"/>
    <cellStyle name="Normal 5 6 3 3 3" xfId="22136" xr:uid="{E9D123BC-0AEB-45DC-A894-F1ACB9D2A21A}"/>
    <cellStyle name="Normal 5 6 3 4" xfId="9478" xr:uid="{4A119AAE-554A-4E9F-8245-48742E1170A8}"/>
    <cellStyle name="Normal 5 6 3 5" xfId="17919" xr:uid="{0B6E224C-CB98-426F-B3E8-51C7E4B5AA85}"/>
    <cellStyle name="Normal 5 6 4" xfId="1359" xr:uid="{00000000-0005-0000-0000-0000B51B0000}"/>
    <cellStyle name="Normal 5 6 4 2" xfId="3589" xr:uid="{00000000-0005-0000-0000-0000B61B0000}"/>
    <cellStyle name="Normal 5 6 4 2 2" xfId="7812" xr:uid="{00000000-0005-0000-0000-0000B71B0000}"/>
    <cellStyle name="Normal 5 6 4 2 2 2" xfId="16254" xr:uid="{F550E985-9176-4020-B3C8-D233DD9D24BF}"/>
    <cellStyle name="Normal 5 6 4 2 2 3" xfId="24694" xr:uid="{80B99044-1DA4-45B7-8650-B0425884F4A9}"/>
    <cellStyle name="Normal 5 6 4 2 3" xfId="12036" xr:uid="{7157C669-CDF5-4A5F-904E-95118F79840F}"/>
    <cellStyle name="Normal 5 6 4 2 4" xfId="20477" xr:uid="{115B5D05-019C-4866-B038-25BCCF88E64B}"/>
    <cellStyle name="Normal 5 6 4 3" xfId="5667" xr:uid="{00000000-0005-0000-0000-0000B81B0000}"/>
    <cellStyle name="Normal 5 6 4 3 2" xfId="14109" xr:uid="{30995A7B-9837-4F7F-A861-8A7B71FEF84A}"/>
    <cellStyle name="Normal 5 6 4 3 3" xfId="22549" xr:uid="{6B0257DE-A9D9-4D08-A922-16BE3BFB4EC3}"/>
    <cellStyle name="Normal 5 6 4 4" xfId="9891" xr:uid="{D96594F8-6FBC-41AB-B37A-AC5A301966EE}"/>
    <cellStyle name="Normal 5 6 4 5" xfId="18332" xr:uid="{E5FC62C0-D8DD-4577-AECA-0CBE2DA1E5BB}"/>
    <cellStyle name="Normal 5 6 5" xfId="1772" xr:uid="{00000000-0005-0000-0000-0000B91B0000}"/>
    <cellStyle name="Normal 5 6 5 2" xfId="4002" xr:uid="{00000000-0005-0000-0000-0000BA1B0000}"/>
    <cellStyle name="Normal 5 6 5 2 2" xfId="8225" xr:uid="{00000000-0005-0000-0000-0000BB1B0000}"/>
    <cellStyle name="Normal 5 6 5 2 2 2" xfId="16667" xr:uid="{6F475254-7463-45BB-87D1-631B9202CC30}"/>
    <cellStyle name="Normal 5 6 5 2 2 3" xfId="25107" xr:uid="{D046CB5D-B285-4F59-B1AA-98C49DC5179E}"/>
    <cellStyle name="Normal 5 6 5 2 3" xfId="12449" xr:uid="{6F05E386-ABD5-4173-8552-5CB8076DD078}"/>
    <cellStyle name="Normal 5 6 5 2 4" xfId="20890" xr:uid="{74E35411-5FD5-4DD3-A478-E5D7037A0678}"/>
    <cellStyle name="Normal 5 6 5 3" xfId="6080" xr:uid="{00000000-0005-0000-0000-0000BC1B0000}"/>
    <cellStyle name="Normal 5 6 5 3 2" xfId="14522" xr:uid="{29C4999B-4998-445F-B03E-B8F2AE1093AF}"/>
    <cellStyle name="Normal 5 6 5 3 3" xfId="22962" xr:uid="{65157DEB-E9CD-4905-8257-2CF2DDC5CE92}"/>
    <cellStyle name="Normal 5 6 5 4" xfId="10304" xr:uid="{0DE22C7C-BF3C-4ECD-8EA4-890A7790553E}"/>
    <cellStyle name="Normal 5 6 5 5" xfId="18745" xr:uid="{65ADE6B5-453E-4DA9-806F-10B68B58AEF9}"/>
    <cellStyle name="Normal 5 6 6" xfId="2186" xr:uid="{00000000-0005-0000-0000-0000BD1B0000}"/>
    <cellStyle name="Normal 5 6 6 2" xfId="4415" xr:uid="{00000000-0005-0000-0000-0000BE1B0000}"/>
    <cellStyle name="Normal 5 6 6 2 2" xfId="8638" xr:uid="{00000000-0005-0000-0000-0000BF1B0000}"/>
    <cellStyle name="Normal 5 6 6 2 2 2" xfId="17080" xr:uid="{4A7116AA-51D3-4EAA-8607-1B1E98102779}"/>
    <cellStyle name="Normal 5 6 6 2 2 3" xfId="25520" xr:uid="{66F7C68A-2FE7-4F99-81BA-F2F8470FFB25}"/>
    <cellStyle name="Normal 5 6 6 2 3" xfId="12862" xr:uid="{F14D4F0B-57EA-490C-BC25-1F2B880A7044}"/>
    <cellStyle name="Normal 5 6 6 2 4" xfId="21303" xr:uid="{2DFFED1A-D092-4527-B7FB-2FF2DE329083}"/>
    <cellStyle name="Normal 5 6 6 3" xfId="6493" xr:uid="{00000000-0005-0000-0000-0000C01B0000}"/>
    <cellStyle name="Normal 5 6 6 3 2" xfId="14935" xr:uid="{6149CBF8-CDDA-4983-9692-78CAF9D3E96B}"/>
    <cellStyle name="Normal 5 6 6 3 3" xfId="23375" xr:uid="{B9CB5155-AB29-4CE3-9139-AC5072C83A9B}"/>
    <cellStyle name="Normal 5 6 6 4" xfId="10717" xr:uid="{097D768A-2A3D-43A5-A8ED-B4F5160D4153}"/>
    <cellStyle name="Normal 5 6 6 5" xfId="19158" xr:uid="{FC51FC85-D86A-483C-AC7E-E1B6593012CE}"/>
    <cellStyle name="Normal 5 6 7" xfId="2622" xr:uid="{00000000-0005-0000-0000-0000C11B0000}"/>
    <cellStyle name="Normal 5 6 7 2" xfId="6906" xr:uid="{00000000-0005-0000-0000-0000C21B0000}"/>
    <cellStyle name="Normal 5 6 7 2 2" xfId="15348" xr:uid="{6A075283-0674-4B0F-AC8F-31AB7C583A75}"/>
    <cellStyle name="Normal 5 6 7 2 3" xfId="23788" xr:uid="{07B7E40F-77DB-4E64-8F08-A6A62D56524E}"/>
    <cellStyle name="Normal 5 6 7 3" xfId="11130" xr:uid="{005388E1-5CEC-41F4-AEED-D884C628BD0B}"/>
    <cellStyle name="Normal 5 6 7 4" xfId="19571" xr:uid="{42D2E3AD-07C4-4BF4-AECC-4AC205797068}"/>
    <cellStyle name="Normal 5 6 8" xfId="4841" xr:uid="{00000000-0005-0000-0000-0000C31B0000}"/>
    <cellStyle name="Normal 5 6 8 2" xfId="13283" xr:uid="{6925DDB4-029B-416D-9AE7-F61247A5A22F}"/>
    <cellStyle name="Normal 5 6 8 3" xfId="21723" xr:uid="{833D3059-36FE-4462-96F3-8E42643274B1}"/>
    <cellStyle name="Normal 5 6 9" xfId="9065" xr:uid="{B29A79D9-DB69-4E8F-AA07-4CA73DEE0F5B}"/>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2 2 2" xfId="15843" xr:uid="{A08A90BE-C29F-446C-B514-11802EF684A2}"/>
    <cellStyle name="Normal 5 7 2 2 2 3" xfId="24283" xr:uid="{89350A81-EF90-4BB8-8EFD-624646FA3450}"/>
    <cellStyle name="Normal 5 7 2 2 3" xfId="11625" xr:uid="{4F3B6050-63AD-4ACA-BF09-12EDE4BE1611}"/>
    <cellStyle name="Normal 5 7 2 2 4" xfId="20066" xr:uid="{21AB31F9-B9CF-4842-9DC0-E0D94E0846FF}"/>
    <cellStyle name="Normal 5 7 2 3" xfId="5256" xr:uid="{00000000-0005-0000-0000-0000C81B0000}"/>
    <cellStyle name="Normal 5 7 2 3 2" xfId="13698" xr:uid="{A52C6C5F-BD24-4FE0-914A-4B79B807DB44}"/>
    <cellStyle name="Normal 5 7 2 3 3" xfId="22138" xr:uid="{AD76B6FC-3FC9-4227-A435-F7E7AF6F9C92}"/>
    <cellStyle name="Normal 5 7 2 4" xfId="9480" xr:uid="{C155226E-5712-4E88-8709-C46380D2C1C2}"/>
    <cellStyle name="Normal 5 7 2 5" xfId="17921" xr:uid="{7346DA4F-977F-4005-A481-67AE9D1F82FC}"/>
    <cellStyle name="Normal 5 7 3" xfId="1361" xr:uid="{00000000-0005-0000-0000-0000C91B0000}"/>
    <cellStyle name="Normal 5 7 3 2" xfId="3591" xr:uid="{00000000-0005-0000-0000-0000CA1B0000}"/>
    <cellStyle name="Normal 5 7 3 2 2" xfId="7814" xr:uid="{00000000-0005-0000-0000-0000CB1B0000}"/>
    <cellStyle name="Normal 5 7 3 2 2 2" xfId="16256" xr:uid="{DEC24D5B-BA01-465C-A6DC-5177DBC6F6C7}"/>
    <cellStyle name="Normal 5 7 3 2 2 3" xfId="24696" xr:uid="{C8326F8A-575B-4A78-BD8F-72859F7911B2}"/>
    <cellStyle name="Normal 5 7 3 2 3" xfId="12038" xr:uid="{B667EB39-E5E8-4EAE-B6E6-F3C809EA2166}"/>
    <cellStyle name="Normal 5 7 3 2 4" xfId="20479" xr:uid="{D47E0EB6-0E33-4F9F-A971-58B237C0F823}"/>
    <cellStyle name="Normal 5 7 3 3" xfId="5669" xr:uid="{00000000-0005-0000-0000-0000CC1B0000}"/>
    <cellStyle name="Normal 5 7 3 3 2" xfId="14111" xr:uid="{77AFBAFD-1F33-4910-9F25-F4702F258699}"/>
    <cellStyle name="Normal 5 7 3 3 3" xfId="22551" xr:uid="{E69F3724-C73C-4DFE-B550-5135B3D31D3E}"/>
    <cellStyle name="Normal 5 7 3 4" xfId="9893" xr:uid="{F4974505-7D88-4BEA-9B26-1E5B694F6D34}"/>
    <cellStyle name="Normal 5 7 3 5" xfId="18334" xr:uid="{9D110FCA-1344-4E7C-835E-094867C8F116}"/>
    <cellStyle name="Normal 5 7 4" xfId="1774" xr:uid="{00000000-0005-0000-0000-0000CD1B0000}"/>
    <cellStyle name="Normal 5 7 4 2" xfId="4004" xr:uid="{00000000-0005-0000-0000-0000CE1B0000}"/>
    <cellStyle name="Normal 5 7 4 2 2" xfId="8227" xr:uid="{00000000-0005-0000-0000-0000CF1B0000}"/>
    <cellStyle name="Normal 5 7 4 2 2 2" xfId="16669" xr:uid="{6E08B5FC-D8EE-4A01-B44C-791D3AEA56F8}"/>
    <cellStyle name="Normal 5 7 4 2 2 3" xfId="25109" xr:uid="{70F33A00-101C-44F7-A2EB-7E8605253172}"/>
    <cellStyle name="Normal 5 7 4 2 3" xfId="12451" xr:uid="{D124D557-50C4-421C-ABDB-C290AF68CD3C}"/>
    <cellStyle name="Normal 5 7 4 2 4" xfId="20892" xr:uid="{57EFD20A-A211-4C67-98D2-67B81B736CCD}"/>
    <cellStyle name="Normal 5 7 4 3" xfId="6082" xr:uid="{00000000-0005-0000-0000-0000D01B0000}"/>
    <cellStyle name="Normal 5 7 4 3 2" xfId="14524" xr:uid="{C78F3811-8209-43DF-AED5-B6F7C798EAAA}"/>
    <cellStyle name="Normal 5 7 4 3 3" xfId="22964" xr:uid="{37D9A58B-F098-4968-A5A4-B6E43FD6E338}"/>
    <cellStyle name="Normal 5 7 4 4" xfId="10306" xr:uid="{FAE02D0C-EE31-4871-B0F1-95B9D5210525}"/>
    <cellStyle name="Normal 5 7 4 5" xfId="18747" xr:uid="{0661A1D6-CD32-4FF7-B618-882D39E1FB48}"/>
    <cellStyle name="Normal 5 7 5" xfId="2188" xr:uid="{00000000-0005-0000-0000-0000D11B0000}"/>
    <cellStyle name="Normal 5 7 5 2" xfId="4417" xr:uid="{00000000-0005-0000-0000-0000D21B0000}"/>
    <cellStyle name="Normal 5 7 5 2 2" xfId="8640" xr:uid="{00000000-0005-0000-0000-0000D31B0000}"/>
    <cellStyle name="Normal 5 7 5 2 2 2" xfId="17082" xr:uid="{421C4BA6-8BCA-45C2-A1A0-96B15E4AE4D7}"/>
    <cellStyle name="Normal 5 7 5 2 2 3" xfId="25522" xr:uid="{608532CE-8483-42B1-9293-77601F1F47EB}"/>
    <cellStyle name="Normal 5 7 5 2 3" xfId="12864" xr:uid="{ABA0FD4B-CBF0-4B9D-B115-2FA7D43BFCBD}"/>
    <cellStyle name="Normal 5 7 5 2 4" xfId="21305" xr:uid="{4D5FFBC4-8B12-49B0-8E41-79FAC5FCF2A8}"/>
    <cellStyle name="Normal 5 7 5 3" xfId="6495" xr:uid="{00000000-0005-0000-0000-0000D41B0000}"/>
    <cellStyle name="Normal 5 7 5 3 2" xfId="14937" xr:uid="{CD613723-5CE1-47ED-85CA-C84AAAA5F79E}"/>
    <cellStyle name="Normal 5 7 5 3 3" xfId="23377" xr:uid="{CA48FA54-5F2A-4B42-B9CE-55F749E243E2}"/>
    <cellStyle name="Normal 5 7 5 4" xfId="10719" xr:uid="{7CEB961B-A96B-42CC-BB60-542C44A28975}"/>
    <cellStyle name="Normal 5 7 5 5" xfId="19160" xr:uid="{DC1E66FB-6E7B-4B5D-854E-E559D30C90CF}"/>
    <cellStyle name="Normal 5 7 6" xfId="2624" xr:uid="{00000000-0005-0000-0000-0000D51B0000}"/>
    <cellStyle name="Normal 5 7 6 2" xfId="6908" xr:uid="{00000000-0005-0000-0000-0000D61B0000}"/>
    <cellStyle name="Normal 5 7 6 2 2" xfId="15350" xr:uid="{8DB75163-0F98-419E-94B8-1E1A4B82ECEB}"/>
    <cellStyle name="Normal 5 7 6 2 3" xfId="23790" xr:uid="{4470D553-2F08-40AE-8868-C5133F95DEAE}"/>
    <cellStyle name="Normal 5 7 6 3" xfId="11132" xr:uid="{85C53D2D-8E84-4533-B6F2-AB677DE3AAA1}"/>
    <cellStyle name="Normal 5 7 6 4" xfId="19573" xr:uid="{4D4097A5-2C28-4AEE-AB99-23A677196EFE}"/>
    <cellStyle name="Normal 5 7 7" xfId="4843" xr:uid="{00000000-0005-0000-0000-0000D71B0000}"/>
    <cellStyle name="Normal 5 7 7 2" xfId="13285" xr:uid="{D7C5CDAE-134A-4164-987D-D051B04F9825}"/>
    <cellStyle name="Normal 5 7 7 3" xfId="21725" xr:uid="{95887F23-2EF2-45F2-B8E2-CF13DB768BC4}"/>
    <cellStyle name="Normal 5 7 8" xfId="9067" xr:uid="{C5FF39D0-DCAB-417D-BD63-94AEDF3DD72D}"/>
    <cellStyle name="Normal 5 7 9" xfId="17508" xr:uid="{07AB859C-200B-4B67-8B10-AFF33F88C7A0}"/>
    <cellStyle name="Normal 5 8" xfId="880" xr:uid="{00000000-0005-0000-0000-0000D81B0000}"/>
    <cellStyle name="Normal 5 8 2" xfId="3115" xr:uid="{00000000-0005-0000-0000-0000D91B0000}"/>
    <cellStyle name="Normal 5 8 2 2" xfId="7338" xr:uid="{00000000-0005-0000-0000-0000DA1B0000}"/>
    <cellStyle name="Normal 5 8 2 2 2" xfId="15780" xr:uid="{8B2D6583-A256-4C20-ABD8-4D021BD445DF}"/>
    <cellStyle name="Normal 5 8 2 2 3" xfId="24220" xr:uid="{2CC551B8-FD06-48A4-9083-EB63099E4A75}"/>
    <cellStyle name="Normal 5 8 2 3" xfId="11562" xr:uid="{7F90E3A5-7685-4887-8E83-A3590339C70A}"/>
    <cellStyle name="Normal 5 8 2 4" xfId="20003" xr:uid="{553AAF14-B40D-40B8-9B11-D28D1D144756}"/>
    <cellStyle name="Normal 5 8 3" xfId="5193" xr:uid="{00000000-0005-0000-0000-0000DB1B0000}"/>
    <cellStyle name="Normal 5 8 3 2" xfId="13635" xr:uid="{D2AB8E2D-8E43-4DE2-A30A-C3007522CFC3}"/>
    <cellStyle name="Normal 5 8 3 3" xfId="22075" xr:uid="{0AF6241E-27DB-43B8-91D6-C101CE334111}"/>
    <cellStyle name="Normal 5 8 4" xfId="9417" xr:uid="{8DC3F9FA-7737-4AB4-BF53-E379E8719672}"/>
    <cellStyle name="Normal 5 8 5" xfId="17858" xr:uid="{C36903B5-69C8-44B5-9B26-0AC0B4852A5B}"/>
    <cellStyle name="Normal 5 9" xfId="1298" xr:uid="{00000000-0005-0000-0000-0000DC1B0000}"/>
    <cellStyle name="Normal 5 9 2" xfId="3528" xr:uid="{00000000-0005-0000-0000-0000DD1B0000}"/>
    <cellStyle name="Normal 5 9 2 2" xfId="7751" xr:uid="{00000000-0005-0000-0000-0000DE1B0000}"/>
    <cellStyle name="Normal 5 9 2 2 2" xfId="16193" xr:uid="{D9939FB1-F51F-4861-83E6-88CBF8EFD209}"/>
    <cellStyle name="Normal 5 9 2 2 3" xfId="24633" xr:uid="{166C2A46-4755-4EE3-B1E5-CB35A3843E9C}"/>
    <cellStyle name="Normal 5 9 2 3" xfId="11975" xr:uid="{71D8A0BB-2DBB-4EF3-9DB4-9EE122360A0B}"/>
    <cellStyle name="Normal 5 9 2 4" xfId="20416" xr:uid="{1E9BDA8D-E149-4414-9335-F462A04814AB}"/>
    <cellStyle name="Normal 5 9 3" xfId="5606" xr:uid="{00000000-0005-0000-0000-0000DF1B0000}"/>
    <cellStyle name="Normal 5 9 3 2" xfId="14048" xr:uid="{3959C0F4-9E83-44BA-B712-0F0498A4E386}"/>
    <cellStyle name="Normal 5 9 3 3" xfId="22488" xr:uid="{BF9C2A6B-584A-4644-ADFD-C16838BA1CC5}"/>
    <cellStyle name="Normal 5 9 4" xfId="9830" xr:uid="{7C8DB370-AABE-4420-AB76-3B077E12E0F6}"/>
    <cellStyle name="Normal 5 9 5" xfId="18271" xr:uid="{B34F0A49-635D-4CC2-BBE9-2787C9D623B5}"/>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17083" xr:uid="{9DCB45C6-E7D2-42B3-B59F-A78D203517FF}"/>
    <cellStyle name="Normal 8 10 2 2 3" xfId="25523" xr:uid="{08C535F3-DCD7-4A95-A96F-97AB8946E1C2}"/>
    <cellStyle name="Normal 8 10 2 3" xfId="12865" xr:uid="{6BD94A5A-32F9-4970-9D93-63E3EC3152B3}"/>
    <cellStyle name="Normal 8 10 2 4" xfId="21306" xr:uid="{DCB412E7-3AA2-46B1-A29A-48DCCC817408}"/>
    <cellStyle name="Normal 8 10 3" xfId="6496" xr:uid="{00000000-0005-0000-0000-0000EB1B0000}"/>
    <cellStyle name="Normal 8 10 3 2" xfId="14938" xr:uid="{90051958-F961-43E1-877E-20D7213D8CBD}"/>
    <cellStyle name="Normal 8 10 3 3" xfId="23378" xr:uid="{C576888B-B679-4EE0-92CC-15767C468173}"/>
    <cellStyle name="Normal 8 10 4" xfId="10720" xr:uid="{7AE3F45D-7707-4DA3-B71D-203EA69BC5ED}"/>
    <cellStyle name="Normal 8 10 5" xfId="19161" xr:uid="{9108A15B-973C-482B-A1A8-E0E970DE644B}"/>
    <cellStyle name="Normal 8 11" xfId="2625" xr:uid="{00000000-0005-0000-0000-0000EC1B0000}"/>
    <cellStyle name="Normal 8 11 2" xfId="6909" xr:uid="{00000000-0005-0000-0000-0000ED1B0000}"/>
    <cellStyle name="Normal 8 11 2 2" xfId="15351" xr:uid="{BCBE873D-FC3C-4338-9509-855EE92FFBD3}"/>
    <cellStyle name="Normal 8 11 2 3" xfId="23791" xr:uid="{B42CB530-EDAF-4B78-A700-6A7799956C74}"/>
    <cellStyle name="Normal 8 11 3" xfId="11133" xr:uid="{8CD256B1-2944-4E5F-BCE1-502409E55FD0}"/>
    <cellStyle name="Normal 8 11 4" xfId="19574" xr:uid="{959E7244-0F3B-4C93-A83A-2B8CC0473B36}"/>
    <cellStyle name="Normal 8 12" xfId="4844" xr:uid="{00000000-0005-0000-0000-0000EE1B0000}"/>
    <cellStyle name="Normal 8 12 2" xfId="13286" xr:uid="{7188205A-50F7-44FF-946D-A1589BA62DB8}"/>
    <cellStyle name="Normal 8 12 3" xfId="21726" xr:uid="{1600E5CF-87E5-4E55-B78E-7B2B4B6D2060}"/>
    <cellStyle name="Normal 8 13" xfId="9068" xr:uid="{399F572E-5E51-4A36-84CB-0E32B9DF4CBB}"/>
    <cellStyle name="Normal 8 14" xfId="17509" xr:uid="{5F05590A-58AB-418F-9959-90DE1E57A0EB}"/>
    <cellStyle name="Normal 8 2" xfId="479" xr:uid="{00000000-0005-0000-0000-0000EF1B0000}"/>
    <cellStyle name="Normal 8 2 10" xfId="2626" xr:uid="{00000000-0005-0000-0000-0000F01B0000}"/>
    <cellStyle name="Normal 8 2 10 2" xfId="6910" xr:uid="{00000000-0005-0000-0000-0000F11B0000}"/>
    <cellStyle name="Normal 8 2 10 2 2" xfId="15352" xr:uid="{D7BB8BDB-AB06-4D78-B892-E7AE89663637}"/>
    <cellStyle name="Normal 8 2 10 2 3" xfId="23792" xr:uid="{3EAF13E1-EEB7-4839-8C7D-A6342DBB4F65}"/>
    <cellStyle name="Normal 8 2 10 3" xfId="11134" xr:uid="{7768614E-EDC7-4409-B909-D2ADFDDA2BF8}"/>
    <cellStyle name="Normal 8 2 10 4" xfId="19575" xr:uid="{54630F2B-EDE8-4966-BCCF-1B321C587799}"/>
    <cellStyle name="Normal 8 2 11" xfId="4845" xr:uid="{00000000-0005-0000-0000-0000F21B0000}"/>
    <cellStyle name="Normal 8 2 11 2" xfId="13287" xr:uid="{0949A3D3-FA9B-4D8E-841F-09DCE3B78D42}"/>
    <cellStyle name="Normal 8 2 11 3" xfId="21727" xr:uid="{444F9082-8A1B-4A54-A88B-BF8F90F5C5C2}"/>
    <cellStyle name="Normal 8 2 12" xfId="9069" xr:uid="{C299D193-EB76-4773-9C2F-1A373F6AB539}"/>
    <cellStyle name="Normal 8 2 13" xfId="17510" xr:uid="{7314D5CA-202A-4B04-9399-E775A9765B9C}"/>
    <cellStyle name="Normal 8 2 2" xfId="480" xr:uid="{00000000-0005-0000-0000-0000F31B0000}"/>
    <cellStyle name="Normal 8 2 2 10" xfId="4846" xr:uid="{00000000-0005-0000-0000-0000F41B0000}"/>
    <cellStyle name="Normal 8 2 2 10 2" xfId="13288" xr:uid="{13E293CF-E1C8-439F-A2A3-75068E7B8E66}"/>
    <cellStyle name="Normal 8 2 2 10 3" xfId="21728" xr:uid="{F5EEAB59-D4BB-4F61-AEBE-9664C728AFF0}"/>
    <cellStyle name="Normal 8 2 2 11" xfId="9070" xr:uid="{84ABEB87-9982-4CF2-B4DA-BCA6B38D402A}"/>
    <cellStyle name="Normal 8 2 2 12" xfId="17511" xr:uid="{3EB85BB8-9F1C-4894-A31E-84AF2FFCCEE1}"/>
    <cellStyle name="Normal 8 2 2 2" xfId="481" xr:uid="{00000000-0005-0000-0000-0000F51B0000}"/>
    <cellStyle name="Normal 8 2 2 2 10" xfId="9071" xr:uid="{1915DA40-60A7-4AB4-9392-BF572EE86165}"/>
    <cellStyle name="Normal 8 2 2 2 11" xfId="17512" xr:uid="{D9DFF330-7E4F-41E8-BCC9-CD3D252EAAB8}"/>
    <cellStyle name="Normal 8 2 2 2 2" xfId="482" xr:uid="{00000000-0005-0000-0000-0000F61B0000}"/>
    <cellStyle name="Normal 8 2 2 2 2 10" xfId="17513" xr:uid="{FD791496-9707-4229-9BAA-7C756BCF1E06}"/>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15849" xr:uid="{7B9A4180-F838-413A-B7F7-DA70034DA988}"/>
    <cellStyle name="Normal 8 2 2 2 2 2 2 2 2 3" xfId="24289" xr:uid="{7090006C-41CB-49D1-AA91-B7516E39F0A6}"/>
    <cellStyle name="Normal 8 2 2 2 2 2 2 2 3" xfId="11631" xr:uid="{41D4AF6C-BD0E-441C-B766-7533FF969102}"/>
    <cellStyle name="Normal 8 2 2 2 2 2 2 2 4" xfId="20072" xr:uid="{FA3D1028-C277-4118-A429-BB8FD288B500}"/>
    <cellStyle name="Normal 8 2 2 2 2 2 2 3" xfId="5262" xr:uid="{00000000-0005-0000-0000-0000FB1B0000}"/>
    <cellStyle name="Normal 8 2 2 2 2 2 2 3 2" xfId="13704" xr:uid="{8F2184B4-EB23-4E81-8401-31E7FC8FF8EB}"/>
    <cellStyle name="Normal 8 2 2 2 2 2 2 3 3" xfId="22144" xr:uid="{B97BE92D-87DF-436C-9694-027ECD8FEA85}"/>
    <cellStyle name="Normal 8 2 2 2 2 2 2 4" xfId="9486" xr:uid="{6242050D-58CB-4485-B7A6-FE4F28859E7C}"/>
    <cellStyle name="Normal 8 2 2 2 2 2 2 5" xfId="17927" xr:uid="{56487C5D-EE5E-420C-9CB0-71427EF6F0C3}"/>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16262" xr:uid="{56008A56-751C-43CB-85CF-FB2514DC4B57}"/>
    <cellStyle name="Normal 8 2 2 2 2 2 3 2 2 3" xfId="24702" xr:uid="{9B5FB8B3-AD62-4B13-9DD7-DF29546A6561}"/>
    <cellStyle name="Normal 8 2 2 2 2 2 3 2 3" xfId="12044" xr:uid="{B086FB5D-0302-41A1-99B3-E3FFB715BAA7}"/>
    <cellStyle name="Normal 8 2 2 2 2 2 3 2 4" xfId="20485" xr:uid="{B886B1BE-B326-481E-9D88-01737FA8B5AE}"/>
    <cellStyle name="Normal 8 2 2 2 2 2 3 3" xfId="5675" xr:uid="{00000000-0005-0000-0000-0000FF1B0000}"/>
    <cellStyle name="Normal 8 2 2 2 2 2 3 3 2" xfId="14117" xr:uid="{B7E87100-9358-4CEB-98F7-17BCB0390AAC}"/>
    <cellStyle name="Normal 8 2 2 2 2 2 3 3 3" xfId="22557" xr:uid="{648892FA-5B1D-41F0-9456-09FCBE15E2EB}"/>
    <cellStyle name="Normal 8 2 2 2 2 2 3 4" xfId="9899" xr:uid="{C7BCFA84-E3B2-4FA4-AA2F-2ED4C3B5CC03}"/>
    <cellStyle name="Normal 8 2 2 2 2 2 3 5" xfId="18340" xr:uid="{C03EA6C4-6A34-42DB-99FC-5D51AEC1586A}"/>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16675" xr:uid="{B359E749-D783-4339-9555-E1FABD0433D9}"/>
    <cellStyle name="Normal 8 2 2 2 2 2 4 2 2 3" xfId="25115" xr:uid="{8C7F90C5-27A9-4BE5-B6A2-6F26FD704F65}"/>
    <cellStyle name="Normal 8 2 2 2 2 2 4 2 3" xfId="12457" xr:uid="{2281B7E7-C9EE-4300-86D2-42D954047DEE}"/>
    <cellStyle name="Normal 8 2 2 2 2 2 4 2 4" xfId="20898" xr:uid="{7BE37117-7C2A-435C-AD84-BE3C3EF59FDA}"/>
    <cellStyle name="Normal 8 2 2 2 2 2 4 3" xfId="6088" xr:uid="{00000000-0005-0000-0000-0000031C0000}"/>
    <cellStyle name="Normal 8 2 2 2 2 2 4 3 2" xfId="14530" xr:uid="{C4760090-EA77-4D40-B933-4577E5AF073D}"/>
    <cellStyle name="Normal 8 2 2 2 2 2 4 3 3" xfId="22970" xr:uid="{1D10D651-C012-4BD0-996A-FE6C0570F45C}"/>
    <cellStyle name="Normal 8 2 2 2 2 2 4 4" xfId="10312" xr:uid="{2274B4C6-2F74-4C59-94FE-82FA6AC8CCA1}"/>
    <cellStyle name="Normal 8 2 2 2 2 2 4 5" xfId="18753" xr:uid="{D4022438-E250-4C44-B6FE-1D031E8A5C73}"/>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17088" xr:uid="{DBE1E499-A09E-45CA-B5F8-59ACB9A1AC48}"/>
    <cellStyle name="Normal 8 2 2 2 2 2 5 2 2 3" xfId="25528" xr:uid="{1A2941B3-5E04-4AB3-9410-D364DF8EF402}"/>
    <cellStyle name="Normal 8 2 2 2 2 2 5 2 3" xfId="12870" xr:uid="{BF5C6DA6-F4AA-4D37-A710-995AE4A0C7F7}"/>
    <cellStyle name="Normal 8 2 2 2 2 2 5 2 4" xfId="21311" xr:uid="{DB71F5B4-826A-4F1E-AD3F-441B41677EFE}"/>
    <cellStyle name="Normal 8 2 2 2 2 2 5 3" xfId="6501" xr:uid="{00000000-0005-0000-0000-0000071C0000}"/>
    <cellStyle name="Normal 8 2 2 2 2 2 5 3 2" xfId="14943" xr:uid="{B9628BE0-D53B-4447-A413-0D69FE9CBAEC}"/>
    <cellStyle name="Normal 8 2 2 2 2 2 5 3 3" xfId="23383" xr:uid="{8E6D0720-EBA6-409D-A53A-01B56A2C011A}"/>
    <cellStyle name="Normal 8 2 2 2 2 2 5 4" xfId="10725" xr:uid="{DEF4C8DF-4C11-437C-AD7C-53F62DA8AE2F}"/>
    <cellStyle name="Normal 8 2 2 2 2 2 5 5" xfId="19166" xr:uid="{2D12B5D3-2407-43D6-AD70-1AA8FD5C22C5}"/>
    <cellStyle name="Normal 8 2 2 2 2 2 6" xfId="2630" xr:uid="{00000000-0005-0000-0000-0000081C0000}"/>
    <cellStyle name="Normal 8 2 2 2 2 2 6 2" xfId="6914" xr:uid="{00000000-0005-0000-0000-0000091C0000}"/>
    <cellStyle name="Normal 8 2 2 2 2 2 6 2 2" xfId="15356" xr:uid="{53BE99DE-956B-4033-98BA-E62648C820D3}"/>
    <cellStyle name="Normal 8 2 2 2 2 2 6 2 3" xfId="23796" xr:uid="{2DAB0CBB-9735-42C6-B3D3-714E1F7610BA}"/>
    <cellStyle name="Normal 8 2 2 2 2 2 6 3" xfId="11138" xr:uid="{6BD1910A-D2EB-47F3-98A7-94F715FED6EF}"/>
    <cellStyle name="Normal 8 2 2 2 2 2 6 4" xfId="19579" xr:uid="{6DD7E014-6B3F-4681-8283-5F423FEAFE9C}"/>
    <cellStyle name="Normal 8 2 2 2 2 2 7" xfId="4849" xr:uid="{00000000-0005-0000-0000-00000A1C0000}"/>
    <cellStyle name="Normal 8 2 2 2 2 2 7 2" xfId="13291" xr:uid="{E6C206C6-059E-4C32-A787-245E0226D476}"/>
    <cellStyle name="Normal 8 2 2 2 2 2 7 3" xfId="21731" xr:uid="{A2D7DC1F-6A09-460F-8A81-708E04C52EEC}"/>
    <cellStyle name="Normal 8 2 2 2 2 2 8" xfId="9073" xr:uid="{116CAF02-FA5A-4954-B3B2-05720D35D3DD}"/>
    <cellStyle name="Normal 8 2 2 2 2 2 9" xfId="17514" xr:uid="{6D482822-8A48-465D-8262-C07A83BD4BDA}"/>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15848" xr:uid="{38484D4F-FBA5-482D-8A86-67AEFF49255C}"/>
    <cellStyle name="Normal 8 2 2 2 2 3 2 2 3" xfId="24288" xr:uid="{9FFD89DC-5F23-486E-8DB3-3EB094682A41}"/>
    <cellStyle name="Normal 8 2 2 2 2 3 2 3" xfId="11630" xr:uid="{E551BFD6-F684-4C58-BA86-6BD720726831}"/>
    <cellStyle name="Normal 8 2 2 2 2 3 2 4" xfId="20071" xr:uid="{CE122823-8595-48F8-AC2A-7DA1EE10243B}"/>
    <cellStyle name="Normal 8 2 2 2 2 3 3" xfId="5261" xr:uid="{00000000-0005-0000-0000-00000E1C0000}"/>
    <cellStyle name="Normal 8 2 2 2 2 3 3 2" xfId="13703" xr:uid="{F085196F-54D8-490B-B202-9195261AD3A9}"/>
    <cellStyle name="Normal 8 2 2 2 2 3 3 3" xfId="22143" xr:uid="{D9F04C10-5D8E-47A7-9222-CE37F8F2AF6B}"/>
    <cellStyle name="Normal 8 2 2 2 2 3 4" xfId="9485" xr:uid="{268C2DA7-E2DD-4244-8A74-91E81B0D6BC8}"/>
    <cellStyle name="Normal 8 2 2 2 2 3 5" xfId="17926" xr:uid="{24AB336A-0A4A-4082-8F7E-3FD0FC9BB9A3}"/>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16261" xr:uid="{3BE6813E-6FDD-48A5-88C4-FD45D9D83008}"/>
    <cellStyle name="Normal 8 2 2 2 2 4 2 2 3" xfId="24701" xr:uid="{5A0842AD-729E-4FC2-A707-42584BE4F548}"/>
    <cellStyle name="Normal 8 2 2 2 2 4 2 3" xfId="12043" xr:uid="{93C86F33-1F86-4EF6-9A32-8D0D84A95C34}"/>
    <cellStyle name="Normal 8 2 2 2 2 4 2 4" xfId="20484" xr:uid="{A0F8538A-0710-45C2-9229-110AE06F85CA}"/>
    <cellStyle name="Normal 8 2 2 2 2 4 3" xfId="5674" xr:uid="{00000000-0005-0000-0000-0000121C0000}"/>
    <cellStyle name="Normal 8 2 2 2 2 4 3 2" xfId="14116" xr:uid="{7F714E03-7520-4060-AB03-E0586E8CD277}"/>
    <cellStyle name="Normal 8 2 2 2 2 4 3 3" xfId="22556" xr:uid="{64C5CF7D-8D1A-4869-A7B3-4B1DC6655818}"/>
    <cellStyle name="Normal 8 2 2 2 2 4 4" xfId="9898" xr:uid="{17E7B21F-5308-425F-919E-D69B33F005CD}"/>
    <cellStyle name="Normal 8 2 2 2 2 4 5" xfId="18339" xr:uid="{66DD4498-038F-466B-99BB-E16D388C3F65}"/>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16674" xr:uid="{C0C9D646-E85D-44C5-8130-D7D74BAC1E10}"/>
    <cellStyle name="Normal 8 2 2 2 2 5 2 2 3" xfId="25114" xr:uid="{B18BECA9-8350-41EB-A9F0-9AC26E7CCCD7}"/>
    <cellStyle name="Normal 8 2 2 2 2 5 2 3" xfId="12456" xr:uid="{C0C1803B-AE3A-4FBB-A2A2-AEAB8728093E}"/>
    <cellStyle name="Normal 8 2 2 2 2 5 2 4" xfId="20897" xr:uid="{00D81240-26B8-4465-8E30-0D8F759BF501}"/>
    <cellStyle name="Normal 8 2 2 2 2 5 3" xfId="6087" xr:uid="{00000000-0005-0000-0000-0000161C0000}"/>
    <cellStyle name="Normal 8 2 2 2 2 5 3 2" xfId="14529" xr:uid="{40BBE0EB-8FA2-47C8-9AB3-61C61ECB8F40}"/>
    <cellStyle name="Normal 8 2 2 2 2 5 3 3" xfId="22969" xr:uid="{3CB8C5AF-85FC-4D43-B479-EFDA98623B56}"/>
    <cellStyle name="Normal 8 2 2 2 2 5 4" xfId="10311" xr:uid="{12D79B28-4796-4E35-8401-685E1AE4F327}"/>
    <cellStyle name="Normal 8 2 2 2 2 5 5" xfId="18752" xr:uid="{20AFDDC4-446D-4071-9E37-5D9E9AB7E04C}"/>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17087" xr:uid="{CA3B4C66-DA32-4C98-A5B0-2A49F3AC0212}"/>
    <cellStyle name="Normal 8 2 2 2 2 6 2 2 3" xfId="25527" xr:uid="{39879A05-1B2F-49E0-95B3-86607D002444}"/>
    <cellStyle name="Normal 8 2 2 2 2 6 2 3" xfId="12869" xr:uid="{88585EC6-5EBF-4436-99A4-ABCE8A90C558}"/>
    <cellStyle name="Normal 8 2 2 2 2 6 2 4" xfId="21310" xr:uid="{4B6DB176-3FFC-4388-B808-239461E312CA}"/>
    <cellStyle name="Normal 8 2 2 2 2 6 3" xfId="6500" xr:uid="{00000000-0005-0000-0000-00001A1C0000}"/>
    <cellStyle name="Normal 8 2 2 2 2 6 3 2" xfId="14942" xr:uid="{6FCDBC0A-9BB0-4290-827F-95BC97B80B79}"/>
    <cellStyle name="Normal 8 2 2 2 2 6 3 3" xfId="23382" xr:uid="{88DCAF4B-897F-4D45-8FA5-85C1E316281F}"/>
    <cellStyle name="Normal 8 2 2 2 2 6 4" xfId="10724" xr:uid="{483A986C-DE4D-41EE-9193-9EAA6DE3E518}"/>
    <cellStyle name="Normal 8 2 2 2 2 6 5" xfId="19165" xr:uid="{B3615A61-5DA1-4B6C-A13A-8D4880999010}"/>
    <cellStyle name="Normal 8 2 2 2 2 7" xfId="2629" xr:uid="{00000000-0005-0000-0000-00001B1C0000}"/>
    <cellStyle name="Normal 8 2 2 2 2 7 2" xfId="6913" xr:uid="{00000000-0005-0000-0000-00001C1C0000}"/>
    <cellStyle name="Normal 8 2 2 2 2 7 2 2" xfId="15355" xr:uid="{EFE50752-1718-4057-A010-3903590CA38D}"/>
    <cellStyle name="Normal 8 2 2 2 2 7 2 3" xfId="23795" xr:uid="{3899F6C9-4B91-4D11-B9B5-92CD887B886A}"/>
    <cellStyle name="Normal 8 2 2 2 2 7 3" xfId="11137" xr:uid="{61CD0B6E-F998-4A6D-A517-5361CBC7252A}"/>
    <cellStyle name="Normal 8 2 2 2 2 7 4" xfId="19578" xr:uid="{ED72D8EE-0A16-45CD-B6EA-4CD5F5C43435}"/>
    <cellStyle name="Normal 8 2 2 2 2 8" xfId="4848" xr:uid="{00000000-0005-0000-0000-00001D1C0000}"/>
    <cellStyle name="Normal 8 2 2 2 2 8 2" xfId="13290" xr:uid="{43937CC1-9E6A-4441-88EC-A3FAAA10293C}"/>
    <cellStyle name="Normal 8 2 2 2 2 8 3" xfId="21730" xr:uid="{B366B872-AF2A-4249-A88D-EF34DC2CFF12}"/>
    <cellStyle name="Normal 8 2 2 2 2 9" xfId="9072" xr:uid="{C049E732-BB0C-4E57-9B34-54E60F4D7D22}"/>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15850" xr:uid="{38E11CC1-B8F1-4791-96EA-7A289F8EDCB0}"/>
    <cellStyle name="Normal 8 2 2 2 3 2 2 2 3" xfId="24290" xr:uid="{5B852EBF-33AA-4E64-9857-2DB039D29006}"/>
    <cellStyle name="Normal 8 2 2 2 3 2 2 3" xfId="11632" xr:uid="{7D54C59B-CD4A-4711-AA19-6920E6B5CEBE}"/>
    <cellStyle name="Normal 8 2 2 2 3 2 2 4" xfId="20073" xr:uid="{4CF4ED20-078E-4B5A-9685-BC6B31B261AF}"/>
    <cellStyle name="Normal 8 2 2 2 3 2 3" xfId="5263" xr:uid="{00000000-0005-0000-0000-0000221C0000}"/>
    <cellStyle name="Normal 8 2 2 2 3 2 3 2" xfId="13705" xr:uid="{57FA6652-96D7-4A72-8557-E50F371F6F0D}"/>
    <cellStyle name="Normal 8 2 2 2 3 2 3 3" xfId="22145" xr:uid="{53DA3907-0019-4688-9AA5-512D8C5176D6}"/>
    <cellStyle name="Normal 8 2 2 2 3 2 4" xfId="9487" xr:uid="{FB7A3317-6B05-4691-8430-3A53A22002EC}"/>
    <cellStyle name="Normal 8 2 2 2 3 2 5" xfId="17928" xr:uid="{CDC049D0-24E5-465A-B1B6-E666155CBF59}"/>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16263" xr:uid="{38AE20E4-C126-498C-8B93-E8C34A779CBC}"/>
    <cellStyle name="Normal 8 2 2 2 3 3 2 2 3" xfId="24703" xr:uid="{F77B11E0-9475-461A-A736-9E2E9FB5F4D5}"/>
    <cellStyle name="Normal 8 2 2 2 3 3 2 3" xfId="12045" xr:uid="{8DC4492C-5BC0-42C1-A01B-D469655C3B74}"/>
    <cellStyle name="Normal 8 2 2 2 3 3 2 4" xfId="20486" xr:uid="{1DBEE597-C5A3-4749-A3C7-72A7B984C852}"/>
    <cellStyle name="Normal 8 2 2 2 3 3 3" xfId="5676" xr:uid="{00000000-0005-0000-0000-0000261C0000}"/>
    <cellStyle name="Normal 8 2 2 2 3 3 3 2" xfId="14118" xr:uid="{AAC8E928-CC52-4AD8-B232-CD06D243FE96}"/>
    <cellStyle name="Normal 8 2 2 2 3 3 3 3" xfId="22558" xr:uid="{0F361262-6D90-4261-909A-B8FE60CEA45B}"/>
    <cellStyle name="Normal 8 2 2 2 3 3 4" xfId="9900" xr:uid="{1549B3D6-C164-48BF-8F4A-977048DE2D3E}"/>
    <cellStyle name="Normal 8 2 2 2 3 3 5" xfId="18341" xr:uid="{5BD9ACA2-BA1E-4BC9-BC84-3F14BC33B032}"/>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16676" xr:uid="{FAA244AA-D828-4593-BB07-29A9BBC7B39E}"/>
    <cellStyle name="Normal 8 2 2 2 3 4 2 2 3" xfId="25116" xr:uid="{42B37EDA-1742-4853-8FA0-BA89F971C897}"/>
    <cellStyle name="Normal 8 2 2 2 3 4 2 3" xfId="12458" xr:uid="{A14874DF-F528-4912-B829-9D8C01419696}"/>
    <cellStyle name="Normal 8 2 2 2 3 4 2 4" xfId="20899" xr:uid="{A89F00AF-EED2-40BD-B475-75A21BD27EB6}"/>
    <cellStyle name="Normal 8 2 2 2 3 4 3" xfId="6089" xr:uid="{00000000-0005-0000-0000-00002A1C0000}"/>
    <cellStyle name="Normal 8 2 2 2 3 4 3 2" xfId="14531" xr:uid="{B511540B-58B1-434A-9DF4-DD5BAADA0D02}"/>
    <cellStyle name="Normal 8 2 2 2 3 4 3 3" xfId="22971" xr:uid="{3E8A128C-1CF6-4825-8E3D-0397B2996270}"/>
    <cellStyle name="Normal 8 2 2 2 3 4 4" xfId="10313" xr:uid="{59BAA66B-C763-4F81-A7EC-D2633954F6E3}"/>
    <cellStyle name="Normal 8 2 2 2 3 4 5" xfId="18754" xr:uid="{CEEE4859-9091-4BBF-8D83-E9EF9754CEF6}"/>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17089" xr:uid="{75696182-C523-4E30-A878-B9BD3D227E8F}"/>
    <cellStyle name="Normal 8 2 2 2 3 5 2 2 3" xfId="25529" xr:uid="{BC03B78E-6812-479B-BA55-4715F2B0E718}"/>
    <cellStyle name="Normal 8 2 2 2 3 5 2 3" xfId="12871" xr:uid="{7CA1A429-F85E-4F8E-9A17-D2A628D28439}"/>
    <cellStyle name="Normal 8 2 2 2 3 5 2 4" xfId="21312" xr:uid="{07DABD73-C87C-4760-8FBF-C47AEE099061}"/>
    <cellStyle name="Normal 8 2 2 2 3 5 3" xfId="6502" xr:uid="{00000000-0005-0000-0000-00002E1C0000}"/>
    <cellStyle name="Normal 8 2 2 2 3 5 3 2" xfId="14944" xr:uid="{D292C1FD-C3B3-4849-BB74-C3D6B366C7A0}"/>
    <cellStyle name="Normal 8 2 2 2 3 5 3 3" xfId="23384" xr:uid="{B9DA4C85-46C2-4423-B052-E9783381A605}"/>
    <cellStyle name="Normal 8 2 2 2 3 5 4" xfId="10726" xr:uid="{2D430D81-B21E-4929-9641-FB590896C450}"/>
    <cellStyle name="Normal 8 2 2 2 3 5 5" xfId="19167" xr:uid="{76AE1CF8-E659-4B1A-A8C4-5E5885ED65C3}"/>
    <cellStyle name="Normal 8 2 2 2 3 6" xfId="2631" xr:uid="{00000000-0005-0000-0000-00002F1C0000}"/>
    <cellStyle name="Normal 8 2 2 2 3 6 2" xfId="6915" xr:uid="{00000000-0005-0000-0000-0000301C0000}"/>
    <cellStyle name="Normal 8 2 2 2 3 6 2 2" xfId="15357" xr:uid="{770FC6B0-DCB9-4791-97FB-C074E7922DCD}"/>
    <cellStyle name="Normal 8 2 2 2 3 6 2 3" xfId="23797" xr:uid="{63834530-FEFD-4041-A359-10999B75BC2E}"/>
    <cellStyle name="Normal 8 2 2 2 3 6 3" xfId="11139" xr:uid="{7D367CD5-B2B0-4A2D-B216-E13B90DAF092}"/>
    <cellStyle name="Normal 8 2 2 2 3 6 4" xfId="19580" xr:uid="{5164BC76-B083-416A-9739-9FA279D203AD}"/>
    <cellStyle name="Normal 8 2 2 2 3 7" xfId="4850" xr:uid="{00000000-0005-0000-0000-0000311C0000}"/>
    <cellStyle name="Normal 8 2 2 2 3 7 2" xfId="13292" xr:uid="{96127769-CD87-45B6-AB61-7196BA248609}"/>
    <cellStyle name="Normal 8 2 2 2 3 7 3" xfId="21732" xr:uid="{8AB375D8-F78C-41D0-8D83-C2E2B71AEA84}"/>
    <cellStyle name="Normal 8 2 2 2 3 8" xfId="9074" xr:uid="{FB4012CF-6D48-4217-94FA-3D6D2201C0CA}"/>
    <cellStyle name="Normal 8 2 2 2 3 9" xfId="17515" xr:uid="{27368684-D781-4157-9CD8-38A2DDC9AAF6}"/>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15847" xr:uid="{CC3A15C1-A7F1-4C23-9AAE-9372B5ADF735}"/>
    <cellStyle name="Normal 8 2 2 2 4 2 2 3" xfId="24287" xr:uid="{891C4E29-69DE-479F-AB0F-461F3AC23BB1}"/>
    <cellStyle name="Normal 8 2 2 2 4 2 3" xfId="11629" xr:uid="{91D1645C-835D-4641-B2C4-2A111E63FD4B}"/>
    <cellStyle name="Normal 8 2 2 2 4 2 4" xfId="20070" xr:uid="{2366A47D-8B40-4F99-967E-FAC4789971B5}"/>
    <cellStyle name="Normal 8 2 2 2 4 3" xfId="5260" xr:uid="{00000000-0005-0000-0000-0000351C0000}"/>
    <cellStyle name="Normal 8 2 2 2 4 3 2" xfId="13702" xr:uid="{F1B460A2-7AFD-4ADF-A13E-5C632A69DA3A}"/>
    <cellStyle name="Normal 8 2 2 2 4 3 3" xfId="22142" xr:uid="{DEA115E1-DE0C-473B-937D-313B0F40FE6E}"/>
    <cellStyle name="Normal 8 2 2 2 4 4" xfId="9484" xr:uid="{3C2E74F9-3FB5-4E5B-BB6D-3E71C3D6DC96}"/>
    <cellStyle name="Normal 8 2 2 2 4 5" xfId="17925" xr:uid="{156D658A-A0F4-44F9-89C7-AF82D95AB95B}"/>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16260" xr:uid="{60EF3AD6-90BF-4C40-8794-FD479FF9FC7D}"/>
    <cellStyle name="Normal 8 2 2 2 5 2 2 3" xfId="24700" xr:uid="{F6C3BC1F-C83C-4B90-98A1-CD7EFCA5E38A}"/>
    <cellStyle name="Normal 8 2 2 2 5 2 3" xfId="12042" xr:uid="{948DAC60-230D-4343-ADBD-D493B854CB9A}"/>
    <cellStyle name="Normal 8 2 2 2 5 2 4" xfId="20483" xr:uid="{F583DF45-A5F3-457F-A1C5-D5C6C0AB868C}"/>
    <cellStyle name="Normal 8 2 2 2 5 3" xfId="5673" xr:uid="{00000000-0005-0000-0000-0000391C0000}"/>
    <cellStyle name="Normal 8 2 2 2 5 3 2" xfId="14115" xr:uid="{B716FCF6-2075-4E46-8866-95A25481C129}"/>
    <cellStyle name="Normal 8 2 2 2 5 3 3" xfId="22555" xr:uid="{E3CC5968-2010-40B8-9EB8-11D67E0EF53C}"/>
    <cellStyle name="Normal 8 2 2 2 5 4" xfId="9897" xr:uid="{A467846C-27D6-49A6-A6C9-E4FBD14BD5B4}"/>
    <cellStyle name="Normal 8 2 2 2 5 5" xfId="18338" xr:uid="{F99EA09E-98FF-4D01-9392-510B08F3A3AA}"/>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16673" xr:uid="{CCE79268-713C-43F9-813C-72B8E0BD9DCC}"/>
    <cellStyle name="Normal 8 2 2 2 6 2 2 3" xfId="25113" xr:uid="{59910540-0D59-449E-B3DF-B27554AAE668}"/>
    <cellStyle name="Normal 8 2 2 2 6 2 3" xfId="12455" xr:uid="{940369ED-D73D-4D14-8CD5-3382409C730B}"/>
    <cellStyle name="Normal 8 2 2 2 6 2 4" xfId="20896" xr:uid="{3B1A0356-357A-4B6D-8D02-DA456B7FAB64}"/>
    <cellStyle name="Normal 8 2 2 2 6 3" xfId="6086" xr:uid="{00000000-0005-0000-0000-00003D1C0000}"/>
    <cellStyle name="Normal 8 2 2 2 6 3 2" xfId="14528" xr:uid="{899208D5-507C-4AE5-B153-5FEAA83772B7}"/>
    <cellStyle name="Normal 8 2 2 2 6 3 3" xfId="22968" xr:uid="{327834A2-9222-4F8A-BCDC-146AE6711A7E}"/>
    <cellStyle name="Normal 8 2 2 2 6 4" xfId="10310" xr:uid="{74122B42-C58E-43C7-9DC0-DCEC34F1BABE}"/>
    <cellStyle name="Normal 8 2 2 2 6 5" xfId="18751" xr:uid="{9790959B-207E-47A6-84B3-8297A532945E}"/>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17086" xr:uid="{08CBF97E-436E-47C0-87BE-C13B39994054}"/>
    <cellStyle name="Normal 8 2 2 2 7 2 2 3" xfId="25526" xr:uid="{580699A9-101E-4D32-880B-83B9673A69B2}"/>
    <cellStyle name="Normal 8 2 2 2 7 2 3" xfId="12868" xr:uid="{08A65A5B-D2D2-426F-8349-44F69881B0BB}"/>
    <cellStyle name="Normal 8 2 2 2 7 2 4" xfId="21309" xr:uid="{1977EFF3-8BFF-4F08-A11C-74ED05C4B58E}"/>
    <cellStyle name="Normal 8 2 2 2 7 3" xfId="6499" xr:uid="{00000000-0005-0000-0000-0000411C0000}"/>
    <cellStyle name="Normal 8 2 2 2 7 3 2" xfId="14941" xr:uid="{B0DB1745-23ED-406A-B346-CEED85E9B29F}"/>
    <cellStyle name="Normal 8 2 2 2 7 3 3" xfId="23381" xr:uid="{0281312A-D589-4AF8-9ABB-7DA912A01F5F}"/>
    <cellStyle name="Normal 8 2 2 2 7 4" xfId="10723" xr:uid="{43DF42D4-2C62-40B6-B615-E7D0CC48F45F}"/>
    <cellStyle name="Normal 8 2 2 2 7 5" xfId="19164" xr:uid="{40BCA499-508E-4140-BCA8-369898FE16B8}"/>
    <cellStyle name="Normal 8 2 2 2 8" xfId="2628" xr:uid="{00000000-0005-0000-0000-0000421C0000}"/>
    <cellStyle name="Normal 8 2 2 2 8 2" xfId="6912" xr:uid="{00000000-0005-0000-0000-0000431C0000}"/>
    <cellStyle name="Normal 8 2 2 2 8 2 2" xfId="15354" xr:uid="{6D55958B-0B1E-4566-8AB5-FCAE0DD9E8CA}"/>
    <cellStyle name="Normal 8 2 2 2 8 2 3" xfId="23794" xr:uid="{45E36F2D-2828-4FFD-B2F8-2F1A4E6E7C8A}"/>
    <cellStyle name="Normal 8 2 2 2 8 3" xfId="11136" xr:uid="{EF1462ED-7E27-4BBE-A7AD-6944CD4B913C}"/>
    <cellStyle name="Normal 8 2 2 2 8 4" xfId="19577" xr:uid="{3083F05F-C67E-4F06-B34C-720232087221}"/>
    <cellStyle name="Normal 8 2 2 2 9" xfId="4847" xr:uid="{00000000-0005-0000-0000-0000441C0000}"/>
    <cellStyle name="Normal 8 2 2 2 9 2" xfId="13289" xr:uid="{D609B4FE-FA3B-4740-B7B8-ECC3ECA8241E}"/>
    <cellStyle name="Normal 8 2 2 2 9 3" xfId="21729" xr:uid="{2C453716-5DCB-4084-9545-8DF02848FA82}"/>
    <cellStyle name="Normal 8 2 2 3" xfId="485" xr:uid="{00000000-0005-0000-0000-0000451C0000}"/>
    <cellStyle name="Normal 8 2 2 3 10" xfId="17516" xr:uid="{1BCF9A6D-CEC4-4EAD-8B4F-762C94F5EFB1}"/>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15852" xr:uid="{01F831F1-7ECD-4024-A1CE-95E8594DFF90}"/>
    <cellStyle name="Normal 8 2 2 3 2 2 2 2 3" xfId="24292" xr:uid="{7AB1F630-BE1C-4195-BCED-079E61CF1BAC}"/>
    <cellStyle name="Normal 8 2 2 3 2 2 2 3" xfId="11634" xr:uid="{F133D3FB-7ABB-489C-B4EC-18E9E5A4E065}"/>
    <cellStyle name="Normal 8 2 2 3 2 2 2 4" xfId="20075" xr:uid="{ED30A047-DB68-43D9-8E46-A3A84421AF02}"/>
    <cellStyle name="Normal 8 2 2 3 2 2 3" xfId="5265" xr:uid="{00000000-0005-0000-0000-00004A1C0000}"/>
    <cellStyle name="Normal 8 2 2 3 2 2 3 2" xfId="13707" xr:uid="{C3C6C1DA-8D6D-4245-8C78-0469942AF102}"/>
    <cellStyle name="Normal 8 2 2 3 2 2 3 3" xfId="22147" xr:uid="{7EE43220-D9E2-412F-A3C9-D6FF934BD604}"/>
    <cellStyle name="Normal 8 2 2 3 2 2 4" xfId="9489" xr:uid="{14DBF4DC-7AA4-4514-A3C6-EED8E64D0301}"/>
    <cellStyle name="Normal 8 2 2 3 2 2 5" xfId="17930" xr:uid="{C0A6BB9F-25C5-4ED1-9BFE-12BA4BD7E4AD}"/>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16265" xr:uid="{8D8F7214-6496-4F9F-A66C-09081547CACE}"/>
    <cellStyle name="Normal 8 2 2 3 2 3 2 2 3" xfId="24705" xr:uid="{7C37E3C3-5535-48AA-B619-E7F0C9EC50A4}"/>
    <cellStyle name="Normal 8 2 2 3 2 3 2 3" xfId="12047" xr:uid="{DE1E52F3-519D-4853-884A-B42EA1016CCB}"/>
    <cellStyle name="Normal 8 2 2 3 2 3 2 4" xfId="20488" xr:uid="{9B30C0A6-7208-4DFC-99A0-DA348C96B559}"/>
    <cellStyle name="Normal 8 2 2 3 2 3 3" xfId="5678" xr:uid="{00000000-0005-0000-0000-00004E1C0000}"/>
    <cellStyle name="Normal 8 2 2 3 2 3 3 2" xfId="14120" xr:uid="{B975ED7A-C730-407C-960A-C3ED91FC92C1}"/>
    <cellStyle name="Normal 8 2 2 3 2 3 3 3" xfId="22560" xr:uid="{F64F5AE8-0E9F-41B3-AE94-A49B75CFC9DA}"/>
    <cellStyle name="Normal 8 2 2 3 2 3 4" xfId="9902" xr:uid="{25E5D98D-4C28-4FD3-8A3B-DAB286DDA5E5}"/>
    <cellStyle name="Normal 8 2 2 3 2 3 5" xfId="18343" xr:uid="{1B820845-4348-4EDB-AC91-A41FB9018293}"/>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16678" xr:uid="{49EF72C1-C885-4B98-A169-BE5D08E03497}"/>
    <cellStyle name="Normal 8 2 2 3 2 4 2 2 3" xfId="25118" xr:uid="{CCE8BC12-85E8-4C1E-BE56-F64CDB1C7245}"/>
    <cellStyle name="Normal 8 2 2 3 2 4 2 3" xfId="12460" xr:uid="{EA446A7A-CFCC-450A-9612-3EC2133C26AE}"/>
    <cellStyle name="Normal 8 2 2 3 2 4 2 4" xfId="20901" xr:uid="{C0A6A4DE-1148-40C7-987F-07A6594F5CA7}"/>
    <cellStyle name="Normal 8 2 2 3 2 4 3" xfId="6091" xr:uid="{00000000-0005-0000-0000-0000521C0000}"/>
    <cellStyle name="Normal 8 2 2 3 2 4 3 2" xfId="14533" xr:uid="{22584C2A-BFF6-4D08-AD38-690EA4775925}"/>
    <cellStyle name="Normal 8 2 2 3 2 4 3 3" xfId="22973" xr:uid="{82026570-6231-4C1B-9BF0-31C3465A8ACB}"/>
    <cellStyle name="Normal 8 2 2 3 2 4 4" xfId="10315" xr:uid="{CF6CB975-52AF-4946-9E21-2ABE62316DF1}"/>
    <cellStyle name="Normal 8 2 2 3 2 4 5" xfId="18756" xr:uid="{1CE6125E-8BD0-44E4-B223-5162D13CE21E}"/>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17091" xr:uid="{1F132C48-D322-4F5B-96E0-C3504F2B3EE9}"/>
    <cellStyle name="Normal 8 2 2 3 2 5 2 2 3" xfId="25531" xr:uid="{7C67593D-D8AE-4488-AF2F-1DCFF07E1902}"/>
    <cellStyle name="Normal 8 2 2 3 2 5 2 3" xfId="12873" xr:uid="{71FCD1DB-1F59-438B-99E7-3C3EA5C1A3F0}"/>
    <cellStyle name="Normal 8 2 2 3 2 5 2 4" xfId="21314" xr:uid="{9499482F-B0FF-4DD0-8C9A-18F66434741F}"/>
    <cellStyle name="Normal 8 2 2 3 2 5 3" xfId="6504" xr:uid="{00000000-0005-0000-0000-0000561C0000}"/>
    <cellStyle name="Normal 8 2 2 3 2 5 3 2" xfId="14946" xr:uid="{DB27151D-8DF7-4DBE-925D-C04AE8F273C5}"/>
    <cellStyle name="Normal 8 2 2 3 2 5 3 3" xfId="23386" xr:uid="{C065F9C1-C021-415C-8F2A-B8CAFF407C30}"/>
    <cellStyle name="Normal 8 2 2 3 2 5 4" xfId="10728" xr:uid="{5B83AC06-0D7A-4079-A227-3905085BC683}"/>
    <cellStyle name="Normal 8 2 2 3 2 5 5" xfId="19169" xr:uid="{D49FC9E0-B533-41A1-B876-6CAB5538A9A9}"/>
    <cellStyle name="Normal 8 2 2 3 2 6" xfId="2633" xr:uid="{00000000-0005-0000-0000-0000571C0000}"/>
    <cellStyle name="Normal 8 2 2 3 2 6 2" xfId="6917" xr:uid="{00000000-0005-0000-0000-0000581C0000}"/>
    <cellStyle name="Normal 8 2 2 3 2 6 2 2" xfId="15359" xr:uid="{FBCCA78E-00E0-48D2-BA2A-14633D8E480C}"/>
    <cellStyle name="Normal 8 2 2 3 2 6 2 3" xfId="23799" xr:uid="{9DDC6332-BE19-4AA7-9C48-EF60D604B0A3}"/>
    <cellStyle name="Normal 8 2 2 3 2 6 3" xfId="11141" xr:uid="{343EEF8E-0F1B-4622-A07D-D97427FFA5E5}"/>
    <cellStyle name="Normal 8 2 2 3 2 6 4" xfId="19582" xr:uid="{E834CD83-379E-49AE-80A9-9286129EA9A8}"/>
    <cellStyle name="Normal 8 2 2 3 2 7" xfId="4852" xr:uid="{00000000-0005-0000-0000-0000591C0000}"/>
    <cellStyle name="Normal 8 2 2 3 2 7 2" xfId="13294" xr:uid="{6FBE9B6C-C993-4EBA-A13C-95B35BC7570C}"/>
    <cellStyle name="Normal 8 2 2 3 2 7 3" xfId="21734" xr:uid="{8EDC4DC7-B5E2-4AC4-B408-CAEDFD2F51CF}"/>
    <cellStyle name="Normal 8 2 2 3 2 8" xfId="9076" xr:uid="{F182B3B7-38D7-416E-BE61-58D041D70BA4}"/>
    <cellStyle name="Normal 8 2 2 3 2 9" xfId="17517" xr:uid="{DAB3D982-DBB6-4959-84B6-BC7B1A19F725}"/>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15851" xr:uid="{973F0414-D358-49CD-9E49-FA48778ECB31}"/>
    <cellStyle name="Normal 8 2 2 3 3 2 2 3" xfId="24291" xr:uid="{F12826C7-5968-44AB-81AE-D28393AFD74B}"/>
    <cellStyle name="Normal 8 2 2 3 3 2 3" xfId="11633" xr:uid="{1B5E13B4-5C21-4E4A-B40E-D3248E46846E}"/>
    <cellStyle name="Normal 8 2 2 3 3 2 4" xfId="20074" xr:uid="{1B425530-0A55-4E63-B7A2-A054E476541A}"/>
    <cellStyle name="Normal 8 2 2 3 3 3" xfId="5264" xr:uid="{00000000-0005-0000-0000-00005D1C0000}"/>
    <cellStyle name="Normal 8 2 2 3 3 3 2" xfId="13706" xr:uid="{5B6232C0-9ACD-49B9-B30A-A6091856CF18}"/>
    <cellStyle name="Normal 8 2 2 3 3 3 3" xfId="22146" xr:uid="{2F3FC1C4-3216-44F3-8FCE-01437CEED36F}"/>
    <cellStyle name="Normal 8 2 2 3 3 4" xfId="9488" xr:uid="{DF56E7D4-922E-47D9-9ECD-CFEEE7BC154B}"/>
    <cellStyle name="Normal 8 2 2 3 3 5" xfId="17929" xr:uid="{961AE7E4-4A1E-4128-B18F-72648846B944}"/>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16264" xr:uid="{577EE04F-0FA9-4306-BE28-0ECAF51D3E67}"/>
    <cellStyle name="Normal 8 2 2 3 4 2 2 3" xfId="24704" xr:uid="{A74D28C7-0DE1-446A-AE10-CC7E4D29FD46}"/>
    <cellStyle name="Normal 8 2 2 3 4 2 3" xfId="12046" xr:uid="{3346A6E1-7E78-40E4-92D6-E786F723D906}"/>
    <cellStyle name="Normal 8 2 2 3 4 2 4" xfId="20487" xr:uid="{623985EA-16E5-4A36-B4FB-6F4F8AD97B20}"/>
    <cellStyle name="Normal 8 2 2 3 4 3" xfId="5677" xr:uid="{00000000-0005-0000-0000-0000611C0000}"/>
    <cellStyle name="Normal 8 2 2 3 4 3 2" xfId="14119" xr:uid="{BE37FEBF-AD6E-450F-AFBA-C317E1E45F0C}"/>
    <cellStyle name="Normal 8 2 2 3 4 3 3" xfId="22559" xr:uid="{FBA7A35B-F221-488E-A02F-9E5689C535D4}"/>
    <cellStyle name="Normal 8 2 2 3 4 4" xfId="9901" xr:uid="{1321CF15-B4EC-4DB1-959B-3B3BE320A053}"/>
    <cellStyle name="Normal 8 2 2 3 4 5" xfId="18342" xr:uid="{33C2DF50-1F73-488B-AB93-55A1076AC9CA}"/>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16677" xr:uid="{A6AC4267-B100-4C83-89C7-CDA05C93C5C8}"/>
    <cellStyle name="Normal 8 2 2 3 5 2 2 3" xfId="25117" xr:uid="{0D594237-6B04-4F17-A58E-70400BDA2A8E}"/>
    <cellStyle name="Normal 8 2 2 3 5 2 3" xfId="12459" xr:uid="{E3B37A6C-2B31-4C54-A53D-95C1B330ACE9}"/>
    <cellStyle name="Normal 8 2 2 3 5 2 4" xfId="20900" xr:uid="{60997208-2205-421B-9494-EB9B3C0F7D3F}"/>
    <cellStyle name="Normal 8 2 2 3 5 3" xfId="6090" xr:uid="{00000000-0005-0000-0000-0000651C0000}"/>
    <cellStyle name="Normal 8 2 2 3 5 3 2" xfId="14532" xr:uid="{AFA8183C-68E6-480D-B649-16D5C5731C2E}"/>
    <cellStyle name="Normal 8 2 2 3 5 3 3" xfId="22972" xr:uid="{B3B6A9BD-5236-4877-B6B3-FFFAA18C8675}"/>
    <cellStyle name="Normal 8 2 2 3 5 4" xfId="10314" xr:uid="{F9A3BD5A-6891-4EC1-B31D-CBD6432329BC}"/>
    <cellStyle name="Normal 8 2 2 3 5 5" xfId="18755" xr:uid="{744499B2-96E8-4D2E-AB34-F2F83032D7F5}"/>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17090" xr:uid="{817BB823-586C-4AE9-BD72-CEE73D401BFF}"/>
    <cellStyle name="Normal 8 2 2 3 6 2 2 3" xfId="25530" xr:uid="{80DCEEAB-65C6-4694-8975-114E0F1B2A2F}"/>
    <cellStyle name="Normal 8 2 2 3 6 2 3" xfId="12872" xr:uid="{9525B863-E398-4B00-9C82-9DE29FFEDBEB}"/>
    <cellStyle name="Normal 8 2 2 3 6 2 4" xfId="21313" xr:uid="{4CE28474-1FC2-44CB-9E2A-F434A5765158}"/>
    <cellStyle name="Normal 8 2 2 3 6 3" xfId="6503" xr:uid="{00000000-0005-0000-0000-0000691C0000}"/>
    <cellStyle name="Normal 8 2 2 3 6 3 2" xfId="14945" xr:uid="{04BCBB80-817D-4F78-9590-95ED47658789}"/>
    <cellStyle name="Normal 8 2 2 3 6 3 3" xfId="23385" xr:uid="{82CA9C7A-0008-4C23-B4F0-0A2B234CF521}"/>
    <cellStyle name="Normal 8 2 2 3 6 4" xfId="10727" xr:uid="{7165AB7C-52B9-4084-953A-CF56B252A0DF}"/>
    <cellStyle name="Normal 8 2 2 3 6 5" xfId="19168" xr:uid="{E93BAB20-95F3-45A6-81C2-665A4F2F0A58}"/>
    <cellStyle name="Normal 8 2 2 3 7" xfId="2632" xr:uid="{00000000-0005-0000-0000-00006A1C0000}"/>
    <cellStyle name="Normal 8 2 2 3 7 2" xfId="6916" xr:uid="{00000000-0005-0000-0000-00006B1C0000}"/>
    <cellStyle name="Normal 8 2 2 3 7 2 2" xfId="15358" xr:uid="{4A52F034-B4E2-4F28-9B12-9D555DAE0259}"/>
    <cellStyle name="Normal 8 2 2 3 7 2 3" xfId="23798" xr:uid="{17CFD048-AE55-4ABE-8E5A-06AC6B942166}"/>
    <cellStyle name="Normal 8 2 2 3 7 3" xfId="11140" xr:uid="{727CBF01-0C28-4D2D-91BB-76AF8ABF96F8}"/>
    <cellStyle name="Normal 8 2 2 3 7 4" xfId="19581" xr:uid="{CD66FE51-EC40-4774-ADA4-C161CA51B811}"/>
    <cellStyle name="Normal 8 2 2 3 8" xfId="4851" xr:uid="{00000000-0005-0000-0000-00006C1C0000}"/>
    <cellStyle name="Normal 8 2 2 3 8 2" xfId="13293" xr:uid="{D24F08F1-B563-4E38-8B1F-42D0145EED04}"/>
    <cellStyle name="Normal 8 2 2 3 8 3" xfId="21733" xr:uid="{4F4C1614-53BE-4762-AAE9-463CBEDD9177}"/>
    <cellStyle name="Normal 8 2 2 3 9" xfId="9075" xr:uid="{F9471507-37D4-4BCD-A90A-6E8084CD10D6}"/>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15853" xr:uid="{8A47FFB5-9E9E-4529-8F90-A651A49313B3}"/>
    <cellStyle name="Normal 8 2 2 4 2 2 2 3" xfId="24293" xr:uid="{93D5B0BD-4933-4C16-9B75-29FFEF3290C0}"/>
    <cellStyle name="Normal 8 2 2 4 2 2 3" xfId="11635" xr:uid="{13F2E824-B792-4681-9306-3CC39204AF8D}"/>
    <cellStyle name="Normal 8 2 2 4 2 2 4" xfId="20076" xr:uid="{3776425E-2D74-40C8-A317-33BC92B9E20C}"/>
    <cellStyle name="Normal 8 2 2 4 2 3" xfId="5266" xr:uid="{00000000-0005-0000-0000-0000711C0000}"/>
    <cellStyle name="Normal 8 2 2 4 2 3 2" xfId="13708" xr:uid="{BE2E65AD-B587-4B72-98C0-C02F683DC0B2}"/>
    <cellStyle name="Normal 8 2 2 4 2 3 3" xfId="22148" xr:uid="{0BA51E33-5E35-473E-9261-CBD734D98087}"/>
    <cellStyle name="Normal 8 2 2 4 2 4" xfId="9490" xr:uid="{BC44DFA1-BED2-4B9F-90CD-84F8E0F6E1FA}"/>
    <cellStyle name="Normal 8 2 2 4 2 5" xfId="17931" xr:uid="{5389B126-7083-47BB-97A0-FF00BE9D02D4}"/>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16266" xr:uid="{7F7F94D5-82D3-4E21-B07E-4448025910D5}"/>
    <cellStyle name="Normal 8 2 2 4 3 2 2 3" xfId="24706" xr:uid="{8B16E4B3-A843-4DBB-859B-1B5F7146CB61}"/>
    <cellStyle name="Normal 8 2 2 4 3 2 3" xfId="12048" xr:uid="{CC525D01-AD20-401C-910C-F2F7F533594D}"/>
    <cellStyle name="Normal 8 2 2 4 3 2 4" xfId="20489" xr:uid="{687FC278-BC24-4BE4-9DFE-AA430176F2C8}"/>
    <cellStyle name="Normal 8 2 2 4 3 3" xfId="5679" xr:uid="{00000000-0005-0000-0000-0000751C0000}"/>
    <cellStyle name="Normal 8 2 2 4 3 3 2" xfId="14121" xr:uid="{E0963E99-9810-48A9-A5DF-0227441F53F2}"/>
    <cellStyle name="Normal 8 2 2 4 3 3 3" xfId="22561" xr:uid="{B4CCACB6-D061-4529-8C80-EEAA391638D7}"/>
    <cellStyle name="Normal 8 2 2 4 3 4" xfId="9903" xr:uid="{0D190CA1-C386-43DE-B5F2-AEA1E8781BC5}"/>
    <cellStyle name="Normal 8 2 2 4 3 5" xfId="18344" xr:uid="{AA8450C6-E4D9-4D23-A270-6FAC937DE7D7}"/>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16679" xr:uid="{E98239B8-1CE5-4E44-875D-BEC2218AE2E6}"/>
    <cellStyle name="Normal 8 2 2 4 4 2 2 3" xfId="25119" xr:uid="{D7D651FB-7311-4220-971B-10141EDABF51}"/>
    <cellStyle name="Normal 8 2 2 4 4 2 3" xfId="12461" xr:uid="{FDF5D2E0-7151-4B82-93A5-28A6E5446806}"/>
    <cellStyle name="Normal 8 2 2 4 4 2 4" xfId="20902" xr:uid="{A627248E-6955-4948-A795-AD27C50A8D3A}"/>
    <cellStyle name="Normal 8 2 2 4 4 3" xfId="6092" xr:uid="{00000000-0005-0000-0000-0000791C0000}"/>
    <cellStyle name="Normal 8 2 2 4 4 3 2" xfId="14534" xr:uid="{E31DE3FD-AEA0-44C8-A0AA-71C4DCFD7E6B}"/>
    <cellStyle name="Normal 8 2 2 4 4 3 3" xfId="22974" xr:uid="{C801B977-62B4-4B26-A9C8-06FFB6E744E9}"/>
    <cellStyle name="Normal 8 2 2 4 4 4" xfId="10316" xr:uid="{B564A700-474E-4E74-969A-F0EAC8DEDCB0}"/>
    <cellStyle name="Normal 8 2 2 4 4 5" xfId="18757" xr:uid="{02FDCC19-987F-4035-8886-51E3E84F311E}"/>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17092" xr:uid="{49713538-121A-44BB-A288-34B61A0992C3}"/>
    <cellStyle name="Normal 8 2 2 4 5 2 2 3" xfId="25532" xr:uid="{7FA93763-0E3E-4FEF-AA31-E0382C11EA0C}"/>
    <cellStyle name="Normal 8 2 2 4 5 2 3" xfId="12874" xr:uid="{073EA0B0-1626-4032-BB13-36C41E75B33F}"/>
    <cellStyle name="Normal 8 2 2 4 5 2 4" xfId="21315" xr:uid="{03A9C8F9-2A53-4D85-B460-165BB5CC94B8}"/>
    <cellStyle name="Normal 8 2 2 4 5 3" xfId="6505" xr:uid="{00000000-0005-0000-0000-00007D1C0000}"/>
    <cellStyle name="Normal 8 2 2 4 5 3 2" xfId="14947" xr:uid="{8AD19AF9-ACAE-42A2-B9B0-7ADE4113CB97}"/>
    <cellStyle name="Normal 8 2 2 4 5 3 3" xfId="23387" xr:uid="{859ABC89-3501-4B04-B7CE-B22305C637BE}"/>
    <cellStyle name="Normal 8 2 2 4 5 4" xfId="10729" xr:uid="{711D5237-FDD0-4CFE-8FD5-43728270360F}"/>
    <cellStyle name="Normal 8 2 2 4 5 5" xfId="19170" xr:uid="{923C0834-82A5-4085-A1BA-696AF607A6F0}"/>
    <cellStyle name="Normal 8 2 2 4 6" xfId="2634" xr:uid="{00000000-0005-0000-0000-00007E1C0000}"/>
    <cellStyle name="Normal 8 2 2 4 6 2" xfId="6918" xr:uid="{00000000-0005-0000-0000-00007F1C0000}"/>
    <cellStyle name="Normal 8 2 2 4 6 2 2" xfId="15360" xr:uid="{16F5F75B-1A69-4ED1-A2FE-A65A835AC83E}"/>
    <cellStyle name="Normal 8 2 2 4 6 2 3" xfId="23800" xr:uid="{4EECE4D8-4E1A-4BCC-A7A7-21B7A0817ED0}"/>
    <cellStyle name="Normal 8 2 2 4 6 3" xfId="11142" xr:uid="{4E215988-443D-44F4-81CD-681415870E93}"/>
    <cellStyle name="Normal 8 2 2 4 6 4" xfId="19583" xr:uid="{084F7F75-04ED-44E2-BCFF-659242E3EBC2}"/>
    <cellStyle name="Normal 8 2 2 4 7" xfId="4853" xr:uid="{00000000-0005-0000-0000-0000801C0000}"/>
    <cellStyle name="Normal 8 2 2 4 7 2" xfId="13295" xr:uid="{31BC5847-8978-4BA4-9A83-C2165EE9F8AE}"/>
    <cellStyle name="Normal 8 2 2 4 7 3" xfId="21735" xr:uid="{471C5679-A9EC-4644-AA30-194AFEFEC336}"/>
    <cellStyle name="Normal 8 2 2 4 8" xfId="9077" xr:uid="{AD96A2E8-5DB4-490A-A0F9-D4E3AE5D1CE4}"/>
    <cellStyle name="Normal 8 2 2 4 9" xfId="17518" xr:uid="{FB4FC621-B479-4B99-8BE5-73B894CECF48}"/>
    <cellStyle name="Normal 8 2 2 5" xfId="947" xr:uid="{00000000-0005-0000-0000-0000811C0000}"/>
    <cellStyle name="Normal 8 2 2 5 2" xfId="3181" xr:uid="{00000000-0005-0000-0000-0000821C0000}"/>
    <cellStyle name="Normal 8 2 2 5 2 2" xfId="7404" xr:uid="{00000000-0005-0000-0000-0000831C0000}"/>
    <cellStyle name="Normal 8 2 2 5 2 2 2" xfId="15846" xr:uid="{26BC9238-602E-4EAF-A467-CB7AD5EAC3D1}"/>
    <cellStyle name="Normal 8 2 2 5 2 2 3" xfId="24286" xr:uid="{5D877134-E884-4B1F-9C87-EE9458B8CD47}"/>
    <cellStyle name="Normal 8 2 2 5 2 3" xfId="11628" xr:uid="{89434462-7679-45F1-8139-75D4E9A11A1C}"/>
    <cellStyle name="Normal 8 2 2 5 2 4" xfId="20069" xr:uid="{2BB446A8-5FCE-4892-9C59-88612B91A5FF}"/>
    <cellStyle name="Normal 8 2 2 5 3" xfId="5259" xr:uid="{00000000-0005-0000-0000-0000841C0000}"/>
    <cellStyle name="Normal 8 2 2 5 3 2" xfId="13701" xr:uid="{8D50E6E9-1E6D-4EE2-AE9A-444D042130FF}"/>
    <cellStyle name="Normal 8 2 2 5 3 3" xfId="22141" xr:uid="{62279885-9BAE-426A-BB37-6BDE3AA3819A}"/>
    <cellStyle name="Normal 8 2 2 5 4" xfId="9483" xr:uid="{D2E84313-7843-4668-878B-5184C21EF6DC}"/>
    <cellStyle name="Normal 8 2 2 5 5" xfId="17924" xr:uid="{19F0EE5A-AE1A-4B1B-9481-F271089BA1B8}"/>
    <cellStyle name="Normal 8 2 2 6" xfId="1364" xr:uid="{00000000-0005-0000-0000-0000851C0000}"/>
    <cellStyle name="Normal 8 2 2 6 2" xfId="3594" xr:uid="{00000000-0005-0000-0000-0000861C0000}"/>
    <cellStyle name="Normal 8 2 2 6 2 2" xfId="7817" xr:uid="{00000000-0005-0000-0000-0000871C0000}"/>
    <cellStyle name="Normal 8 2 2 6 2 2 2" xfId="16259" xr:uid="{2FBBD801-AB72-49C3-82BF-C7AB8B942D96}"/>
    <cellStyle name="Normal 8 2 2 6 2 2 3" xfId="24699" xr:uid="{26457184-3525-4EC2-B0E5-FD454340C729}"/>
    <cellStyle name="Normal 8 2 2 6 2 3" xfId="12041" xr:uid="{3D302455-3787-4E49-990E-67474DCE18E7}"/>
    <cellStyle name="Normal 8 2 2 6 2 4" xfId="20482" xr:uid="{BDEAEB69-B94F-42CD-9C01-C6B00E0E9D32}"/>
    <cellStyle name="Normal 8 2 2 6 3" xfId="5672" xr:uid="{00000000-0005-0000-0000-0000881C0000}"/>
    <cellStyle name="Normal 8 2 2 6 3 2" xfId="14114" xr:uid="{E8CF0353-E9DA-4D5A-AFBB-90D60C961510}"/>
    <cellStyle name="Normal 8 2 2 6 3 3" xfId="22554" xr:uid="{A3FEE620-FF0B-4726-B5FA-56C20683E621}"/>
    <cellStyle name="Normal 8 2 2 6 4" xfId="9896" xr:uid="{A7B8AFC6-55AF-4386-BE9D-CD540B65EDC6}"/>
    <cellStyle name="Normal 8 2 2 6 5" xfId="18337" xr:uid="{4FB54706-6BD9-4C21-9E75-E771E076BAB0}"/>
    <cellStyle name="Normal 8 2 2 7" xfId="1777" xr:uid="{00000000-0005-0000-0000-0000891C0000}"/>
    <cellStyle name="Normal 8 2 2 7 2" xfId="4007" xr:uid="{00000000-0005-0000-0000-00008A1C0000}"/>
    <cellStyle name="Normal 8 2 2 7 2 2" xfId="8230" xr:uid="{00000000-0005-0000-0000-00008B1C0000}"/>
    <cellStyle name="Normal 8 2 2 7 2 2 2" xfId="16672" xr:uid="{54D1FFE8-B1DF-4689-808E-624B653FBCD3}"/>
    <cellStyle name="Normal 8 2 2 7 2 2 3" xfId="25112" xr:uid="{1F37FA67-96A7-4917-B6B1-698263A9176F}"/>
    <cellStyle name="Normal 8 2 2 7 2 3" xfId="12454" xr:uid="{E42CD7BB-020A-4407-B9FE-55257271A032}"/>
    <cellStyle name="Normal 8 2 2 7 2 4" xfId="20895" xr:uid="{0AEEC53F-87DB-4423-9196-3754C220BB6D}"/>
    <cellStyle name="Normal 8 2 2 7 3" xfId="6085" xr:uid="{00000000-0005-0000-0000-00008C1C0000}"/>
    <cellStyle name="Normal 8 2 2 7 3 2" xfId="14527" xr:uid="{7C967E49-079B-48A2-8AD5-D9D4882D0DA6}"/>
    <cellStyle name="Normal 8 2 2 7 3 3" xfId="22967" xr:uid="{C6A2F640-3ADB-490D-ABA1-A392F9235DB2}"/>
    <cellStyle name="Normal 8 2 2 7 4" xfId="10309" xr:uid="{7CACA1E2-3A95-44E3-88D4-69A8BEE2D4DA}"/>
    <cellStyle name="Normal 8 2 2 7 5" xfId="18750" xr:uid="{E5E26249-D726-4B03-A7BC-F7C9388FC5A7}"/>
    <cellStyle name="Normal 8 2 2 8" xfId="2191" xr:uid="{00000000-0005-0000-0000-00008D1C0000}"/>
    <cellStyle name="Normal 8 2 2 8 2" xfId="4420" xr:uid="{00000000-0005-0000-0000-00008E1C0000}"/>
    <cellStyle name="Normal 8 2 2 8 2 2" xfId="8643" xr:uid="{00000000-0005-0000-0000-00008F1C0000}"/>
    <cellStyle name="Normal 8 2 2 8 2 2 2" xfId="17085" xr:uid="{C946F845-6D47-447E-ACE7-CAB181EADA02}"/>
    <cellStyle name="Normal 8 2 2 8 2 2 3" xfId="25525" xr:uid="{24A64605-4F71-4AED-85F9-940E528BB3C6}"/>
    <cellStyle name="Normal 8 2 2 8 2 3" xfId="12867" xr:uid="{60DD1735-4CEC-4B3F-879A-CFE63BB0A7BF}"/>
    <cellStyle name="Normal 8 2 2 8 2 4" xfId="21308" xr:uid="{C3F4F30E-FFCB-466F-AE57-1C631B0FC1CA}"/>
    <cellStyle name="Normal 8 2 2 8 3" xfId="6498" xr:uid="{00000000-0005-0000-0000-0000901C0000}"/>
    <cellStyle name="Normal 8 2 2 8 3 2" xfId="14940" xr:uid="{7F62A264-E24B-4E93-A796-CCF703C22119}"/>
    <cellStyle name="Normal 8 2 2 8 3 3" xfId="23380" xr:uid="{53452CC6-2D5E-4FCD-9C3B-13189981B6F8}"/>
    <cellStyle name="Normal 8 2 2 8 4" xfId="10722" xr:uid="{0F7AEF62-0B3D-4091-BCF2-A85524BC822A}"/>
    <cellStyle name="Normal 8 2 2 8 5" xfId="19163" xr:uid="{27C587CE-7048-485B-8DEE-0DFFAF6159D5}"/>
    <cellStyle name="Normal 8 2 2 9" xfId="2627" xr:uid="{00000000-0005-0000-0000-0000911C0000}"/>
    <cellStyle name="Normal 8 2 2 9 2" xfId="6911" xr:uid="{00000000-0005-0000-0000-0000921C0000}"/>
    <cellStyle name="Normal 8 2 2 9 2 2" xfId="15353" xr:uid="{7125BFB4-37F3-4E90-92B6-B59B7DD8FA38}"/>
    <cellStyle name="Normal 8 2 2 9 2 3" xfId="23793" xr:uid="{8A379048-07FE-4FAE-8AFA-A1384033F152}"/>
    <cellStyle name="Normal 8 2 2 9 3" xfId="11135" xr:uid="{8072345A-F134-4DD9-8BD5-EEF21E3F98F7}"/>
    <cellStyle name="Normal 8 2 2 9 4" xfId="19576" xr:uid="{0A822E24-7FE3-48CF-A9D7-54CB653BD7CF}"/>
    <cellStyle name="Normal 8 2 3" xfId="488" xr:uid="{00000000-0005-0000-0000-0000931C0000}"/>
    <cellStyle name="Normal 8 2 3 10" xfId="9078" xr:uid="{39DA4490-1917-4ED1-81D9-03002F75D174}"/>
    <cellStyle name="Normal 8 2 3 11" xfId="17519" xr:uid="{9C8E6573-68E4-4394-8DE3-6671C360623E}"/>
    <cellStyle name="Normal 8 2 3 2" xfId="489" xr:uid="{00000000-0005-0000-0000-0000941C0000}"/>
    <cellStyle name="Normal 8 2 3 2 10" xfId="17520" xr:uid="{5FB3BA8E-607D-435C-B1F6-4AAD8E77E448}"/>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15856" xr:uid="{31C1A53C-6DA1-498C-A1D0-3F1544BE9339}"/>
    <cellStyle name="Normal 8 2 3 2 2 2 2 2 3" xfId="24296" xr:uid="{9128D3E3-5FE6-416F-8581-A3326658356C}"/>
    <cellStyle name="Normal 8 2 3 2 2 2 2 3" xfId="11638" xr:uid="{BB70BF1B-224D-47EB-B5F8-C6F0E7C9C493}"/>
    <cellStyle name="Normal 8 2 3 2 2 2 2 4" xfId="20079" xr:uid="{C596306A-A05B-4FFD-91D1-51792FE7F736}"/>
    <cellStyle name="Normal 8 2 3 2 2 2 3" xfId="5269" xr:uid="{00000000-0005-0000-0000-0000991C0000}"/>
    <cellStyle name="Normal 8 2 3 2 2 2 3 2" xfId="13711" xr:uid="{60C5170F-65E8-4F6A-B83C-40EDFEED1AFA}"/>
    <cellStyle name="Normal 8 2 3 2 2 2 3 3" xfId="22151" xr:uid="{29F0CEAF-C81A-4140-88F0-E6296051F245}"/>
    <cellStyle name="Normal 8 2 3 2 2 2 4" xfId="9493" xr:uid="{43163214-E624-488F-93CA-200829A48E67}"/>
    <cellStyle name="Normal 8 2 3 2 2 2 5" xfId="17934" xr:uid="{DBA881EA-39B9-43EC-A8D3-68FBC0755501}"/>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16269" xr:uid="{416CF4C7-F1F6-49CC-9B87-04D27F4764B9}"/>
    <cellStyle name="Normal 8 2 3 2 2 3 2 2 3" xfId="24709" xr:uid="{FAD1FF58-43DD-4554-943C-E33212A1B762}"/>
    <cellStyle name="Normal 8 2 3 2 2 3 2 3" xfId="12051" xr:uid="{46109FC7-AEDE-422D-B829-B41885E0E2BC}"/>
    <cellStyle name="Normal 8 2 3 2 2 3 2 4" xfId="20492" xr:uid="{7949DDA4-D593-4ED4-B77A-30803869FA58}"/>
    <cellStyle name="Normal 8 2 3 2 2 3 3" xfId="5682" xr:uid="{00000000-0005-0000-0000-00009D1C0000}"/>
    <cellStyle name="Normal 8 2 3 2 2 3 3 2" xfId="14124" xr:uid="{A71E866C-B501-4A3C-A1BD-B295C43AE56D}"/>
    <cellStyle name="Normal 8 2 3 2 2 3 3 3" xfId="22564" xr:uid="{EAFDDE56-7E3B-47D3-934A-4E374DD6E1E1}"/>
    <cellStyle name="Normal 8 2 3 2 2 3 4" xfId="9906" xr:uid="{A395282C-4BC5-4D2E-9E15-0DD6C2907FD6}"/>
    <cellStyle name="Normal 8 2 3 2 2 3 5" xfId="18347" xr:uid="{8236DD77-671D-403F-87D8-33F5C282694B}"/>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16682" xr:uid="{BB4E81FB-8037-4446-BA91-20BB8ECEAA18}"/>
    <cellStyle name="Normal 8 2 3 2 2 4 2 2 3" xfId="25122" xr:uid="{B4EAAC19-9BCF-47E5-9EE9-D4681182740D}"/>
    <cellStyle name="Normal 8 2 3 2 2 4 2 3" xfId="12464" xr:uid="{8E463F04-409A-4449-AB95-0E22B64A47AA}"/>
    <cellStyle name="Normal 8 2 3 2 2 4 2 4" xfId="20905" xr:uid="{43D01034-0458-4DC9-8AC7-D6F05351E390}"/>
    <cellStyle name="Normal 8 2 3 2 2 4 3" xfId="6095" xr:uid="{00000000-0005-0000-0000-0000A11C0000}"/>
    <cellStyle name="Normal 8 2 3 2 2 4 3 2" xfId="14537" xr:uid="{F917E6EF-20D5-4E23-8C22-632048B3177C}"/>
    <cellStyle name="Normal 8 2 3 2 2 4 3 3" xfId="22977" xr:uid="{999E1998-CE53-41F1-BC0F-0217773A2C6C}"/>
    <cellStyle name="Normal 8 2 3 2 2 4 4" xfId="10319" xr:uid="{5F95AC8A-2C37-4932-89D6-AF710F9CD0F4}"/>
    <cellStyle name="Normal 8 2 3 2 2 4 5" xfId="18760" xr:uid="{3770AB96-C37B-48C9-863C-B8E933E2A19C}"/>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17095" xr:uid="{30A28973-CEDC-4835-A32D-19AEA8676658}"/>
    <cellStyle name="Normal 8 2 3 2 2 5 2 2 3" xfId="25535" xr:uid="{0C98FCE1-D46F-4D68-B25A-114ACAB0DE6D}"/>
    <cellStyle name="Normal 8 2 3 2 2 5 2 3" xfId="12877" xr:uid="{A74FFB3A-3779-4D50-A7FA-4321903F3A01}"/>
    <cellStyle name="Normal 8 2 3 2 2 5 2 4" xfId="21318" xr:uid="{F70ACC3D-369E-48DA-9797-C673C2EE2682}"/>
    <cellStyle name="Normal 8 2 3 2 2 5 3" xfId="6508" xr:uid="{00000000-0005-0000-0000-0000A51C0000}"/>
    <cellStyle name="Normal 8 2 3 2 2 5 3 2" xfId="14950" xr:uid="{2D271129-082F-4E34-8A5F-2495EBAB2AEC}"/>
    <cellStyle name="Normal 8 2 3 2 2 5 3 3" xfId="23390" xr:uid="{6EB5B569-8CCD-40EF-A526-D46A09E14FAF}"/>
    <cellStyle name="Normal 8 2 3 2 2 5 4" xfId="10732" xr:uid="{A838C084-C53D-431D-908C-374120DE2C3B}"/>
    <cellStyle name="Normal 8 2 3 2 2 5 5" xfId="19173" xr:uid="{965B70D1-F382-4F09-892F-CE98953A5751}"/>
    <cellStyle name="Normal 8 2 3 2 2 6" xfId="2637" xr:uid="{00000000-0005-0000-0000-0000A61C0000}"/>
    <cellStyle name="Normal 8 2 3 2 2 6 2" xfId="6921" xr:uid="{00000000-0005-0000-0000-0000A71C0000}"/>
    <cellStyle name="Normal 8 2 3 2 2 6 2 2" xfId="15363" xr:uid="{6DCE0CB9-65AE-4333-A0BB-7A6C1086AB27}"/>
    <cellStyle name="Normal 8 2 3 2 2 6 2 3" xfId="23803" xr:uid="{369786B2-41FC-4138-ADDB-DB3F507FEDEB}"/>
    <cellStyle name="Normal 8 2 3 2 2 6 3" xfId="11145" xr:uid="{460ECD95-58E9-4596-8F6C-D5487E41D3E6}"/>
    <cellStyle name="Normal 8 2 3 2 2 6 4" xfId="19586" xr:uid="{CF64FA35-77AA-4030-A05B-56F8655BE4CC}"/>
    <cellStyle name="Normal 8 2 3 2 2 7" xfId="4856" xr:uid="{00000000-0005-0000-0000-0000A81C0000}"/>
    <cellStyle name="Normal 8 2 3 2 2 7 2" xfId="13298" xr:uid="{10079103-11E7-4594-BD4F-A87F0BF2F00E}"/>
    <cellStyle name="Normal 8 2 3 2 2 7 3" xfId="21738" xr:uid="{273FC126-911B-43CA-833C-0EB4B95A2334}"/>
    <cellStyle name="Normal 8 2 3 2 2 8" xfId="9080" xr:uid="{851F33D2-DD15-4553-84C9-423DDEE0EA41}"/>
    <cellStyle name="Normal 8 2 3 2 2 9" xfId="17521" xr:uid="{ABAB9320-84DC-42D6-B983-5BFD8D74EA9F}"/>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15855" xr:uid="{33A8D663-0520-4915-B110-ACF018D98969}"/>
    <cellStyle name="Normal 8 2 3 2 3 2 2 3" xfId="24295" xr:uid="{0677458A-8476-477C-9912-48B202C72D8C}"/>
    <cellStyle name="Normal 8 2 3 2 3 2 3" xfId="11637" xr:uid="{875E6E27-325E-4D3D-9E86-F789E03D3C89}"/>
    <cellStyle name="Normal 8 2 3 2 3 2 4" xfId="20078" xr:uid="{0B3731F1-A392-4D07-94C7-738A17A81112}"/>
    <cellStyle name="Normal 8 2 3 2 3 3" xfId="5268" xr:uid="{00000000-0005-0000-0000-0000AC1C0000}"/>
    <cellStyle name="Normal 8 2 3 2 3 3 2" xfId="13710" xr:uid="{5A04BAF7-AA1D-43D5-8BF6-2CA10686D754}"/>
    <cellStyle name="Normal 8 2 3 2 3 3 3" xfId="22150" xr:uid="{82426121-3FF0-46E2-A7E6-0A4109716FD3}"/>
    <cellStyle name="Normal 8 2 3 2 3 4" xfId="9492" xr:uid="{91944637-6E09-482B-9126-1CCF39B3A079}"/>
    <cellStyle name="Normal 8 2 3 2 3 5" xfId="17933" xr:uid="{EDD443D4-D0F6-4F38-AEDA-91DCE9D7E21F}"/>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16268" xr:uid="{DCD7994E-E956-4734-9FA0-AB31E8DFC264}"/>
    <cellStyle name="Normal 8 2 3 2 4 2 2 3" xfId="24708" xr:uid="{0CA08EE3-9E5B-4B9F-9D66-15DA0EB4EE2F}"/>
    <cellStyle name="Normal 8 2 3 2 4 2 3" xfId="12050" xr:uid="{A2920149-A66A-4E9F-AAE5-A10467B5263E}"/>
    <cellStyle name="Normal 8 2 3 2 4 2 4" xfId="20491" xr:uid="{9D6AFF33-949B-4745-930F-9D58F22B764A}"/>
    <cellStyle name="Normal 8 2 3 2 4 3" xfId="5681" xr:uid="{00000000-0005-0000-0000-0000B01C0000}"/>
    <cellStyle name="Normal 8 2 3 2 4 3 2" xfId="14123" xr:uid="{F4FBA06B-6211-4289-9529-25ACA4EE235E}"/>
    <cellStyle name="Normal 8 2 3 2 4 3 3" xfId="22563" xr:uid="{97C25968-A45F-4B40-A809-4A30FD0AE7D2}"/>
    <cellStyle name="Normal 8 2 3 2 4 4" xfId="9905" xr:uid="{B091876D-9D13-4AD3-8C74-B95694F693D1}"/>
    <cellStyle name="Normal 8 2 3 2 4 5" xfId="18346" xr:uid="{6C0E1C2D-3FB6-466E-A0B2-6F4B198AF07B}"/>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16681" xr:uid="{F2D4128B-73B6-4B84-8C9F-42E66011A274}"/>
    <cellStyle name="Normal 8 2 3 2 5 2 2 3" xfId="25121" xr:uid="{7DC5B773-C299-465E-8333-F6BE13873CFA}"/>
    <cellStyle name="Normal 8 2 3 2 5 2 3" xfId="12463" xr:uid="{B82FE637-306E-4F0C-AF45-7571313E489C}"/>
    <cellStyle name="Normal 8 2 3 2 5 2 4" xfId="20904" xr:uid="{C2F7D9C8-AB47-4C69-9458-0DD0EC8C90EE}"/>
    <cellStyle name="Normal 8 2 3 2 5 3" xfId="6094" xr:uid="{00000000-0005-0000-0000-0000B41C0000}"/>
    <cellStyle name="Normal 8 2 3 2 5 3 2" xfId="14536" xr:uid="{863C2026-1139-42DF-9C84-24855CF4CAE9}"/>
    <cellStyle name="Normal 8 2 3 2 5 3 3" xfId="22976" xr:uid="{2350705C-437E-4CCE-9B5C-5F2E87BA7ADF}"/>
    <cellStyle name="Normal 8 2 3 2 5 4" xfId="10318" xr:uid="{946DD3EA-A037-4496-856C-62A7E28BD980}"/>
    <cellStyle name="Normal 8 2 3 2 5 5" xfId="18759" xr:uid="{39535C60-74B7-4C24-976B-C5C10B3FC371}"/>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17094" xr:uid="{9D0F54A5-6169-4D12-B1D2-C61C8C80E730}"/>
    <cellStyle name="Normal 8 2 3 2 6 2 2 3" xfId="25534" xr:uid="{63BF435A-3C4D-47B7-A560-351D12A53D97}"/>
    <cellStyle name="Normal 8 2 3 2 6 2 3" xfId="12876" xr:uid="{A423090C-7306-4EAE-8609-6C5FDF3D592C}"/>
    <cellStyle name="Normal 8 2 3 2 6 2 4" xfId="21317" xr:uid="{2705D6A7-045A-4F53-BF6F-B0AAFCAC9A99}"/>
    <cellStyle name="Normal 8 2 3 2 6 3" xfId="6507" xr:uid="{00000000-0005-0000-0000-0000B81C0000}"/>
    <cellStyle name="Normal 8 2 3 2 6 3 2" xfId="14949" xr:uid="{4CB27517-6572-4CC2-B972-623CFBB9D72C}"/>
    <cellStyle name="Normal 8 2 3 2 6 3 3" xfId="23389" xr:uid="{9F32A82F-0D18-4321-9628-8816186CBFB9}"/>
    <cellStyle name="Normal 8 2 3 2 6 4" xfId="10731" xr:uid="{91BDF8E6-2BD8-4DFD-A707-95FC4777B133}"/>
    <cellStyle name="Normal 8 2 3 2 6 5" xfId="19172" xr:uid="{B5B50910-9B1D-4452-B250-AC704188AA9B}"/>
    <cellStyle name="Normal 8 2 3 2 7" xfId="2636" xr:uid="{00000000-0005-0000-0000-0000B91C0000}"/>
    <cellStyle name="Normal 8 2 3 2 7 2" xfId="6920" xr:uid="{00000000-0005-0000-0000-0000BA1C0000}"/>
    <cellStyle name="Normal 8 2 3 2 7 2 2" xfId="15362" xr:uid="{0222536E-FA9B-4F1B-B99F-07D681F53372}"/>
    <cellStyle name="Normal 8 2 3 2 7 2 3" xfId="23802" xr:uid="{A0416A61-B498-4013-A9DF-689C2C026C0E}"/>
    <cellStyle name="Normal 8 2 3 2 7 3" xfId="11144" xr:uid="{2EC2C076-937A-4F1A-BCBD-689269B825DE}"/>
    <cellStyle name="Normal 8 2 3 2 7 4" xfId="19585" xr:uid="{5A6F4167-AB29-478A-A1E6-F6F527C91F42}"/>
    <cellStyle name="Normal 8 2 3 2 8" xfId="4855" xr:uid="{00000000-0005-0000-0000-0000BB1C0000}"/>
    <cellStyle name="Normal 8 2 3 2 8 2" xfId="13297" xr:uid="{DC4CE2EF-3A18-4D46-A17B-6DE349C4F525}"/>
    <cellStyle name="Normal 8 2 3 2 8 3" xfId="21737" xr:uid="{D1F1F919-79A1-4D25-997C-0E4FB15FEF45}"/>
    <cellStyle name="Normal 8 2 3 2 9" xfId="9079" xr:uid="{EE821C42-DDCD-496E-9C84-EF3C1F3EDF15}"/>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15857" xr:uid="{10E78176-9005-417C-9C7C-43EA4CDD185C}"/>
    <cellStyle name="Normal 8 2 3 3 2 2 2 3" xfId="24297" xr:uid="{ED63DB62-289B-4609-82C1-D113AF399400}"/>
    <cellStyle name="Normal 8 2 3 3 2 2 3" xfId="11639" xr:uid="{3A225BF8-D7BB-4FD0-B7E7-35D9A627AC3E}"/>
    <cellStyle name="Normal 8 2 3 3 2 2 4" xfId="20080" xr:uid="{70685B04-5E6C-400E-8A54-88D5DC0E7894}"/>
    <cellStyle name="Normal 8 2 3 3 2 3" xfId="5270" xr:uid="{00000000-0005-0000-0000-0000C01C0000}"/>
    <cellStyle name="Normal 8 2 3 3 2 3 2" xfId="13712" xr:uid="{C5D78335-C9F8-4498-9CBF-0401D424EAC1}"/>
    <cellStyle name="Normal 8 2 3 3 2 3 3" xfId="22152" xr:uid="{90752703-D3C6-47E1-BBEA-4876A1F79AD5}"/>
    <cellStyle name="Normal 8 2 3 3 2 4" xfId="9494" xr:uid="{55E6E4AD-5D9C-478E-8F19-B0A418F37CC6}"/>
    <cellStyle name="Normal 8 2 3 3 2 5" xfId="17935" xr:uid="{077EA5C3-548D-42C3-A35B-95FA571BFE74}"/>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16270" xr:uid="{8854BA45-EC60-4FA2-9DCC-E6A013F495BF}"/>
    <cellStyle name="Normal 8 2 3 3 3 2 2 3" xfId="24710" xr:uid="{87607C44-4B8C-4973-86AF-BB57886BA5F1}"/>
    <cellStyle name="Normal 8 2 3 3 3 2 3" xfId="12052" xr:uid="{80022AD5-C16F-455E-BE64-73FE2C6C9BCA}"/>
    <cellStyle name="Normal 8 2 3 3 3 2 4" xfId="20493" xr:uid="{CA9B14F5-4187-47E7-99FC-F579AC85EE48}"/>
    <cellStyle name="Normal 8 2 3 3 3 3" xfId="5683" xr:uid="{00000000-0005-0000-0000-0000C41C0000}"/>
    <cellStyle name="Normal 8 2 3 3 3 3 2" xfId="14125" xr:uid="{97EFFCCF-14D3-45E3-86DA-25FD748D275D}"/>
    <cellStyle name="Normal 8 2 3 3 3 3 3" xfId="22565" xr:uid="{671909D1-7CD2-4B4A-9600-4E582DD4DDE2}"/>
    <cellStyle name="Normal 8 2 3 3 3 4" xfId="9907" xr:uid="{BBAAF3A3-204E-4451-81F5-E2CF5881A727}"/>
    <cellStyle name="Normal 8 2 3 3 3 5" xfId="18348" xr:uid="{24F0E84E-AD1B-4849-8D94-A21E4AAF586D}"/>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16683" xr:uid="{256B7334-65E7-406B-9448-103F46F2AE6D}"/>
    <cellStyle name="Normal 8 2 3 3 4 2 2 3" xfId="25123" xr:uid="{A249AB84-DC6F-4107-B1FE-875C0F83CAA1}"/>
    <cellStyle name="Normal 8 2 3 3 4 2 3" xfId="12465" xr:uid="{8F4137BC-708E-49D2-A978-02E9F17F6B2A}"/>
    <cellStyle name="Normal 8 2 3 3 4 2 4" xfId="20906" xr:uid="{7C9C75CB-EF1A-4762-8527-A34D804AC8AA}"/>
    <cellStyle name="Normal 8 2 3 3 4 3" xfId="6096" xr:uid="{00000000-0005-0000-0000-0000C81C0000}"/>
    <cellStyle name="Normal 8 2 3 3 4 3 2" xfId="14538" xr:uid="{3055BA73-6A47-4EB0-80C7-261873A250D3}"/>
    <cellStyle name="Normal 8 2 3 3 4 3 3" xfId="22978" xr:uid="{C3ABF3FA-3A3F-45BE-8208-95DA0720B241}"/>
    <cellStyle name="Normal 8 2 3 3 4 4" xfId="10320" xr:uid="{93B0FB82-2B36-40C7-A7DC-9D0CAE95FA45}"/>
    <cellStyle name="Normal 8 2 3 3 4 5" xfId="18761" xr:uid="{3E4E6573-F15B-488A-AC1E-C9CA8F881E52}"/>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17096" xr:uid="{D51670B5-8A92-4F36-BBAF-B6A1889CF38C}"/>
    <cellStyle name="Normal 8 2 3 3 5 2 2 3" xfId="25536" xr:uid="{B5615AE1-01C3-49B2-9957-08070184BEE9}"/>
    <cellStyle name="Normal 8 2 3 3 5 2 3" xfId="12878" xr:uid="{CDB3EDA5-AD36-42EE-A16D-56F9F04BBE3E}"/>
    <cellStyle name="Normal 8 2 3 3 5 2 4" xfId="21319" xr:uid="{3ED0CC59-27F6-486D-BD2B-334B4094B5F0}"/>
    <cellStyle name="Normal 8 2 3 3 5 3" xfId="6509" xr:uid="{00000000-0005-0000-0000-0000CC1C0000}"/>
    <cellStyle name="Normal 8 2 3 3 5 3 2" xfId="14951" xr:uid="{FA2B01E7-3DE1-4865-ABAC-348F8C174876}"/>
    <cellStyle name="Normal 8 2 3 3 5 3 3" xfId="23391" xr:uid="{615B028E-C431-4CE4-A43D-3A25DBDC60C2}"/>
    <cellStyle name="Normal 8 2 3 3 5 4" xfId="10733" xr:uid="{60836B81-5CD3-495B-AA60-4E34E717481B}"/>
    <cellStyle name="Normal 8 2 3 3 5 5" xfId="19174" xr:uid="{B5FF8F72-0410-41E7-9B5B-601ADFA1A477}"/>
    <cellStyle name="Normal 8 2 3 3 6" xfId="2638" xr:uid="{00000000-0005-0000-0000-0000CD1C0000}"/>
    <cellStyle name="Normal 8 2 3 3 6 2" xfId="6922" xr:uid="{00000000-0005-0000-0000-0000CE1C0000}"/>
    <cellStyle name="Normal 8 2 3 3 6 2 2" xfId="15364" xr:uid="{AFFDC8A1-604A-413F-8AD1-8D26D1824282}"/>
    <cellStyle name="Normal 8 2 3 3 6 2 3" xfId="23804" xr:uid="{7926359A-D5D1-4647-AD53-856AC55AFA1A}"/>
    <cellStyle name="Normal 8 2 3 3 6 3" xfId="11146" xr:uid="{D51C5D67-38D4-4C0D-B9D4-B35F8B563058}"/>
    <cellStyle name="Normal 8 2 3 3 6 4" xfId="19587" xr:uid="{59F4116C-EA4D-4B83-9820-A3AB8448A253}"/>
    <cellStyle name="Normal 8 2 3 3 7" xfId="4857" xr:uid="{00000000-0005-0000-0000-0000CF1C0000}"/>
    <cellStyle name="Normal 8 2 3 3 7 2" xfId="13299" xr:uid="{CDB602E7-61CC-4D4C-83A9-72628E2BBFB1}"/>
    <cellStyle name="Normal 8 2 3 3 7 3" xfId="21739" xr:uid="{47D66412-D639-4788-88C2-002B26D30B12}"/>
    <cellStyle name="Normal 8 2 3 3 8" xfId="9081" xr:uid="{31E58BDF-07E6-4021-96E6-F8F1C3ECD651}"/>
    <cellStyle name="Normal 8 2 3 3 9" xfId="17522" xr:uid="{F5E28986-9457-4ECF-A483-45300A050122}"/>
    <cellStyle name="Normal 8 2 3 4" xfId="955" xr:uid="{00000000-0005-0000-0000-0000D01C0000}"/>
    <cellStyle name="Normal 8 2 3 4 2" xfId="3189" xr:uid="{00000000-0005-0000-0000-0000D11C0000}"/>
    <cellStyle name="Normal 8 2 3 4 2 2" xfId="7412" xr:uid="{00000000-0005-0000-0000-0000D21C0000}"/>
    <cellStyle name="Normal 8 2 3 4 2 2 2" xfId="15854" xr:uid="{778A13D2-3449-4B2E-BBB7-088EFE0A5342}"/>
    <cellStyle name="Normal 8 2 3 4 2 2 3" xfId="24294" xr:uid="{49057C79-1E20-4359-9B5A-C4C9CD74DEC2}"/>
    <cellStyle name="Normal 8 2 3 4 2 3" xfId="11636" xr:uid="{883BFBB2-72A6-4C16-98E2-62A7489DECC8}"/>
    <cellStyle name="Normal 8 2 3 4 2 4" xfId="20077" xr:uid="{5F128AFE-AAB5-47A6-831B-344C62A94904}"/>
    <cellStyle name="Normal 8 2 3 4 3" xfId="5267" xr:uid="{00000000-0005-0000-0000-0000D31C0000}"/>
    <cellStyle name="Normal 8 2 3 4 3 2" xfId="13709" xr:uid="{382A972C-BE19-4F59-88B4-00CCBFFF4115}"/>
    <cellStyle name="Normal 8 2 3 4 3 3" xfId="22149" xr:uid="{960FB259-67C5-484B-B119-B9B09484A65D}"/>
    <cellStyle name="Normal 8 2 3 4 4" xfId="9491" xr:uid="{04BC6E85-142F-4964-B90A-2A3579AD9D7C}"/>
    <cellStyle name="Normal 8 2 3 4 5" xfId="17932" xr:uid="{041871A8-C952-427E-B77C-BE7B164B31BA}"/>
    <cellStyle name="Normal 8 2 3 5" xfId="1372" xr:uid="{00000000-0005-0000-0000-0000D41C0000}"/>
    <cellStyle name="Normal 8 2 3 5 2" xfId="3602" xr:uid="{00000000-0005-0000-0000-0000D51C0000}"/>
    <cellStyle name="Normal 8 2 3 5 2 2" xfId="7825" xr:uid="{00000000-0005-0000-0000-0000D61C0000}"/>
    <cellStyle name="Normal 8 2 3 5 2 2 2" xfId="16267" xr:uid="{6716A152-C34B-411F-B257-B44F25F1C3D8}"/>
    <cellStyle name="Normal 8 2 3 5 2 2 3" xfId="24707" xr:uid="{AFB3BF32-E5AE-462E-A21A-3EE27B193B74}"/>
    <cellStyle name="Normal 8 2 3 5 2 3" xfId="12049" xr:uid="{67762657-BA33-4E27-BE5A-C2C1C2574353}"/>
    <cellStyle name="Normal 8 2 3 5 2 4" xfId="20490" xr:uid="{51F738E8-C503-448C-9FF9-BB5DC28D9563}"/>
    <cellStyle name="Normal 8 2 3 5 3" xfId="5680" xr:uid="{00000000-0005-0000-0000-0000D71C0000}"/>
    <cellStyle name="Normal 8 2 3 5 3 2" xfId="14122" xr:uid="{880FB8BF-A661-49E5-BD2D-4A7102F639E8}"/>
    <cellStyle name="Normal 8 2 3 5 3 3" xfId="22562" xr:uid="{209CA119-B645-4F55-A9B4-68400657C2CF}"/>
    <cellStyle name="Normal 8 2 3 5 4" xfId="9904" xr:uid="{D69784A5-B893-41E9-AC0A-644CD6656560}"/>
    <cellStyle name="Normal 8 2 3 5 5" xfId="18345" xr:uid="{D9BAB5B4-DC5D-4788-A1F1-8DC5A2FB7BC5}"/>
    <cellStyle name="Normal 8 2 3 6" xfId="1785" xr:uid="{00000000-0005-0000-0000-0000D81C0000}"/>
    <cellStyle name="Normal 8 2 3 6 2" xfId="4015" xr:uid="{00000000-0005-0000-0000-0000D91C0000}"/>
    <cellStyle name="Normal 8 2 3 6 2 2" xfId="8238" xr:uid="{00000000-0005-0000-0000-0000DA1C0000}"/>
    <cellStyle name="Normal 8 2 3 6 2 2 2" xfId="16680" xr:uid="{2639BAE2-B20F-4268-B144-A644BDBA1534}"/>
    <cellStyle name="Normal 8 2 3 6 2 2 3" xfId="25120" xr:uid="{B3D9CBE3-11FF-453D-AC84-E8E96127CE06}"/>
    <cellStyle name="Normal 8 2 3 6 2 3" xfId="12462" xr:uid="{6F10B592-FEFE-4E7E-A7BE-B08CED18FA9E}"/>
    <cellStyle name="Normal 8 2 3 6 2 4" xfId="20903" xr:uid="{3CDE7E5D-AF08-4173-B228-55D0F2B3A9A8}"/>
    <cellStyle name="Normal 8 2 3 6 3" xfId="6093" xr:uid="{00000000-0005-0000-0000-0000DB1C0000}"/>
    <cellStyle name="Normal 8 2 3 6 3 2" xfId="14535" xr:uid="{CCD77E25-0967-4CDA-A6B5-5EFCE6B234B4}"/>
    <cellStyle name="Normal 8 2 3 6 3 3" xfId="22975" xr:uid="{58305AAA-0825-4F3B-B5A8-B54920CF6ED6}"/>
    <cellStyle name="Normal 8 2 3 6 4" xfId="10317" xr:uid="{E500D5BC-C568-4932-B098-C2F167E581CB}"/>
    <cellStyle name="Normal 8 2 3 6 5" xfId="18758" xr:uid="{065A49BA-3DD9-4321-91DE-F491D97F6DD6}"/>
    <cellStyle name="Normal 8 2 3 7" xfId="2199" xr:uid="{00000000-0005-0000-0000-0000DC1C0000}"/>
    <cellStyle name="Normal 8 2 3 7 2" xfId="4428" xr:uid="{00000000-0005-0000-0000-0000DD1C0000}"/>
    <cellStyle name="Normal 8 2 3 7 2 2" xfId="8651" xr:uid="{00000000-0005-0000-0000-0000DE1C0000}"/>
    <cellStyle name="Normal 8 2 3 7 2 2 2" xfId="17093" xr:uid="{C61DADFF-15E3-41CD-85DC-D7E917AC0A3C}"/>
    <cellStyle name="Normal 8 2 3 7 2 2 3" xfId="25533" xr:uid="{3F651872-B43E-421E-B55F-8676BF54360D}"/>
    <cellStyle name="Normal 8 2 3 7 2 3" xfId="12875" xr:uid="{323444F7-1F1E-48B1-A77E-E2B00ED1BBD4}"/>
    <cellStyle name="Normal 8 2 3 7 2 4" xfId="21316" xr:uid="{22031CA3-215E-4CAE-8F9A-C8C2BCCA9E02}"/>
    <cellStyle name="Normal 8 2 3 7 3" xfId="6506" xr:uid="{00000000-0005-0000-0000-0000DF1C0000}"/>
    <cellStyle name="Normal 8 2 3 7 3 2" xfId="14948" xr:uid="{A45BAA15-9858-4926-9D6E-9D1549867612}"/>
    <cellStyle name="Normal 8 2 3 7 3 3" xfId="23388" xr:uid="{E7EBED4A-66F8-4A21-BFF4-CAF7D3514736}"/>
    <cellStyle name="Normal 8 2 3 7 4" xfId="10730" xr:uid="{73E85F51-D92F-4907-A7F6-1B8BF7E949D4}"/>
    <cellStyle name="Normal 8 2 3 7 5" xfId="19171" xr:uid="{09094BB5-FBB6-4F52-B95B-F3E492CDF741}"/>
    <cellStyle name="Normal 8 2 3 8" xfId="2635" xr:uid="{00000000-0005-0000-0000-0000E01C0000}"/>
    <cellStyle name="Normal 8 2 3 8 2" xfId="6919" xr:uid="{00000000-0005-0000-0000-0000E11C0000}"/>
    <cellStyle name="Normal 8 2 3 8 2 2" xfId="15361" xr:uid="{590EC691-9FD1-4C08-8737-870BA2861B1D}"/>
    <cellStyle name="Normal 8 2 3 8 2 3" xfId="23801" xr:uid="{867BA23E-A9EF-45D5-BE1A-7C00A2690953}"/>
    <cellStyle name="Normal 8 2 3 8 3" xfId="11143" xr:uid="{24EDE9E4-764C-456A-B130-B13E3AE71865}"/>
    <cellStyle name="Normal 8 2 3 8 4" xfId="19584" xr:uid="{84A906A5-6F40-4A8D-8CB2-8B92353B98E0}"/>
    <cellStyle name="Normal 8 2 3 9" xfId="4854" xr:uid="{00000000-0005-0000-0000-0000E21C0000}"/>
    <cellStyle name="Normal 8 2 3 9 2" xfId="13296" xr:uid="{042E297D-5470-4AE4-9555-7C1C7933083A}"/>
    <cellStyle name="Normal 8 2 3 9 3" xfId="21736" xr:uid="{67092933-8634-4A21-A4DB-78956D09DA32}"/>
    <cellStyle name="Normal 8 2 4" xfId="492" xr:uid="{00000000-0005-0000-0000-0000E31C0000}"/>
    <cellStyle name="Normal 8 2 4 10" xfId="17523" xr:uid="{C9F4B92F-FAFB-4647-B6B5-2D5A4A00648B}"/>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15859" xr:uid="{72FA5399-8765-48AC-9059-8B2CDDFBF327}"/>
    <cellStyle name="Normal 8 2 4 2 2 2 2 3" xfId="24299" xr:uid="{1D597C26-3276-46F8-9217-4D2E9F10A8BC}"/>
    <cellStyle name="Normal 8 2 4 2 2 2 3" xfId="11641" xr:uid="{42C7A752-C42D-4AEE-941A-42180DA3E00C}"/>
    <cellStyle name="Normal 8 2 4 2 2 2 4" xfId="20082" xr:uid="{BCD9E96C-B62E-4FC0-BEEE-820D99FEBC9E}"/>
    <cellStyle name="Normal 8 2 4 2 2 3" xfId="5272" xr:uid="{00000000-0005-0000-0000-0000E81C0000}"/>
    <cellStyle name="Normal 8 2 4 2 2 3 2" xfId="13714" xr:uid="{99526030-CEE9-4B46-A833-57A72BB9C62C}"/>
    <cellStyle name="Normal 8 2 4 2 2 3 3" xfId="22154" xr:uid="{D2BA9BC2-B3D9-44EC-BC39-C327A919D18F}"/>
    <cellStyle name="Normal 8 2 4 2 2 4" xfId="9496" xr:uid="{174A85DA-7CCE-4655-8D61-71505B579640}"/>
    <cellStyle name="Normal 8 2 4 2 2 5" xfId="17937" xr:uid="{CD9E0100-DA61-413C-A0F0-0B6BA7C761B1}"/>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16272" xr:uid="{F2FF7E95-B5AA-4F54-8CE6-E6F283718ACA}"/>
    <cellStyle name="Normal 8 2 4 2 3 2 2 3" xfId="24712" xr:uid="{2F67908F-52B5-4951-9FE6-0D46FFD638E2}"/>
    <cellStyle name="Normal 8 2 4 2 3 2 3" xfId="12054" xr:uid="{92351D9C-0F8D-49CE-BC73-5AD20DD7B895}"/>
    <cellStyle name="Normal 8 2 4 2 3 2 4" xfId="20495" xr:uid="{1C49B236-CB8B-4F79-985B-B12E04C0575B}"/>
    <cellStyle name="Normal 8 2 4 2 3 3" xfId="5685" xr:uid="{00000000-0005-0000-0000-0000EC1C0000}"/>
    <cellStyle name="Normal 8 2 4 2 3 3 2" xfId="14127" xr:uid="{D9201D81-EBC9-42C1-A6B5-93E91A333FDA}"/>
    <cellStyle name="Normal 8 2 4 2 3 3 3" xfId="22567" xr:uid="{8CB19615-5096-4B10-B93A-B2C68C6CDD0B}"/>
    <cellStyle name="Normal 8 2 4 2 3 4" xfId="9909" xr:uid="{7F60AE1D-3508-4291-9F9F-182E45525F05}"/>
    <cellStyle name="Normal 8 2 4 2 3 5" xfId="18350" xr:uid="{477D1A15-B0AF-4084-AF0F-E82B1946027A}"/>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16685" xr:uid="{33D94FAF-C4A2-4580-80F0-4E1C8BF7880A}"/>
    <cellStyle name="Normal 8 2 4 2 4 2 2 3" xfId="25125" xr:uid="{97791D1F-B56E-41DE-8002-E2620A7D0644}"/>
    <cellStyle name="Normal 8 2 4 2 4 2 3" xfId="12467" xr:uid="{B7D71B43-1034-4134-8A76-8EE4D65111E5}"/>
    <cellStyle name="Normal 8 2 4 2 4 2 4" xfId="20908" xr:uid="{F76790D7-3F2D-4298-AD1F-0E83C2F1BBD3}"/>
    <cellStyle name="Normal 8 2 4 2 4 3" xfId="6098" xr:uid="{00000000-0005-0000-0000-0000F01C0000}"/>
    <cellStyle name="Normal 8 2 4 2 4 3 2" xfId="14540" xr:uid="{457F51DE-69F7-49DE-A03D-C2F5533B36B0}"/>
    <cellStyle name="Normal 8 2 4 2 4 3 3" xfId="22980" xr:uid="{4B36B96F-53F5-4D7F-AB9A-75114AC51023}"/>
    <cellStyle name="Normal 8 2 4 2 4 4" xfId="10322" xr:uid="{B887998A-5E89-4F79-A583-BDC719C996E1}"/>
    <cellStyle name="Normal 8 2 4 2 4 5" xfId="18763" xr:uid="{3A24D732-E1CC-4988-BFA9-8EE703C19896}"/>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17098" xr:uid="{6E419F0D-6923-436F-A9B8-6645961C6E18}"/>
    <cellStyle name="Normal 8 2 4 2 5 2 2 3" xfId="25538" xr:uid="{78B2AD39-F043-4A11-8476-36E9E4F187CA}"/>
    <cellStyle name="Normal 8 2 4 2 5 2 3" xfId="12880" xr:uid="{F1BE55A1-F47A-409D-AFB9-BE4AD8F64203}"/>
    <cellStyle name="Normal 8 2 4 2 5 2 4" xfId="21321" xr:uid="{BC1F01E1-6518-4C4B-BE56-F41556F312D1}"/>
    <cellStyle name="Normal 8 2 4 2 5 3" xfId="6511" xr:uid="{00000000-0005-0000-0000-0000F41C0000}"/>
    <cellStyle name="Normal 8 2 4 2 5 3 2" xfId="14953" xr:uid="{1E7A8AA2-15DA-4376-B336-FFA6A7C34F7B}"/>
    <cellStyle name="Normal 8 2 4 2 5 3 3" xfId="23393" xr:uid="{227FEF54-8024-4EBC-946B-D012F4957E40}"/>
    <cellStyle name="Normal 8 2 4 2 5 4" xfId="10735" xr:uid="{CD881DCF-E7AE-45C1-A52C-D31AD56E41E5}"/>
    <cellStyle name="Normal 8 2 4 2 5 5" xfId="19176" xr:uid="{48E6D38A-D3BF-40AF-8DB3-30D17919D62F}"/>
    <cellStyle name="Normal 8 2 4 2 6" xfId="2640" xr:uid="{00000000-0005-0000-0000-0000F51C0000}"/>
    <cellStyle name="Normal 8 2 4 2 6 2" xfId="6924" xr:uid="{00000000-0005-0000-0000-0000F61C0000}"/>
    <cellStyle name="Normal 8 2 4 2 6 2 2" xfId="15366" xr:uid="{1638D430-50DF-4F2B-B12C-FB702031EDD3}"/>
    <cellStyle name="Normal 8 2 4 2 6 2 3" xfId="23806" xr:uid="{96D4586B-80D7-444E-B60C-C0B580FD6757}"/>
    <cellStyle name="Normal 8 2 4 2 6 3" xfId="11148" xr:uid="{CC3E6BB0-5799-40FD-9B9C-05BF3E8842A4}"/>
    <cellStyle name="Normal 8 2 4 2 6 4" xfId="19589" xr:uid="{EA6CBA53-33C4-4C24-AF95-3CB1CC3F2F70}"/>
    <cellStyle name="Normal 8 2 4 2 7" xfId="4859" xr:uid="{00000000-0005-0000-0000-0000F71C0000}"/>
    <cellStyle name="Normal 8 2 4 2 7 2" xfId="13301" xr:uid="{120BD742-40EA-4D4F-8E8E-8FDE9EAE68AB}"/>
    <cellStyle name="Normal 8 2 4 2 7 3" xfId="21741" xr:uid="{9EA545DE-6AC7-4069-8B07-73F5827585F2}"/>
    <cellStyle name="Normal 8 2 4 2 8" xfId="9083" xr:uid="{B3C34B60-3797-4956-A540-CB6096C950EB}"/>
    <cellStyle name="Normal 8 2 4 2 9" xfId="17524" xr:uid="{AAC57033-B6AD-4D43-BC73-6EE23686B27B}"/>
    <cellStyle name="Normal 8 2 4 3" xfId="959" xr:uid="{00000000-0005-0000-0000-0000F81C0000}"/>
    <cellStyle name="Normal 8 2 4 3 2" xfId="3193" xr:uid="{00000000-0005-0000-0000-0000F91C0000}"/>
    <cellStyle name="Normal 8 2 4 3 2 2" xfId="7416" xr:uid="{00000000-0005-0000-0000-0000FA1C0000}"/>
    <cellStyle name="Normal 8 2 4 3 2 2 2" xfId="15858" xr:uid="{B8590798-D57C-4DF7-A5C1-7FD4CC435AC2}"/>
    <cellStyle name="Normal 8 2 4 3 2 2 3" xfId="24298" xr:uid="{2EE1B69A-E5D0-4D4F-9371-F9E2F09364DB}"/>
    <cellStyle name="Normal 8 2 4 3 2 3" xfId="11640" xr:uid="{4543640E-F1BE-44C2-BA76-0A5B4735474E}"/>
    <cellStyle name="Normal 8 2 4 3 2 4" xfId="20081" xr:uid="{A0F842FA-685A-459B-BCFB-A37F05F97C9C}"/>
    <cellStyle name="Normal 8 2 4 3 3" xfId="5271" xr:uid="{00000000-0005-0000-0000-0000FB1C0000}"/>
    <cellStyle name="Normal 8 2 4 3 3 2" xfId="13713" xr:uid="{FA721462-672C-4966-B220-AF9687F337CF}"/>
    <cellStyle name="Normal 8 2 4 3 3 3" xfId="22153" xr:uid="{9886EEC7-C144-4CB0-8D96-9AAC217A2830}"/>
    <cellStyle name="Normal 8 2 4 3 4" xfId="9495" xr:uid="{E982C409-5F19-4D95-83A0-C03671ED086E}"/>
    <cellStyle name="Normal 8 2 4 3 5" xfId="17936" xr:uid="{34686F81-5F54-451E-8000-93629313241D}"/>
    <cellStyle name="Normal 8 2 4 4" xfId="1376" xr:uid="{00000000-0005-0000-0000-0000FC1C0000}"/>
    <cellStyle name="Normal 8 2 4 4 2" xfId="3606" xr:uid="{00000000-0005-0000-0000-0000FD1C0000}"/>
    <cellStyle name="Normal 8 2 4 4 2 2" xfId="7829" xr:uid="{00000000-0005-0000-0000-0000FE1C0000}"/>
    <cellStyle name="Normal 8 2 4 4 2 2 2" xfId="16271" xr:uid="{46F1F7CF-C51A-4795-8B1C-A1927E0B0DDE}"/>
    <cellStyle name="Normal 8 2 4 4 2 2 3" xfId="24711" xr:uid="{B2E8782B-A310-42E9-AEAF-9D2A68604D06}"/>
    <cellStyle name="Normal 8 2 4 4 2 3" xfId="12053" xr:uid="{3361068D-4BCE-44A2-AE93-44E69355E183}"/>
    <cellStyle name="Normal 8 2 4 4 2 4" xfId="20494" xr:uid="{1DE7AA55-09A4-4C7A-B948-29574F53FB08}"/>
    <cellStyle name="Normal 8 2 4 4 3" xfId="5684" xr:uid="{00000000-0005-0000-0000-0000FF1C0000}"/>
    <cellStyle name="Normal 8 2 4 4 3 2" xfId="14126" xr:uid="{803F380A-4DC7-4048-B4E7-32B4CC0162F3}"/>
    <cellStyle name="Normal 8 2 4 4 3 3" xfId="22566" xr:uid="{3162CEC9-60E0-47D5-BAAB-940994CE5C0E}"/>
    <cellStyle name="Normal 8 2 4 4 4" xfId="9908" xr:uid="{8E722435-7F9B-4DBB-A157-BC95043D4259}"/>
    <cellStyle name="Normal 8 2 4 4 5" xfId="18349" xr:uid="{FEA64F72-0EB3-489E-B8C5-491CD5D77920}"/>
    <cellStyle name="Normal 8 2 4 5" xfId="1789" xr:uid="{00000000-0005-0000-0000-0000001D0000}"/>
    <cellStyle name="Normal 8 2 4 5 2" xfId="4019" xr:uid="{00000000-0005-0000-0000-0000011D0000}"/>
    <cellStyle name="Normal 8 2 4 5 2 2" xfId="8242" xr:uid="{00000000-0005-0000-0000-0000021D0000}"/>
    <cellStyle name="Normal 8 2 4 5 2 2 2" xfId="16684" xr:uid="{D341BA14-E491-4CCC-8F7B-011EA6E8F34C}"/>
    <cellStyle name="Normal 8 2 4 5 2 2 3" xfId="25124" xr:uid="{234BFE8B-F8EF-4A85-80A7-5AEEB6FFBFFE}"/>
    <cellStyle name="Normal 8 2 4 5 2 3" xfId="12466" xr:uid="{57BAE163-0B9F-48E0-B8E2-FDFF060134EA}"/>
    <cellStyle name="Normal 8 2 4 5 2 4" xfId="20907" xr:uid="{03B0280F-07C2-4CC8-AFF8-388D36323497}"/>
    <cellStyle name="Normal 8 2 4 5 3" xfId="6097" xr:uid="{00000000-0005-0000-0000-0000031D0000}"/>
    <cellStyle name="Normal 8 2 4 5 3 2" xfId="14539" xr:uid="{3BAD3E90-2649-4158-B88C-A37C5953DC92}"/>
    <cellStyle name="Normal 8 2 4 5 3 3" xfId="22979" xr:uid="{D0C34F6A-D387-41FD-829E-57F1C08F0132}"/>
    <cellStyle name="Normal 8 2 4 5 4" xfId="10321" xr:uid="{072A6403-364F-401F-98E8-2F212270413E}"/>
    <cellStyle name="Normal 8 2 4 5 5" xfId="18762" xr:uid="{36064E2D-746B-4BA5-BAAD-A3A5DF9A7F71}"/>
    <cellStyle name="Normal 8 2 4 6" xfId="2203" xr:uid="{00000000-0005-0000-0000-0000041D0000}"/>
    <cellStyle name="Normal 8 2 4 6 2" xfId="4432" xr:uid="{00000000-0005-0000-0000-0000051D0000}"/>
    <cellStyle name="Normal 8 2 4 6 2 2" xfId="8655" xr:uid="{00000000-0005-0000-0000-0000061D0000}"/>
    <cellStyle name="Normal 8 2 4 6 2 2 2" xfId="17097" xr:uid="{46DF68E3-3DA2-428F-AE3A-33B2D3109015}"/>
    <cellStyle name="Normal 8 2 4 6 2 2 3" xfId="25537" xr:uid="{B5F8FCB0-CEC6-4094-B117-6A8633037B84}"/>
    <cellStyle name="Normal 8 2 4 6 2 3" xfId="12879" xr:uid="{7896DC6D-A7FD-4B85-8D97-E38236153CE2}"/>
    <cellStyle name="Normal 8 2 4 6 2 4" xfId="21320" xr:uid="{6CA7A0DA-D6E6-4EF2-A154-CB41E6D4EC0B}"/>
    <cellStyle name="Normal 8 2 4 6 3" xfId="6510" xr:uid="{00000000-0005-0000-0000-0000071D0000}"/>
    <cellStyle name="Normal 8 2 4 6 3 2" xfId="14952" xr:uid="{CD291C7E-DCF1-4943-A108-783CBEB9563B}"/>
    <cellStyle name="Normal 8 2 4 6 3 3" xfId="23392" xr:uid="{91DBED4A-3272-4A25-AB80-04CB4036BC78}"/>
    <cellStyle name="Normal 8 2 4 6 4" xfId="10734" xr:uid="{C1C9BE2C-DF42-4DB9-B4E2-4A1BF0016725}"/>
    <cellStyle name="Normal 8 2 4 6 5" xfId="19175" xr:uid="{122AF1C1-042A-4DF8-B98B-1A8E190AAE2B}"/>
    <cellStyle name="Normal 8 2 4 7" xfId="2639" xr:uid="{00000000-0005-0000-0000-0000081D0000}"/>
    <cellStyle name="Normal 8 2 4 7 2" xfId="6923" xr:uid="{00000000-0005-0000-0000-0000091D0000}"/>
    <cellStyle name="Normal 8 2 4 7 2 2" xfId="15365" xr:uid="{A250DAAE-4BA5-4679-A02B-D14F1B40F23A}"/>
    <cellStyle name="Normal 8 2 4 7 2 3" xfId="23805" xr:uid="{45E78632-8DC6-44C9-B55E-34B7E991233F}"/>
    <cellStyle name="Normal 8 2 4 7 3" xfId="11147" xr:uid="{88579BA3-385B-45E3-9310-4E2C2B622E6F}"/>
    <cellStyle name="Normal 8 2 4 7 4" xfId="19588" xr:uid="{7C9E1280-CCEC-49C5-A578-C2BECF30E82B}"/>
    <cellStyle name="Normal 8 2 4 8" xfId="4858" xr:uid="{00000000-0005-0000-0000-00000A1D0000}"/>
    <cellStyle name="Normal 8 2 4 8 2" xfId="13300" xr:uid="{32C3693A-CD28-4A51-8C5C-817D2F0238F8}"/>
    <cellStyle name="Normal 8 2 4 8 3" xfId="21740" xr:uid="{2897DF21-225C-4E77-BEFF-9C5D12D88526}"/>
    <cellStyle name="Normal 8 2 4 9" xfId="9082" xr:uid="{3153B818-F9C9-47D1-A11D-FD676EB599E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2 2 2" xfId="15860" xr:uid="{68D9F160-96BF-433E-A101-0481ECC58313}"/>
    <cellStyle name="Normal 8 2 5 2 2 2 3" xfId="24300" xr:uid="{01859DEC-78B3-49AE-B258-E0733966968C}"/>
    <cellStyle name="Normal 8 2 5 2 2 3" xfId="11642" xr:uid="{0F4FEAD1-12F9-48F8-AC37-EB8E8159511E}"/>
    <cellStyle name="Normal 8 2 5 2 2 4" xfId="20083" xr:uid="{1D630A34-64CD-43A1-B9D3-A1EEF5D0BD4B}"/>
    <cellStyle name="Normal 8 2 5 2 3" xfId="5273" xr:uid="{00000000-0005-0000-0000-00000F1D0000}"/>
    <cellStyle name="Normal 8 2 5 2 3 2" xfId="13715" xr:uid="{A72F58AD-2AA7-41B9-B391-59298F7EA836}"/>
    <cellStyle name="Normal 8 2 5 2 3 3" xfId="22155" xr:uid="{D06EB422-E56D-4C8D-9EA6-13536FFE1F34}"/>
    <cellStyle name="Normal 8 2 5 2 4" xfId="9497" xr:uid="{BFC7A7DA-4376-4A00-A391-B03E237004D4}"/>
    <cellStyle name="Normal 8 2 5 2 5" xfId="17938" xr:uid="{DBD9AD12-AD87-4417-B5E7-53F2901AB937}"/>
    <cellStyle name="Normal 8 2 5 3" xfId="1378" xr:uid="{00000000-0005-0000-0000-0000101D0000}"/>
    <cellStyle name="Normal 8 2 5 3 2" xfId="3608" xr:uid="{00000000-0005-0000-0000-0000111D0000}"/>
    <cellStyle name="Normal 8 2 5 3 2 2" xfId="7831" xr:uid="{00000000-0005-0000-0000-0000121D0000}"/>
    <cellStyle name="Normal 8 2 5 3 2 2 2" xfId="16273" xr:uid="{D3CB22A5-5342-4CA2-B2C5-38795D16F95B}"/>
    <cellStyle name="Normal 8 2 5 3 2 2 3" xfId="24713" xr:uid="{6BF5E499-71A9-403E-AFF5-85C45E24BEE3}"/>
    <cellStyle name="Normal 8 2 5 3 2 3" xfId="12055" xr:uid="{E4854BA3-FBCF-491F-A0BB-9D6D71893619}"/>
    <cellStyle name="Normal 8 2 5 3 2 4" xfId="20496" xr:uid="{020CF7A1-3891-499B-92D2-6EA237E16951}"/>
    <cellStyle name="Normal 8 2 5 3 3" xfId="5686" xr:uid="{00000000-0005-0000-0000-0000131D0000}"/>
    <cellStyle name="Normal 8 2 5 3 3 2" xfId="14128" xr:uid="{D4AA9141-9322-46D5-8269-A77817140F11}"/>
    <cellStyle name="Normal 8 2 5 3 3 3" xfId="22568" xr:uid="{179B68D3-0980-42F6-A7A0-D34D0E644959}"/>
    <cellStyle name="Normal 8 2 5 3 4" xfId="9910" xr:uid="{1190B47A-ABC3-4A81-925C-57C4A8AD4EB1}"/>
    <cellStyle name="Normal 8 2 5 3 5" xfId="18351" xr:uid="{281C2F02-7942-4858-AF5F-7C8A7DB8E8B2}"/>
    <cellStyle name="Normal 8 2 5 4" xfId="1791" xr:uid="{00000000-0005-0000-0000-0000141D0000}"/>
    <cellStyle name="Normal 8 2 5 4 2" xfId="4021" xr:uid="{00000000-0005-0000-0000-0000151D0000}"/>
    <cellStyle name="Normal 8 2 5 4 2 2" xfId="8244" xr:uid="{00000000-0005-0000-0000-0000161D0000}"/>
    <cellStyle name="Normal 8 2 5 4 2 2 2" xfId="16686" xr:uid="{71D0D974-7790-47E4-9501-82BCEE9B2323}"/>
    <cellStyle name="Normal 8 2 5 4 2 2 3" xfId="25126" xr:uid="{50FCB01D-2ED6-4638-8C09-D10A9273C773}"/>
    <cellStyle name="Normal 8 2 5 4 2 3" xfId="12468" xr:uid="{8FF7E83E-E062-410E-807A-D6891FFD5443}"/>
    <cellStyle name="Normal 8 2 5 4 2 4" xfId="20909" xr:uid="{FE807014-337C-4E23-BBFE-D239E1048A97}"/>
    <cellStyle name="Normal 8 2 5 4 3" xfId="6099" xr:uid="{00000000-0005-0000-0000-0000171D0000}"/>
    <cellStyle name="Normal 8 2 5 4 3 2" xfId="14541" xr:uid="{B2A8255B-DCAB-4677-8BB2-F2C90DC15E35}"/>
    <cellStyle name="Normal 8 2 5 4 3 3" xfId="22981" xr:uid="{F6666BC9-28A5-488D-BC72-72B5F1F04FA2}"/>
    <cellStyle name="Normal 8 2 5 4 4" xfId="10323" xr:uid="{086B05FA-75AA-4AF4-9949-5BE9C28A9B34}"/>
    <cellStyle name="Normal 8 2 5 4 5" xfId="18764" xr:uid="{C2B5B25A-2B4D-49BB-8004-F92592FB1C85}"/>
    <cellStyle name="Normal 8 2 5 5" xfId="2205" xr:uid="{00000000-0005-0000-0000-0000181D0000}"/>
    <cellStyle name="Normal 8 2 5 5 2" xfId="4434" xr:uid="{00000000-0005-0000-0000-0000191D0000}"/>
    <cellStyle name="Normal 8 2 5 5 2 2" xfId="8657" xr:uid="{00000000-0005-0000-0000-00001A1D0000}"/>
    <cellStyle name="Normal 8 2 5 5 2 2 2" xfId="17099" xr:uid="{7891A8D4-8027-4AFA-BBA2-C05A04CD17A4}"/>
    <cellStyle name="Normal 8 2 5 5 2 2 3" xfId="25539" xr:uid="{8168A1E1-A16B-470A-B3B8-E081E82A317F}"/>
    <cellStyle name="Normal 8 2 5 5 2 3" xfId="12881" xr:uid="{A8E7BA90-8E86-4EF9-A638-CBB1702C597D}"/>
    <cellStyle name="Normal 8 2 5 5 2 4" xfId="21322" xr:uid="{868977D5-875B-49E8-9D61-DCE4D6E6BAB2}"/>
    <cellStyle name="Normal 8 2 5 5 3" xfId="6512" xr:uid="{00000000-0005-0000-0000-00001B1D0000}"/>
    <cellStyle name="Normal 8 2 5 5 3 2" xfId="14954" xr:uid="{80A860F5-738A-4656-8D4A-6E934B2B662E}"/>
    <cellStyle name="Normal 8 2 5 5 3 3" xfId="23394" xr:uid="{EDF8276A-2C8F-4D3D-BFB6-2092B50182AE}"/>
    <cellStyle name="Normal 8 2 5 5 4" xfId="10736" xr:uid="{C740977B-8299-48AF-A1FD-C735D8E7DD66}"/>
    <cellStyle name="Normal 8 2 5 5 5" xfId="19177" xr:uid="{6C3557A7-AFEB-4B77-B3BD-B53B078CB82F}"/>
    <cellStyle name="Normal 8 2 5 6" xfId="2641" xr:uid="{00000000-0005-0000-0000-00001C1D0000}"/>
    <cellStyle name="Normal 8 2 5 6 2" xfId="6925" xr:uid="{00000000-0005-0000-0000-00001D1D0000}"/>
    <cellStyle name="Normal 8 2 5 6 2 2" xfId="15367" xr:uid="{DA27E925-34A6-4535-950A-AF971F3D6B84}"/>
    <cellStyle name="Normal 8 2 5 6 2 3" xfId="23807" xr:uid="{33FEA7B8-02A9-4FF5-BE96-BC82BAFF7C21}"/>
    <cellStyle name="Normal 8 2 5 6 3" xfId="11149" xr:uid="{77D4EC03-E65D-4230-ADEA-217AB7371E79}"/>
    <cellStyle name="Normal 8 2 5 6 4" xfId="19590" xr:uid="{31A7B696-9851-4605-A9FC-6008B82BA4A2}"/>
    <cellStyle name="Normal 8 2 5 7" xfId="4860" xr:uid="{00000000-0005-0000-0000-00001E1D0000}"/>
    <cellStyle name="Normal 8 2 5 7 2" xfId="13302" xr:uid="{EF24B9AF-B3EB-4544-A4E2-27EADFC254CC}"/>
    <cellStyle name="Normal 8 2 5 7 3" xfId="21742" xr:uid="{BB689039-2B21-4FD1-BF2D-FE936A897816}"/>
    <cellStyle name="Normal 8 2 5 8" xfId="9084" xr:uid="{C5BE028E-FE4D-4025-BD08-FED66CEC19AB}"/>
    <cellStyle name="Normal 8 2 5 9" xfId="17525" xr:uid="{703B27A0-7D24-4D1F-9D5C-4E1836C5E7A3}"/>
    <cellStyle name="Normal 8 2 6" xfId="946" xr:uid="{00000000-0005-0000-0000-00001F1D0000}"/>
    <cellStyle name="Normal 8 2 6 2" xfId="3180" xr:uid="{00000000-0005-0000-0000-0000201D0000}"/>
    <cellStyle name="Normal 8 2 6 2 2" xfId="7403" xr:uid="{00000000-0005-0000-0000-0000211D0000}"/>
    <cellStyle name="Normal 8 2 6 2 2 2" xfId="15845" xr:uid="{B7142EB6-7D31-42CC-897F-F28E49B1B062}"/>
    <cellStyle name="Normal 8 2 6 2 2 3" xfId="24285" xr:uid="{711D6174-5700-409F-B8BD-77F4B970A753}"/>
    <cellStyle name="Normal 8 2 6 2 3" xfId="11627" xr:uid="{22982E77-6EC8-4DC7-A76C-E0CEE1899ECE}"/>
    <cellStyle name="Normal 8 2 6 2 4" xfId="20068" xr:uid="{8BF3673A-38BD-4F2F-A617-F6079DBD61EC}"/>
    <cellStyle name="Normal 8 2 6 3" xfId="5258" xr:uid="{00000000-0005-0000-0000-0000221D0000}"/>
    <cellStyle name="Normal 8 2 6 3 2" xfId="13700" xr:uid="{0BA41CD9-EE5E-47C7-BD07-626CCFAEA316}"/>
    <cellStyle name="Normal 8 2 6 3 3" xfId="22140" xr:uid="{509917B7-C060-4010-AF54-CE832D972093}"/>
    <cellStyle name="Normal 8 2 6 4" xfId="9482" xr:uid="{202A9B91-E060-4792-9B6A-12077190D4FB}"/>
    <cellStyle name="Normal 8 2 6 5" xfId="17923" xr:uid="{DA5023B6-6B8C-4D4A-A95A-3477407E2D51}"/>
    <cellStyle name="Normal 8 2 7" xfId="1363" xr:uid="{00000000-0005-0000-0000-0000231D0000}"/>
    <cellStyle name="Normal 8 2 7 2" xfId="3593" xr:uid="{00000000-0005-0000-0000-0000241D0000}"/>
    <cellStyle name="Normal 8 2 7 2 2" xfId="7816" xr:uid="{00000000-0005-0000-0000-0000251D0000}"/>
    <cellStyle name="Normal 8 2 7 2 2 2" xfId="16258" xr:uid="{53600179-D84C-4E4A-A4D1-2C9548D25D1E}"/>
    <cellStyle name="Normal 8 2 7 2 2 3" xfId="24698" xr:uid="{EBF21F97-2E1E-46D9-89F8-165E015172BC}"/>
    <cellStyle name="Normal 8 2 7 2 3" xfId="12040" xr:uid="{9B14F3FC-1C87-4912-9031-36919931921D}"/>
    <cellStyle name="Normal 8 2 7 2 4" xfId="20481" xr:uid="{8174E37F-669E-410C-9A04-9315732B4E6B}"/>
    <cellStyle name="Normal 8 2 7 3" xfId="5671" xr:uid="{00000000-0005-0000-0000-0000261D0000}"/>
    <cellStyle name="Normal 8 2 7 3 2" xfId="14113" xr:uid="{FF5215F1-E8B3-4AE3-8D8E-03C8E2CC8878}"/>
    <cellStyle name="Normal 8 2 7 3 3" xfId="22553" xr:uid="{92201AD6-77D3-414A-B9E0-14314B862E03}"/>
    <cellStyle name="Normal 8 2 7 4" xfId="9895" xr:uid="{C7149813-367C-4B9A-BA4F-CBA6A121E607}"/>
    <cellStyle name="Normal 8 2 7 5" xfId="18336" xr:uid="{0CF686DD-5C1F-4747-8AB4-C32E9A0431A8}"/>
    <cellStyle name="Normal 8 2 8" xfId="1776" xr:uid="{00000000-0005-0000-0000-0000271D0000}"/>
    <cellStyle name="Normal 8 2 8 2" xfId="4006" xr:uid="{00000000-0005-0000-0000-0000281D0000}"/>
    <cellStyle name="Normal 8 2 8 2 2" xfId="8229" xr:uid="{00000000-0005-0000-0000-0000291D0000}"/>
    <cellStyle name="Normal 8 2 8 2 2 2" xfId="16671" xr:uid="{E1394DDE-548C-4049-B8BD-3EB7FDC24729}"/>
    <cellStyle name="Normal 8 2 8 2 2 3" xfId="25111" xr:uid="{DBA65B7D-0B21-43D5-A3DE-CF04CD4E5319}"/>
    <cellStyle name="Normal 8 2 8 2 3" xfId="12453" xr:uid="{91A9BF6B-933D-4639-A3F4-38A478F7D223}"/>
    <cellStyle name="Normal 8 2 8 2 4" xfId="20894" xr:uid="{82EFFD19-4AC5-42E7-BB93-F4AD4BC05B4E}"/>
    <cellStyle name="Normal 8 2 8 3" xfId="6084" xr:uid="{00000000-0005-0000-0000-00002A1D0000}"/>
    <cellStyle name="Normal 8 2 8 3 2" xfId="14526" xr:uid="{B4903576-04F8-4646-AB49-81BC167C7341}"/>
    <cellStyle name="Normal 8 2 8 3 3" xfId="22966" xr:uid="{D0ED2C82-37D9-48C6-AB65-56CA85CF7456}"/>
    <cellStyle name="Normal 8 2 8 4" xfId="10308" xr:uid="{24D02B34-860C-4653-BC1F-79E45D68D80A}"/>
    <cellStyle name="Normal 8 2 8 5" xfId="18749" xr:uid="{3C9206DA-F33D-4CDE-BA6E-61D07412125C}"/>
    <cellStyle name="Normal 8 2 9" xfId="2190" xr:uid="{00000000-0005-0000-0000-00002B1D0000}"/>
    <cellStyle name="Normal 8 2 9 2" xfId="4419" xr:uid="{00000000-0005-0000-0000-00002C1D0000}"/>
    <cellStyle name="Normal 8 2 9 2 2" xfId="8642" xr:uid="{00000000-0005-0000-0000-00002D1D0000}"/>
    <cellStyle name="Normal 8 2 9 2 2 2" xfId="17084" xr:uid="{391CFC77-0BEE-4F27-B719-89DBC2F86E59}"/>
    <cellStyle name="Normal 8 2 9 2 2 3" xfId="25524" xr:uid="{3C847C8A-906B-4010-AFED-8B29C3907478}"/>
    <cellStyle name="Normal 8 2 9 2 3" xfId="12866" xr:uid="{53FB366F-BD49-4D45-BF3A-1B76F3854D02}"/>
    <cellStyle name="Normal 8 2 9 2 4" xfId="21307" xr:uid="{FC03DD2F-E0C7-4927-9AB5-0B368625FF34}"/>
    <cellStyle name="Normal 8 2 9 3" xfId="6497" xr:uid="{00000000-0005-0000-0000-00002E1D0000}"/>
    <cellStyle name="Normal 8 2 9 3 2" xfId="14939" xr:uid="{16481FB3-AC24-4079-943D-10A75FAF002D}"/>
    <cellStyle name="Normal 8 2 9 3 3" xfId="23379" xr:uid="{F3BEDB98-47AC-438C-AB05-41E656E9445C}"/>
    <cellStyle name="Normal 8 2 9 4" xfId="10721" xr:uid="{92F0C7B2-328D-4F62-B779-28D4BC46EF30}"/>
    <cellStyle name="Normal 8 2 9 5" xfId="19162" xr:uid="{5DC7B93C-D459-49D2-A691-C69C21013FA8}"/>
    <cellStyle name="Normal 8 3" xfId="495" xr:uid="{00000000-0005-0000-0000-00002F1D0000}"/>
    <cellStyle name="Normal 8 3 10" xfId="4861" xr:uid="{00000000-0005-0000-0000-0000301D0000}"/>
    <cellStyle name="Normal 8 3 10 2" xfId="13303" xr:uid="{7D9CE5AC-F510-4686-9D3A-EFD47804835D}"/>
    <cellStyle name="Normal 8 3 10 3" xfId="21743" xr:uid="{7F189095-C3D4-4727-A53E-376BC55F907F}"/>
    <cellStyle name="Normal 8 3 11" xfId="9085" xr:uid="{D85B1B36-1607-4497-A7B5-B67996FD12EE}"/>
    <cellStyle name="Normal 8 3 12" xfId="17526" xr:uid="{64AEF9A6-C0E6-4FDB-914E-44EE3E9FDC36}"/>
    <cellStyle name="Normal 8 3 2" xfId="496" xr:uid="{00000000-0005-0000-0000-0000311D0000}"/>
    <cellStyle name="Normal 8 3 2 10" xfId="9086" xr:uid="{C8CFE901-08D7-4CD4-AA28-C47AC6A061BB}"/>
    <cellStyle name="Normal 8 3 2 11" xfId="17527" xr:uid="{1E1AB18B-D029-4DDF-99F8-FE9F7E6B3064}"/>
    <cellStyle name="Normal 8 3 2 2" xfId="497" xr:uid="{00000000-0005-0000-0000-0000321D0000}"/>
    <cellStyle name="Normal 8 3 2 2 10" xfId="17528" xr:uid="{CE3F179C-0E85-4119-BD69-572CF2F12F1D}"/>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15864" xr:uid="{A1640DF1-6AE7-49E4-AC21-0F239F1CA94B}"/>
    <cellStyle name="Normal 8 3 2 2 2 2 2 2 3" xfId="24304" xr:uid="{7584E7D4-6258-4079-8CE5-9E9D9DB66BBF}"/>
    <cellStyle name="Normal 8 3 2 2 2 2 2 3" xfId="11646" xr:uid="{936C5594-FBF8-4282-B299-2B0485BF0C90}"/>
    <cellStyle name="Normal 8 3 2 2 2 2 2 4" xfId="20087" xr:uid="{67FA7F65-EAAF-4014-A822-7ADAE4C4605F}"/>
    <cellStyle name="Normal 8 3 2 2 2 2 3" xfId="5277" xr:uid="{00000000-0005-0000-0000-0000371D0000}"/>
    <cellStyle name="Normal 8 3 2 2 2 2 3 2" xfId="13719" xr:uid="{EA026129-1565-4803-B5BD-CAF4BCB3B1FE}"/>
    <cellStyle name="Normal 8 3 2 2 2 2 3 3" xfId="22159" xr:uid="{2D9DFA5C-67BB-47EB-8938-4D5068177E91}"/>
    <cellStyle name="Normal 8 3 2 2 2 2 4" xfId="9501" xr:uid="{1F85F563-7A47-407F-BB26-01FFF10F4D16}"/>
    <cellStyle name="Normal 8 3 2 2 2 2 5" xfId="17942" xr:uid="{243AE7F1-F98E-4877-AD81-119A7D79C12E}"/>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16277" xr:uid="{1A5DC7FE-7061-4A37-915F-3724C12E43A6}"/>
    <cellStyle name="Normal 8 3 2 2 2 3 2 2 3" xfId="24717" xr:uid="{B2D2C8AA-7D06-44BD-ABFD-2C8F46509787}"/>
    <cellStyle name="Normal 8 3 2 2 2 3 2 3" xfId="12059" xr:uid="{48C5E9F0-1E93-4176-8EE4-2613F47DF110}"/>
    <cellStyle name="Normal 8 3 2 2 2 3 2 4" xfId="20500" xr:uid="{6798B35E-DC8D-4E9B-9546-710CAB7C3B2F}"/>
    <cellStyle name="Normal 8 3 2 2 2 3 3" xfId="5690" xr:uid="{00000000-0005-0000-0000-00003B1D0000}"/>
    <cellStyle name="Normal 8 3 2 2 2 3 3 2" xfId="14132" xr:uid="{733CA344-7E88-40B1-8E7B-C85FAE22189E}"/>
    <cellStyle name="Normal 8 3 2 2 2 3 3 3" xfId="22572" xr:uid="{73A394D7-2D45-4994-9E7E-4381DFF6C8A9}"/>
    <cellStyle name="Normal 8 3 2 2 2 3 4" xfId="9914" xr:uid="{774326BC-D48F-4F03-A2F4-27802A0371CA}"/>
    <cellStyle name="Normal 8 3 2 2 2 3 5" xfId="18355" xr:uid="{9CA15A97-60A3-404B-8BC7-AB855028DCD7}"/>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16690" xr:uid="{5E7ED50C-A5F0-413E-88B0-3B732FBF6819}"/>
    <cellStyle name="Normal 8 3 2 2 2 4 2 2 3" xfId="25130" xr:uid="{27F9ADD6-7584-47DD-A47B-0C052363B910}"/>
    <cellStyle name="Normal 8 3 2 2 2 4 2 3" xfId="12472" xr:uid="{351B8AE1-814A-4C8E-897C-71767BDA41FF}"/>
    <cellStyle name="Normal 8 3 2 2 2 4 2 4" xfId="20913" xr:uid="{D6DB6089-D9B1-41D1-9E86-6ADA8FC671C7}"/>
    <cellStyle name="Normal 8 3 2 2 2 4 3" xfId="6103" xr:uid="{00000000-0005-0000-0000-00003F1D0000}"/>
    <cellStyle name="Normal 8 3 2 2 2 4 3 2" xfId="14545" xr:uid="{5A6EC0A1-B8C9-4AC4-B57D-A825AEACC22D}"/>
    <cellStyle name="Normal 8 3 2 2 2 4 3 3" xfId="22985" xr:uid="{878B86D8-F6B5-4875-BE76-C84877E1D668}"/>
    <cellStyle name="Normal 8 3 2 2 2 4 4" xfId="10327" xr:uid="{2A7233A6-C6A4-4EE2-9990-17A489D49764}"/>
    <cellStyle name="Normal 8 3 2 2 2 4 5" xfId="18768" xr:uid="{4C9BE0FD-3269-403F-8DA3-7C3A57A0ED1F}"/>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17103" xr:uid="{7E4E50E2-86BC-44B5-8E87-4BC14D4E7DAA}"/>
    <cellStyle name="Normal 8 3 2 2 2 5 2 2 3" xfId="25543" xr:uid="{24935C41-4CA2-4168-973B-4CEA8AEC6043}"/>
    <cellStyle name="Normal 8 3 2 2 2 5 2 3" xfId="12885" xr:uid="{24A7B724-0EF8-40F2-AB2B-A7F9E8C5F0DB}"/>
    <cellStyle name="Normal 8 3 2 2 2 5 2 4" xfId="21326" xr:uid="{31B32086-197F-4A87-9A12-94CB5E4280C9}"/>
    <cellStyle name="Normal 8 3 2 2 2 5 3" xfId="6516" xr:uid="{00000000-0005-0000-0000-0000431D0000}"/>
    <cellStyle name="Normal 8 3 2 2 2 5 3 2" xfId="14958" xr:uid="{8BB55D9B-CE1A-41E1-A275-11135438ED11}"/>
    <cellStyle name="Normal 8 3 2 2 2 5 3 3" xfId="23398" xr:uid="{6F1D9DAB-53CC-4087-95EC-448F08A66361}"/>
    <cellStyle name="Normal 8 3 2 2 2 5 4" xfId="10740" xr:uid="{A01E5D34-59BB-4C32-B0B1-C07E1D7DD9E7}"/>
    <cellStyle name="Normal 8 3 2 2 2 5 5" xfId="19181" xr:uid="{D58E7988-D586-4553-A6E4-FA57256637F0}"/>
    <cellStyle name="Normal 8 3 2 2 2 6" xfId="2645" xr:uid="{00000000-0005-0000-0000-0000441D0000}"/>
    <cellStyle name="Normal 8 3 2 2 2 6 2" xfId="6929" xr:uid="{00000000-0005-0000-0000-0000451D0000}"/>
    <cellStyle name="Normal 8 3 2 2 2 6 2 2" xfId="15371" xr:uid="{C334EF25-7044-4F97-8A39-4D4DA64D678A}"/>
    <cellStyle name="Normal 8 3 2 2 2 6 2 3" xfId="23811" xr:uid="{6A8E5591-DB43-4F50-8775-E95A0B5CDB24}"/>
    <cellStyle name="Normal 8 3 2 2 2 6 3" xfId="11153" xr:uid="{2DFEE1AF-3429-47D7-9E28-403101BEC9EB}"/>
    <cellStyle name="Normal 8 3 2 2 2 6 4" xfId="19594" xr:uid="{68A9EF8B-8374-49CD-857B-19BD0DCD0BB7}"/>
    <cellStyle name="Normal 8 3 2 2 2 7" xfId="4864" xr:uid="{00000000-0005-0000-0000-0000461D0000}"/>
    <cellStyle name="Normal 8 3 2 2 2 7 2" xfId="13306" xr:uid="{63FF01A8-77BF-4BE6-830F-B3447ED45049}"/>
    <cellStyle name="Normal 8 3 2 2 2 7 3" xfId="21746" xr:uid="{6B84AA61-34FB-4E8E-9A34-CE8128BF27CA}"/>
    <cellStyle name="Normal 8 3 2 2 2 8" xfId="9088" xr:uid="{704AAE8F-1063-4DB2-B1EB-7D1E942F6E9B}"/>
    <cellStyle name="Normal 8 3 2 2 2 9" xfId="17529" xr:uid="{938C4EB9-DDBF-4D89-8C44-51090A1A6DB1}"/>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15863" xr:uid="{51622FD6-3D5D-4FA3-A9F3-06C0333C97E0}"/>
    <cellStyle name="Normal 8 3 2 2 3 2 2 3" xfId="24303" xr:uid="{B32C1849-FB19-4F02-A516-9AA471A80C5B}"/>
    <cellStyle name="Normal 8 3 2 2 3 2 3" xfId="11645" xr:uid="{B1891990-BAD0-489E-95F2-2BC99E330A75}"/>
    <cellStyle name="Normal 8 3 2 2 3 2 4" xfId="20086" xr:uid="{ABDF6B5E-895B-40C9-A281-9C64DE117981}"/>
    <cellStyle name="Normal 8 3 2 2 3 3" xfId="5276" xr:uid="{00000000-0005-0000-0000-00004A1D0000}"/>
    <cellStyle name="Normal 8 3 2 2 3 3 2" xfId="13718" xr:uid="{914A939E-192C-4713-8369-9B5FD29E77B0}"/>
    <cellStyle name="Normal 8 3 2 2 3 3 3" xfId="22158" xr:uid="{B9EDFFFE-8152-49AB-82D4-B212498F6339}"/>
    <cellStyle name="Normal 8 3 2 2 3 4" xfId="9500" xr:uid="{2211E2CC-C710-490A-B6CB-B03A502B42AA}"/>
    <cellStyle name="Normal 8 3 2 2 3 5" xfId="17941" xr:uid="{CA6F676E-F083-49EF-AABC-55A8ED5D14D7}"/>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16276" xr:uid="{14601E10-4E59-449F-B5A7-60EF0C82DA50}"/>
    <cellStyle name="Normal 8 3 2 2 4 2 2 3" xfId="24716" xr:uid="{112477D2-D775-4D69-8F86-B67384D2C835}"/>
    <cellStyle name="Normal 8 3 2 2 4 2 3" xfId="12058" xr:uid="{4AF014F2-1175-42B0-8EFA-176EEE84CFEE}"/>
    <cellStyle name="Normal 8 3 2 2 4 2 4" xfId="20499" xr:uid="{D39669C7-F83A-466A-9101-733AA13D1CD8}"/>
    <cellStyle name="Normal 8 3 2 2 4 3" xfId="5689" xr:uid="{00000000-0005-0000-0000-00004E1D0000}"/>
    <cellStyle name="Normal 8 3 2 2 4 3 2" xfId="14131" xr:uid="{DB928B06-4F0D-4D19-90F8-5DFD0C267496}"/>
    <cellStyle name="Normal 8 3 2 2 4 3 3" xfId="22571" xr:uid="{CF5BF799-CE40-43B1-82DD-84EABE95A388}"/>
    <cellStyle name="Normal 8 3 2 2 4 4" xfId="9913" xr:uid="{C1F0EA8D-7FC3-4A19-9EB2-4E7C0219FD72}"/>
    <cellStyle name="Normal 8 3 2 2 4 5" xfId="18354" xr:uid="{7D94F2CE-6466-49A3-B146-C5469EE6916A}"/>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16689" xr:uid="{9FFBB82D-329F-4A59-B4DF-41EC820EFEE9}"/>
    <cellStyle name="Normal 8 3 2 2 5 2 2 3" xfId="25129" xr:uid="{2E5DB939-B857-4320-9AE8-41F9FA9E5D90}"/>
    <cellStyle name="Normal 8 3 2 2 5 2 3" xfId="12471" xr:uid="{18D6E687-4272-4E1B-AC91-47CC17F58C16}"/>
    <cellStyle name="Normal 8 3 2 2 5 2 4" xfId="20912" xr:uid="{647B0BBE-7300-4E15-88DE-9BE3ABA4DB56}"/>
    <cellStyle name="Normal 8 3 2 2 5 3" xfId="6102" xr:uid="{00000000-0005-0000-0000-0000521D0000}"/>
    <cellStyle name="Normal 8 3 2 2 5 3 2" xfId="14544" xr:uid="{9AE91C35-5F32-4E7C-BF0A-E5C171DF04D4}"/>
    <cellStyle name="Normal 8 3 2 2 5 3 3" xfId="22984" xr:uid="{8B932CB0-D44C-4ABD-A18D-EA3E179C0CDE}"/>
    <cellStyle name="Normal 8 3 2 2 5 4" xfId="10326" xr:uid="{B68820D1-9635-4724-93E9-7F71FA4909EB}"/>
    <cellStyle name="Normal 8 3 2 2 5 5" xfId="18767" xr:uid="{B7E6BAC0-601E-4732-B0FF-820214AEB887}"/>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17102" xr:uid="{B7A74B11-D286-4369-A5AF-9CBFC95C5EE8}"/>
    <cellStyle name="Normal 8 3 2 2 6 2 2 3" xfId="25542" xr:uid="{4BBA8D01-0A0B-42A6-B29E-BB77E2902BE6}"/>
    <cellStyle name="Normal 8 3 2 2 6 2 3" xfId="12884" xr:uid="{78576452-ED79-48B1-B6CF-CFC1C42F4B6B}"/>
    <cellStyle name="Normal 8 3 2 2 6 2 4" xfId="21325" xr:uid="{C585E330-0437-4A70-9FDD-CA7F83AA78BF}"/>
    <cellStyle name="Normal 8 3 2 2 6 3" xfId="6515" xr:uid="{00000000-0005-0000-0000-0000561D0000}"/>
    <cellStyle name="Normal 8 3 2 2 6 3 2" xfId="14957" xr:uid="{E41F77A5-57E0-4475-95B7-25DDA8A5512A}"/>
    <cellStyle name="Normal 8 3 2 2 6 3 3" xfId="23397" xr:uid="{E471A76D-E7A5-426F-9357-CFAA910A44D7}"/>
    <cellStyle name="Normal 8 3 2 2 6 4" xfId="10739" xr:uid="{11B54BB6-20DF-4E72-8830-DB769A325844}"/>
    <cellStyle name="Normal 8 3 2 2 6 5" xfId="19180" xr:uid="{F1DF66A7-9DEE-43B6-B03D-B792C9D206DD}"/>
    <cellStyle name="Normal 8 3 2 2 7" xfId="2644" xr:uid="{00000000-0005-0000-0000-0000571D0000}"/>
    <cellStyle name="Normal 8 3 2 2 7 2" xfId="6928" xr:uid="{00000000-0005-0000-0000-0000581D0000}"/>
    <cellStyle name="Normal 8 3 2 2 7 2 2" xfId="15370" xr:uid="{12F46E61-B238-4365-8350-9DFDECD2CFA8}"/>
    <cellStyle name="Normal 8 3 2 2 7 2 3" xfId="23810" xr:uid="{61443688-8524-402C-9E41-EC2072A7B03D}"/>
    <cellStyle name="Normal 8 3 2 2 7 3" xfId="11152" xr:uid="{66C2EA41-F008-4B19-BB02-3E57FC5B452B}"/>
    <cellStyle name="Normal 8 3 2 2 7 4" xfId="19593" xr:uid="{842AA325-4909-4480-82FE-057F487ACE2B}"/>
    <cellStyle name="Normal 8 3 2 2 8" xfId="4863" xr:uid="{00000000-0005-0000-0000-0000591D0000}"/>
    <cellStyle name="Normal 8 3 2 2 8 2" xfId="13305" xr:uid="{2D1805F7-12FF-4E92-BE41-D5807085717B}"/>
    <cellStyle name="Normal 8 3 2 2 8 3" xfId="21745" xr:uid="{CF4CFA1A-FC66-41CD-A116-A789EBC939FD}"/>
    <cellStyle name="Normal 8 3 2 2 9" xfId="9087" xr:uid="{00C3729B-804C-4D78-9EA6-05672C7A83FE}"/>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15865" xr:uid="{17D99653-35DE-4948-AE72-6DDD9101D88F}"/>
    <cellStyle name="Normal 8 3 2 3 2 2 2 3" xfId="24305" xr:uid="{2DF1DE39-0CFF-47D3-9851-260E07D03D3D}"/>
    <cellStyle name="Normal 8 3 2 3 2 2 3" xfId="11647" xr:uid="{308AA109-9487-404D-9154-393FE3779B1B}"/>
    <cellStyle name="Normal 8 3 2 3 2 2 4" xfId="20088" xr:uid="{C872D697-D8EC-4C30-B040-69F3AE1057E9}"/>
    <cellStyle name="Normal 8 3 2 3 2 3" xfId="5278" xr:uid="{00000000-0005-0000-0000-00005E1D0000}"/>
    <cellStyle name="Normal 8 3 2 3 2 3 2" xfId="13720" xr:uid="{DBE94D59-1017-43B5-93EB-8C0728184F84}"/>
    <cellStyle name="Normal 8 3 2 3 2 3 3" xfId="22160" xr:uid="{2D8AA822-57FB-4CD2-95F5-37FCE4C7EE0C}"/>
    <cellStyle name="Normal 8 3 2 3 2 4" xfId="9502" xr:uid="{A434494D-3C13-4A8D-A0D1-ED5943A25DC9}"/>
    <cellStyle name="Normal 8 3 2 3 2 5" xfId="17943" xr:uid="{C9D0226E-D68F-43CD-87B7-2D0E99AEDA62}"/>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16278" xr:uid="{A62D985A-6420-4282-9D33-EB6880B1FF17}"/>
    <cellStyle name="Normal 8 3 2 3 3 2 2 3" xfId="24718" xr:uid="{235232E2-949C-4AF0-97FE-0D04798504A0}"/>
    <cellStyle name="Normal 8 3 2 3 3 2 3" xfId="12060" xr:uid="{839CDFE3-2FFA-4B15-8D41-015A4C5021C9}"/>
    <cellStyle name="Normal 8 3 2 3 3 2 4" xfId="20501" xr:uid="{A20CFDD2-60D1-4695-8A43-2570B39D302B}"/>
    <cellStyle name="Normal 8 3 2 3 3 3" xfId="5691" xr:uid="{00000000-0005-0000-0000-0000621D0000}"/>
    <cellStyle name="Normal 8 3 2 3 3 3 2" xfId="14133" xr:uid="{4BA406E6-DA9E-4726-B1A8-61176DC6CC84}"/>
    <cellStyle name="Normal 8 3 2 3 3 3 3" xfId="22573" xr:uid="{D13E9228-2421-4B4B-A154-39D33ECAC4E3}"/>
    <cellStyle name="Normal 8 3 2 3 3 4" xfId="9915" xr:uid="{EEF7CA64-F2C8-48FE-AEC4-A31068DC475F}"/>
    <cellStyle name="Normal 8 3 2 3 3 5" xfId="18356" xr:uid="{87DEBB39-6A81-42A8-BC08-7B6011A217C1}"/>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16691" xr:uid="{CA3D18B7-AA06-4133-9FA8-AF7B8FE706C0}"/>
    <cellStyle name="Normal 8 3 2 3 4 2 2 3" xfId="25131" xr:uid="{39656A7E-D72C-46D3-A875-0BDD210A2FC0}"/>
    <cellStyle name="Normal 8 3 2 3 4 2 3" xfId="12473" xr:uid="{66DAB382-8B05-4DB4-8E2B-83EDFB723535}"/>
    <cellStyle name="Normal 8 3 2 3 4 2 4" xfId="20914" xr:uid="{6666B128-4286-48FE-BEE7-3E7BF6C969B0}"/>
    <cellStyle name="Normal 8 3 2 3 4 3" xfId="6104" xr:uid="{00000000-0005-0000-0000-0000661D0000}"/>
    <cellStyle name="Normal 8 3 2 3 4 3 2" xfId="14546" xr:uid="{E2C0537A-9C12-4F28-A8BF-C156D02C26D4}"/>
    <cellStyle name="Normal 8 3 2 3 4 3 3" xfId="22986" xr:uid="{F3C1922B-3779-4CE4-9A21-6BB142E21BAD}"/>
    <cellStyle name="Normal 8 3 2 3 4 4" xfId="10328" xr:uid="{F9C4149B-1BCE-4BA2-978D-EB98036308F4}"/>
    <cellStyle name="Normal 8 3 2 3 4 5" xfId="18769" xr:uid="{5A473342-D06E-48A2-B178-23405408AE43}"/>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17104" xr:uid="{F1B1749C-0B90-45AE-91DD-889AC5D2D317}"/>
    <cellStyle name="Normal 8 3 2 3 5 2 2 3" xfId="25544" xr:uid="{BFCE84FD-5DD5-4E0E-93AC-A2517293565C}"/>
    <cellStyle name="Normal 8 3 2 3 5 2 3" xfId="12886" xr:uid="{F9E46E35-00D3-4233-94D3-1DA647D07B3F}"/>
    <cellStyle name="Normal 8 3 2 3 5 2 4" xfId="21327" xr:uid="{BA218564-D392-49D2-AD4A-EDF3571EBA83}"/>
    <cellStyle name="Normal 8 3 2 3 5 3" xfId="6517" xr:uid="{00000000-0005-0000-0000-00006A1D0000}"/>
    <cellStyle name="Normal 8 3 2 3 5 3 2" xfId="14959" xr:uid="{5696EC54-02B3-486E-9320-DAF204248D5B}"/>
    <cellStyle name="Normal 8 3 2 3 5 3 3" xfId="23399" xr:uid="{BDBA130E-2EBE-4DD2-A9BC-35FD6BF8A253}"/>
    <cellStyle name="Normal 8 3 2 3 5 4" xfId="10741" xr:uid="{2C358678-A64D-4615-A0E2-CE71E68869C4}"/>
    <cellStyle name="Normal 8 3 2 3 5 5" xfId="19182" xr:uid="{C4F7C12A-3E22-4985-9804-070D2F2EE7D4}"/>
    <cellStyle name="Normal 8 3 2 3 6" xfId="2646" xr:uid="{00000000-0005-0000-0000-00006B1D0000}"/>
    <cellStyle name="Normal 8 3 2 3 6 2" xfId="6930" xr:uid="{00000000-0005-0000-0000-00006C1D0000}"/>
    <cellStyle name="Normal 8 3 2 3 6 2 2" xfId="15372" xr:uid="{8192C357-842B-4C61-8942-B15E2E9A5AD9}"/>
    <cellStyle name="Normal 8 3 2 3 6 2 3" xfId="23812" xr:uid="{1E6D10E8-1745-4FEB-AC4E-AE458F02265A}"/>
    <cellStyle name="Normal 8 3 2 3 6 3" xfId="11154" xr:uid="{6E67C4A6-08CA-469C-9C55-489B9833307E}"/>
    <cellStyle name="Normal 8 3 2 3 6 4" xfId="19595" xr:uid="{C4323740-74B1-4E20-8F3C-740560392B4E}"/>
    <cellStyle name="Normal 8 3 2 3 7" xfId="4865" xr:uid="{00000000-0005-0000-0000-00006D1D0000}"/>
    <cellStyle name="Normal 8 3 2 3 7 2" xfId="13307" xr:uid="{F3C8264A-B7B9-44DC-B69E-16C8487DBDCF}"/>
    <cellStyle name="Normal 8 3 2 3 7 3" xfId="21747" xr:uid="{5642CC74-5C0C-4D9C-9BD7-B3C63994AF90}"/>
    <cellStyle name="Normal 8 3 2 3 8" xfId="9089" xr:uid="{1190789A-1E91-4A93-BDE5-44E645274158}"/>
    <cellStyle name="Normal 8 3 2 3 9" xfId="17530" xr:uid="{C61270AA-1D79-445D-8585-C1EC120FE2E5}"/>
    <cellStyle name="Normal 8 3 2 4" xfId="963" xr:uid="{00000000-0005-0000-0000-00006E1D0000}"/>
    <cellStyle name="Normal 8 3 2 4 2" xfId="3197" xr:uid="{00000000-0005-0000-0000-00006F1D0000}"/>
    <cellStyle name="Normal 8 3 2 4 2 2" xfId="7420" xr:uid="{00000000-0005-0000-0000-0000701D0000}"/>
    <cellStyle name="Normal 8 3 2 4 2 2 2" xfId="15862" xr:uid="{FC6D618E-4171-4B22-B7A7-F4E20F6F3A80}"/>
    <cellStyle name="Normal 8 3 2 4 2 2 3" xfId="24302" xr:uid="{D52A68A1-34FD-4294-88E5-63C0498C4D03}"/>
    <cellStyle name="Normal 8 3 2 4 2 3" xfId="11644" xr:uid="{EE21901D-9501-47EF-829B-067D0C5B7709}"/>
    <cellStyle name="Normal 8 3 2 4 2 4" xfId="20085" xr:uid="{6A978A41-5D84-443C-847D-47DFBE0DDA70}"/>
    <cellStyle name="Normal 8 3 2 4 3" xfId="5275" xr:uid="{00000000-0005-0000-0000-0000711D0000}"/>
    <cellStyle name="Normal 8 3 2 4 3 2" xfId="13717" xr:uid="{A7615F67-8390-412C-995B-F9B089F61DE6}"/>
    <cellStyle name="Normal 8 3 2 4 3 3" xfId="22157" xr:uid="{5BC88E69-09CD-42D3-8B8A-4DF1A1C3D36F}"/>
    <cellStyle name="Normal 8 3 2 4 4" xfId="9499" xr:uid="{799A80A3-1371-4A0F-BFA5-FE8CEBF3680C}"/>
    <cellStyle name="Normal 8 3 2 4 5" xfId="17940" xr:uid="{2F7E6856-E726-458E-9467-F0E5446A5932}"/>
    <cellStyle name="Normal 8 3 2 5" xfId="1380" xr:uid="{00000000-0005-0000-0000-0000721D0000}"/>
    <cellStyle name="Normal 8 3 2 5 2" xfId="3610" xr:uid="{00000000-0005-0000-0000-0000731D0000}"/>
    <cellStyle name="Normal 8 3 2 5 2 2" xfId="7833" xr:uid="{00000000-0005-0000-0000-0000741D0000}"/>
    <cellStyle name="Normal 8 3 2 5 2 2 2" xfId="16275" xr:uid="{BA210FE3-A5F4-4C9F-9583-10A2924585C0}"/>
    <cellStyle name="Normal 8 3 2 5 2 2 3" xfId="24715" xr:uid="{8644DA57-FC29-480F-A780-CCD353D45F52}"/>
    <cellStyle name="Normal 8 3 2 5 2 3" xfId="12057" xr:uid="{F3BCC7E4-9609-49EC-9A4B-B3E2452C04A1}"/>
    <cellStyle name="Normal 8 3 2 5 2 4" xfId="20498" xr:uid="{A7D18CB2-BB80-4ECE-9697-B7B73B5952A9}"/>
    <cellStyle name="Normal 8 3 2 5 3" xfId="5688" xr:uid="{00000000-0005-0000-0000-0000751D0000}"/>
    <cellStyle name="Normal 8 3 2 5 3 2" xfId="14130" xr:uid="{6F613A10-E9A2-4D65-9D69-8B07F83E78CB}"/>
    <cellStyle name="Normal 8 3 2 5 3 3" xfId="22570" xr:uid="{3019C6E3-0B9C-4177-8E39-E5236AF583BE}"/>
    <cellStyle name="Normal 8 3 2 5 4" xfId="9912" xr:uid="{D4D572B6-02A9-45BE-8058-701929721B8F}"/>
    <cellStyle name="Normal 8 3 2 5 5" xfId="18353" xr:uid="{C5EFBFC1-F005-443C-AA1D-95669DF9F5A9}"/>
    <cellStyle name="Normal 8 3 2 6" xfId="1793" xr:uid="{00000000-0005-0000-0000-0000761D0000}"/>
    <cellStyle name="Normal 8 3 2 6 2" xfId="4023" xr:uid="{00000000-0005-0000-0000-0000771D0000}"/>
    <cellStyle name="Normal 8 3 2 6 2 2" xfId="8246" xr:uid="{00000000-0005-0000-0000-0000781D0000}"/>
    <cellStyle name="Normal 8 3 2 6 2 2 2" xfId="16688" xr:uid="{75FDA33E-0DB7-4A25-82D6-2577B69A61E8}"/>
    <cellStyle name="Normal 8 3 2 6 2 2 3" xfId="25128" xr:uid="{CDD2EC68-B2ED-4C15-A6AB-5E4847C6CC16}"/>
    <cellStyle name="Normal 8 3 2 6 2 3" xfId="12470" xr:uid="{59596B44-A1A7-473D-9FDF-B0425D6EC15F}"/>
    <cellStyle name="Normal 8 3 2 6 2 4" xfId="20911" xr:uid="{B0A78256-574B-4CAB-AFBA-23042175C66F}"/>
    <cellStyle name="Normal 8 3 2 6 3" xfId="6101" xr:uid="{00000000-0005-0000-0000-0000791D0000}"/>
    <cellStyle name="Normal 8 3 2 6 3 2" xfId="14543" xr:uid="{5196AD5A-9BFA-4532-BAA0-438F100ABCE7}"/>
    <cellStyle name="Normal 8 3 2 6 3 3" xfId="22983" xr:uid="{656509D7-F36B-4320-8608-B1CB2A4222EF}"/>
    <cellStyle name="Normal 8 3 2 6 4" xfId="10325" xr:uid="{97563A04-5137-4A61-9912-C6DBD65B512F}"/>
    <cellStyle name="Normal 8 3 2 6 5" xfId="18766" xr:uid="{8C87B543-BF24-4810-BDBA-9308DF9F477D}"/>
    <cellStyle name="Normal 8 3 2 7" xfId="2207" xr:uid="{00000000-0005-0000-0000-00007A1D0000}"/>
    <cellStyle name="Normal 8 3 2 7 2" xfId="4436" xr:uid="{00000000-0005-0000-0000-00007B1D0000}"/>
    <cellStyle name="Normal 8 3 2 7 2 2" xfId="8659" xr:uid="{00000000-0005-0000-0000-00007C1D0000}"/>
    <cellStyle name="Normal 8 3 2 7 2 2 2" xfId="17101" xr:uid="{3FDEEB8D-BD4D-4B68-94BE-D1027811E521}"/>
    <cellStyle name="Normal 8 3 2 7 2 2 3" xfId="25541" xr:uid="{25BBA568-857B-4536-AF30-79B039055792}"/>
    <cellStyle name="Normal 8 3 2 7 2 3" xfId="12883" xr:uid="{7EC83F0A-CF67-4AE0-9447-CB43F4CC5BDC}"/>
    <cellStyle name="Normal 8 3 2 7 2 4" xfId="21324" xr:uid="{E2E97A34-D6A3-42FB-BD68-121CED2ADF5E}"/>
    <cellStyle name="Normal 8 3 2 7 3" xfId="6514" xr:uid="{00000000-0005-0000-0000-00007D1D0000}"/>
    <cellStyle name="Normal 8 3 2 7 3 2" xfId="14956" xr:uid="{1E406C36-28ED-4D3A-AF87-554E9D1A5EF0}"/>
    <cellStyle name="Normal 8 3 2 7 3 3" xfId="23396" xr:uid="{ECA476D8-DF86-423B-85BE-B83183CC3C2D}"/>
    <cellStyle name="Normal 8 3 2 7 4" xfId="10738" xr:uid="{51804270-54FD-4FF8-ADA0-B8F8A97242C3}"/>
    <cellStyle name="Normal 8 3 2 7 5" xfId="19179" xr:uid="{BBADF7C5-758B-4207-92D8-F5B12B8AA17C}"/>
    <cellStyle name="Normal 8 3 2 8" xfId="2643" xr:uid="{00000000-0005-0000-0000-00007E1D0000}"/>
    <cellStyle name="Normal 8 3 2 8 2" xfId="6927" xr:uid="{00000000-0005-0000-0000-00007F1D0000}"/>
    <cellStyle name="Normal 8 3 2 8 2 2" xfId="15369" xr:uid="{7070A5A0-C2E0-4177-89FF-12235D6D7D96}"/>
    <cellStyle name="Normal 8 3 2 8 2 3" xfId="23809" xr:uid="{3AA6B095-D891-43DC-982E-9749745625FA}"/>
    <cellStyle name="Normal 8 3 2 8 3" xfId="11151" xr:uid="{B50E54A4-0BE6-4452-A296-D5ACDD639F86}"/>
    <cellStyle name="Normal 8 3 2 8 4" xfId="19592" xr:uid="{D3588E86-ECA0-446C-B0C3-9E5C4DCC1D9C}"/>
    <cellStyle name="Normal 8 3 2 9" xfId="4862" xr:uid="{00000000-0005-0000-0000-0000801D0000}"/>
    <cellStyle name="Normal 8 3 2 9 2" xfId="13304" xr:uid="{98DC8DB7-BE26-4BF3-B563-E1C45FF482DD}"/>
    <cellStyle name="Normal 8 3 2 9 3" xfId="21744" xr:uid="{531A5474-FC3F-475C-BDF4-1B53169B0105}"/>
    <cellStyle name="Normal 8 3 3" xfId="500" xr:uid="{00000000-0005-0000-0000-0000811D0000}"/>
    <cellStyle name="Normal 8 3 3 10" xfId="17531" xr:uid="{9D611215-1F7A-4E85-B0F4-D914DA891367}"/>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15867" xr:uid="{2536EF67-5CD0-4F49-B06A-A2DE89709CBC}"/>
    <cellStyle name="Normal 8 3 3 2 2 2 2 3" xfId="24307" xr:uid="{250FAA5C-645E-4C74-8AA8-FC4C317B0929}"/>
    <cellStyle name="Normal 8 3 3 2 2 2 3" xfId="11649" xr:uid="{61408C50-5271-4D1D-BDEE-B3E3663B16D5}"/>
    <cellStyle name="Normal 8 3 3 2 2 2 4" xfId="20090" xr:uid="{5B05E3E9-19BA-4BF5-926E-4733FD4EC1E9}"/>
    <cellStyle name="Normal 8 3 3 2 2 3" xfId="5280" xr:uid="{00000000-0005-0000-0000-0000861D0000}"/>
    <cellStyle name="Normal 8 3 3 2 2 3 2" xfId="13722" xr:uid="{5319F843-0FEE-46B2-BCE4-E143BFD16025}"/>
    <cellStyle name="Normal 8 3 3 2 2 3 3" xfId="22162" xr:uid="{5A502148-414C-4127-9264-5BA0F76A47BC}"/>
    <cellStyle name="Normal 8 3 3 2 2 4" xfId="9504" xr:uid="{204BC70E-34FA-4551-A695-34D9DD8A9B0E}"/>
    <cellStyle name="Normal 8 3 3 2 2 5" xfId="17945" xr:uid="{1B8FCEFD-A6A9-4394-A6FB-8DC0FD598053}"/>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16280" xr:uid="{7D553095-EB78-47EA-A196-13ACB0159073}"/>
    <cellStyle name="Normal 8 3 3 2 3 2 2 3" xfId="24720" xr:uid="{8D16FD18-334F-43B3-880F-1D4C39C5F5EC}"/>
    <cellStyle name="Normal 8 3 3 2 3 2 3" xfId="12062" xr:uid="{3C8724AA-F7EC-459D-A7E9-57E60F63B253}"/>
    <cellStyle name="Normal 8 3 3 2 3 2 4" xfId="20503" xr:uid="{9BCF3952-AA1D-4D40-B913-5901CC39DDE6}"/>
    <cellStyle name="Normal 8 3 3 2 3 3" xfId="5693" xr:uid="{00000000-0005-0000-0000-00008A1D0000}"/>
    <cellStyle name="Normal 8 3 3 2 3 3 2" xfId="14135" xr:uid="{7203199B-20FF-43F8-9F3D-D7E52460E117}"/>
    <cellStyle name="Normal 8 3 3 2 3 3 3" xfId="22575" xr:uid="{408CF86D-EBBE-4B6F-9303-6B9E2E4BB6A4}"/>
    <cellStyle name="Normal 8 3 3 2 3 4" xfId="9917" xr:uid="{A07C8382-F248-4C77-89AE-79624E350F70}"/>
    <cellStyle name="Normal 8 3 3 2 3 5" xfId="18358" xr:uid="{E4FC9186-F723-4723-85A9-8DE8725C6A9D}"/>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16693" xr:uid="{C8AE0699-8CF1-4DCD-8AF8-6BB0C851B019}"/>
    <cellStyle name="Normal 8 3 3 2 4 2 2 3" xfId="25133" xr:uid="{86761882-5C88-49CB-A115-9EC6F6582ED1}"/>
    <cellStyle name="Normal 8 3 3 2 4 2 3" xfId="12475" xr:uid="{D1249F8D-62D2-4176-9CA8-25EE6DE09A6A}"/>
    <cellStyle name="Normal 8 3 3 2 4 2 4" xfId="20916" xr:uid="{98BBAF81-1583-4CC4-9CBF-E5D7F447619F}"/>
    <cellStyle name="Normal 8 3 3 2 4 3" xfId="6106" xr:uid="{00000000-0005-0000-0000-00008E1D0000}"/>
    <cellStyle name="Normal 8 3 3 2 4 3 2" xfId="14548" xr:uid="{155917DB-4B35-460A-947D-C5BAC8B5AB4F}"/>
    <cellStyle name="Normal 8 3 3 2 4 3 3" xfId="22988" xr:uid="{DAEDA63F-8004-4F02-AE42-17A75CCDFE68}"/>
    <cellStyle name="Normal 8 3 3 2 4 4" xfId="10330" xr:uid="{7A256AE2-4F5D-4033-9141-F22DC4D2BCD1}"/>
    <cellStyle name="Normal 8 3 3 2 4 5" xfId="18771" xr:uid="{F17386F3-C99F-4E54-A3EA-EB2A79B37216}"/>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17106" xr:uid="{D9E796C1-CF49-4268-9D61-13E8DFF049A8}"/>
    <cellStyle name="Normal 8 3 3 2 5 2 2 3" xfId="25546" xr:uid="{48F7939B-BCD9-4EA0-8365-24E84DA57EFF}"/>
    <cellStyle name="Normal 8 3 3 2 5 2 3" xfId="12888" xr:uid="{D0264D60-70EA-4C88-95C9-8F38B5EFBBAA}"/>
    <cellStyle name="Normal 8 3 3 2 5 2 4" xfId="21329" xr:uid="{584C0C74-0B30-4BC4-8BE3-1E577E39637C}"/>
    <cellStyle name="Normal 8 3 3 2 5 3" xfId="6519" xr:uid="{00000000-0005-0000-0000-0000921D0000}"/>
    <cellStyle name="Normal 8 3 3 2 5 3 2" xfId="14961" xr:uid="{2C5DCC17-FF20-482F-831B-E523F680ED1D}"/>
    <cellStyle name="Normal 8 3 3 2 5 3 3" xfId="23401" xr:uid="{60A3D2B2-F495-4D92-9BDB-54BB7DF9253D}"/>
    <cellStyle name="Normal 8 3 3 2 5 4" xfId="10743" xr:uid="{8DF1B618-1AD0-40BF-BC62-4C5C9505CD01}"/>
    <cellStyle name="Normal 8 3 3 2 5 5" xfId="19184" xr:uid="{E489B1B5-1B7D-46A1-BF64-D233BF766AEE}"/>
    <cellStyle name="Normal 8 3 3 2 6" xfId="2648" xr:uid="{00000000-0005-0000-0000-0000931D0000}"/>
    <cellStyle name="Normal 8 3 3 2 6 2" xfId="6932" xr:uid="{00000000-0005-0000-0000-0000941D0000}"/>
    <cellStyle name="Normal 8 3 3 2 6 2 2" xfId="15374" xr:uid="{DA25B9B1-7E69-418A-88EF-FCF6F9786FFC}"/>
    <cellStyle name="Normal 8 3 3 2 6 2 3" xfId="23814" xr:uid="{FDC846D0-216E-4F24-9B6A-78A9997CDB92}"/>
    <cellStyle name="Normal 8 3 3 2 6 3" xfId="11156" xr:uid="{35C3F1F9-1F4F-4260-8CD2-ABF5FEF2078F}"/>
    <cellStyle name="Normal 8 3 3 2 6 4" xfId="19597" xr:uid="{EA2FB28E-94CC-45F8-8E99-6FD5B45D7974}"/>
    <cellStyle name="Normal 8 3 3 2 7" xfId="4867" xr:uid="{00000000-0005-0000-0000-0000951D0000}"/>
    <cellStyle name="Normal 8 3 3 2 7 2" xfId="13309" xr:uid="{EAFA2C49-81BA-4CA8-8D4F-80A7B35259A9}"/>
    <cellStyle name="Normal 8 3 3 2 7 3" xfId="21749" xr:uid="{8C7ACC78-1514-4748-9A6D-66A78D22F0B6}"/>
    <cellStyle name="Normal 8 3 3 2 8" xfId="9091" xr:uid="{42B937A9-A087-4366-BA91-3156D14BC8A8}"/>
    <cellStyle name="Normal 8 3 3 2 9" xfId="17532" xr:uid="{B9E82881-B726-4AAE-B4D8-F3F37CBCAD96}"/>
    <cellStyle name="Normal 8 3 3 3" xfId="967" xr:uid="{00000000-0005-0000-0000-0000961D0000}"/>
    <cellStyle name="Normal 8 3 3 3 2" xfId="3201" xr:uid="{00000000-0005-0000-0000-0000971D0000}"/>
    <cellStyle name="Normal 8 3 3 3 2 2" xfId="7424" xr:uid="{00000000-0005-0000-0000-0000981D0000}"/>
    <cellStyle name="Normal 8 3 3 3 2 2 2" xfId="15866" xr:uid="{D7E8B958-6996-4272-9041-7DE80814C8C5}"/>
    <cellStyle name="Normal 8 3 3 3 2 2 3" xfId="24306" xr:uid="{3D3DBE6E-02EE-44A8-AA31-81B69C641A4D}"/>
    <cellStyle name="Normal 8 3 3 3 2 3" xfId="11648" xr:uid="{0F817F6F-2719-4DEE-84A1-5312BCEA7403}"/>
    <cellStyle name="Normal 8 3 3 3 2 4" xfId="20089" xr:uid="{E4873517-37E0-4EBB-BEA6-DFC682E15583}"/>
    <cellStyle name="Normal 8 3 3 3 3" xfId="5279" xr:uid="{00000000-0005-0000-0000-0000991D0000}"/>
    <cellStyle name="Normal 8 3 3 3 3 2" xfId="13721" xr:uid="{0F329617-EDC5-4F07-B950-671FB914836C}"/>
    <cellStyle name="Normal 8 3 3 3 3 3" xfId="22161" xr:uid="{7150FCD7-4ECF-475D-B07D-AA88CE4EB177}"/>
    <cellStyle name="Normal 8 3 3 3 4" xfId="9503" xr:uid="{F569AFEC-A8FA-4635-8B74-32A2B57DCC57}"/>
    <cellStyle name="Normal 8 3 3 3 5" xfId="17944" xr:uid="{FDA57048-F1D0-4A12-BA34-B525288A8245}"/>
    <cellStyle name="Normal 8 3 3 4" xfId="1384" xr:uid="{00000000-0005-0000-0000-00009A1D0000}"/>
    <cellStyle name="Normal 8 3 3 4 2" xfId="3614" xr:uid="{00000000-0005-0000-0000-00009B1D0000}"/>
    <cellStyle name="Normal 8 3 3 4 2 2" xfId="7837" xr:uid="{00000000-0005-0000-0000-00009C1D0000}"/>
    <cellStyle name="Normal 8 3 3 4 2 2 2" xfId="16279" xr:uid="{F94BE43E-7F63-4697-A53C-5165D77B3B63}"/>
    <cellStyle name="Normal 8 3 3 4 2 2 3" xfId="24719" xr:uid="{85AAE551-0EC9-4BE4-815B-79A24E6E152C}"/>
    <cellStyle name="Normal 8 3 3 4 2 3" xfId="12061" xr:uid="{55C653F2-79E0-470E-8D24-3FB9A03F7F44}"/>
    <cellStyle name="Normal 8 3 3 4 2 4" xfId="20502" xr:uid="{2B5BE46C-813B-4E35-93CA-951F6EB3873D}"/>
    <cellStyle name="Normal 8 3 3 4 3" xfId="5692" xr:uid="{00000000-0005-0000-0000-00009D1D0000}"/>
    <cellStyle name="Normal 8 3 3 4 3 2" xfId="14134" xr:uid="{40FD8485-4E0E-4713-9B3D-1E1FE4C8A313}"/>
    <cellStyle name="Normal 8 3 3 4 3 3" xfId="22574" xr:uid="{779FD0A1-2239-4131-B108-A5DA77915A29}"/>
    <cellStyle name="Normal 8 3 3 4 4" xfId="9916" xr:uid="{1C2A190D-A856-4BF2-B446-83B9130162C2}"/>
    <cellStyle name="Normal 8 3 3 4 5" xfId="18357" xr:uid="{0AEE4DE7-97F5-4B0D-99DD-F5B5EFCE12D5}"/>
    <cellStyle name="Normal 8 3 3 5" xfId="1797" xr:uid="{00000000-0005-0000-0000-00009E1D0000}"/>
    <cellStyle name="Normal 8 3 3 5 2" xfId="4027" xr:uid="{00000000-0005-0000-0000-00009F1D0000}"/>
    <cellStyle name="Normal 8 3 3 5 2 2" xfId="8250" xr:uid="{00000000-0005-0000-0000-0000A01D0000}"/>
    <cellStyle name="Normal 8 3 3 5 2 2 2" xfId="16692" xr:uid="{E183B0FC-42A8-412E-B9CF-2B83210F20E8}"/>
    <cellStyle name="Normal 8 3 3 5 2 2 3" xfId="25132" xr:uid="{4AE6BCBE-15C1-4367-BB0D-FAC6095F6898}"/>
    <cellStyle name="Normal 8 3 3 5 2 3" xfId="12474" xr:uid="{292A3D6E-6637-459C-A3B1-E447A4794257}"/>
    <cellStyle name="Normal 8 3 3 5 2 4" xfId="20915" xr:uid="{A6FE25D5-9568-4D69-A841-2969FCF2D576}"/>
    <cellStyle name="Normal 8 3 3 5 3" xfId="6105" xr:uid="{00000000-0005-0000-0000-0000A11D0000}"/>
    <cellStyle name="Normal 8 3 3 5 3 2" xfId="14547" xr:uid="{0B38E4EE-75EE-499E-9D8D-65B0B3BDA9B8}"/>
    <cellStyle name="Normal 8 3 3 5 3 3" xfId="22987" xr:uid="{003223FC-CA30-44C3-813E-23313250F81B}"/>
    <cellStyle name="Normal 8 3 3 5 4" xfId="10329" xr:uid="{93E5B853-14C4-408D-979B-E41E59FFDA7C}"/>
    <cellStyle name="Normal 8 3 3 5 5" xfId="18770" xr:uid="{9F17FA21-2F0A-415D-AEF6-98C1A7F43220}"/>
    <cellStyle name="Normal 8 3 3 6" xfId="2211" xr:uid="{00000000-0005-0000-0000-0000A21D0000}"/>
    <cellStyle name="Normal 8 3 3 6 2" xfId="4440" xr:uid="{00000000-0005-0000-0000-0000A31D0000}"/>
    <cellStyle name="Normal 8 3 3 6 2 2" xfId="8663" xr:uid="{00000000-0005-0000-0000-0000A41D0000}"/>
    <cellStyle name="Normal 8 3 3 6 2 2 2" xfId="17105" xr:uid="{8585F7A1-6EC9-4E75-933A-CB58AE64A700}"/>
    <cellStyle name="Normal 8 3 3 6 2 2 3" xfId="25545" xr:uid="{9FFAB82D-E07E-4C87-89DD-305564811C3E}"/>
    <cellStyle name="Normal 8 3 3 6 2 3" xfId="12887" xr:uid="{03AF516C-6288-4D21-A857-F92C1881F360}"/>
    <cellStyle name="Normal 8 3 3 6 2 4" xfId="21328" xr:uid="{AAE286CC-3760-4F90-8461-484FCDFC01F2}"/>
    <cellStyle name="Normal 8 3 3 6 3" xfId="6518" xr:uid="{00000000-0005-0000-0000-0000A51D0000}"/>
    <cellStyle name="Normal 8 3 3 6 3 2" xfId="14960" xr:uid="{C5C86F7E-D037-426A-8A9E-81C25998F6A8}"/>
    <cellStyle name="Normal 8 3 3 6 3 3" xfId="23400" xr:uid="{84AFC8B6-FBEE-4762-B236-EB1D9C55D715}"/>
    <cellStyle name="Normal 8 3 3 6 4" xfId="10742" xr:uid="{C4B5E73D-7BD8-47FB-A202-EB9A350CFE59}"/>
    <cellStyle name="Normal 8 3 3 6 5" xfId="19183" xr:uid="{AFEEA4BC-FCAD-4E3C-AB4A-F09A68C9EB3B}"/>
    <cellStyle name="Normal 8 3 3 7" xfId="2647" xr:uid="{00000000-0005-0000-0000-0000A61D0000}"/>
    <cellStyle name="Normal 8 3 3 7 2" xfId="6931" xr:uid="{00000000-0005-0000-0000-0000A71D0000}"/>
    <cellStyle name="Normal 8 3 3 7 2 2" xfId="15373" xr:uid="{A4189E50-9ADA-49B7-ADEC-EC3B5236E296}"/>
    <cellStyle name="Normal 8 3 3 7 2 3" xfId="23813" xr:uid="{486D39E4-ECD1-4801-9533-B89F55BFC75C}"/>
    <cellStyle name="Normal 8 3 3 7 3" xfId="11155" xr:uid="{A3E6FC19-EDED-4CDA-8175-06E3663C5F68}"/>
    <cellStyle name="Normal 8 3 3 7 4" xfId="19596" xr:uid="{1A456861-7633-443E-8424-5FFB6059E668}"/>
    <cellStyle name="Normal 8 3 3 8" xfId="4866" xr:uid="{00000000-0005-0000-0000-0000A81D0000}"/>
    <cellStyle name="Normal 8 3 3 8 2" xfId="13308" xr:uid="{CDE51234-1CAF-4DA7-B3CE-9AF917F85E24}"/>
    <cellStyle name="Normal 8 3 3 8 3" xfId="21748" xr:uid="{E835C088-E7FE-4909-A1E1-A8865DE02DD7}"/>
    <cellStyle name="Normal 8 3 3 9" xfId="9090" xr:uid="{15FAD63E-5C23-4BD3-B9AD-9E328B93A4B1}"/>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2 2 2" xfId="15868" xr:uid="{B16131E2-1D32-40F2-A523-0CA1418765EC}"/>
    <cellStyle name="Normal 8 3 4 2 2 2 3" xfId="24308" xr:uid="{6D4F7E31-415D-48D0-8F43-3D76ED8E6C3C}"/>
    <cellStyle name="Normal 8 3 4 2 2 3" xfId="11650" xr:uid="{A437E4EB-56B5-4EA7-B3B3-552A33643910}"/>
    <cellStyle name="Normal 8 3 4 2 2 4" xfId="20091" xr:uid="{09A790DF-8197-4558-AC4A-C5511AADCB1C}"/>
    <cellStyle name="Normal 8 3 4 2 3" xfId="5281" xr:uid="{00000000-0005-0000-0000-0000AD1D0000}"/>
    <cellStyle name="Normal 8 3 4 2 3 2" xfId="13723" xr:uid="{ADA5BC96-8196-45A8-90D5-DC49345CFC64}"/>
    <cellStyle name="Normal 8 3 4 2 3 3" xfId="22163" xr:uid="{BF5F26D4-698D-46A6-A00C-6B144004DD00}"/>
    <cellStyle name="Normal 8 3 4 2 4" xfId="9505" xr:uid="{717CD9F9-D2EF-4AB7-981B-C9D6BFD7C203}"/>
    <cellStyle name="Normal 8 3 4 2 5" xfId="17946" xr:uid="{09F21C6F-39B4-4E31-95FD-783DFEA72DFE}"/>
    <cellStyle name="Normal 8 3 4 3" xfId="1386" xr:uid="{00000000-0005-0000-0000-0000AE1D0000}"/>
    <cellStyle name="Normal 8 3 4 3 2" xfId="3616" xr:uid="{00000000-0005-0000-0000-0000AF1D0000}"/>
    <cellStyle name="Normal 8 3 4 3 2 2" xfId="7839" xr:uid="{00000000-0005-0000-0000-0000B01D0000}"/>
    <cellStyle name="Normal 8 3 4 3 2 2 2" xfId="16281" xr:uid="{5C450F08-D6ED-431A-900E-B9B939B4D01B}"/>
    <cellStyle name="Normal 8 3 4 3 2 2 3" xfId="24721" xr:uid="{1C0E1F41-0515-4C91-AFC7-3CA8CE451B93}"/>
    <cellStyle name="Normal 8 3 4 3 2 3" xfId="12063" xr:uid="{3FAE990A-A23C-46F2-A8F5-D21CCF714CC2}"/>
    <cellStyle name="Normal 8 3 4 3 2 4" xfId="20504" xr:uid="{8488651E-A191-4A1A-8D21-64709D443020}"/>
    <cellStyle name="Normal 8 3 4 3 3" xfId="5694" xr:uid="{00000000-0005-0000-0000-0000B11D0000}"/>
    <cellStyle name="Normal 8 3 4 3 3 2" xfId="14136" xr:uid="{01FB8422-D7F8-4DE1-903A-D2C004F34D1E}"/>
    <cellStyle name="Normal 8 3 4 3 3 3" xfId="22576" xr:uid="{8877F01A-80CC-4BC6-BAB3-7AAEDD4E4108}"/>
    <cellStyle name="Normal 8 3 4 3 4" xfId="9918" xr:uid="{14C37009-D245-4C3E-BCC9-C09F0068FC59}"/>
    <cellStyle name="Normal 8 3 4 3 5" xfId="18359" xr:uid="{57E7253E-7C65-41E6-979A-A748CEF1969B}"/>
    <cellStyle name="Normal 8 3 4 4" xfId="1799" xr:uid="{00000000-0005-0000-0000-0000B21D0000}"/>
    <cellStyle name="Normal 8 3 4 4 2" xfId="4029" xr:uid="{00000000-0005-0000-0000-0000B31D0000}"/>
    <cellStyle name="Normal 8 3 4 4 2 2" xfId="8252" xr:uid="{00000000-0005-0000-0000-0000B41D0000}"/>
    <cellStyle name="Normal 8 3 4 4 2 2 2" xfId="16694" xr:uid="{0BFFB326-A06B-4FA9-94BC-FE8A47F4B542}"/>
    <cellStyle name="Normal 8 3 4 4 2 2 3" xfId="25134" xr:uid="{E4861985-F792-4166-9377-3A6F96506261}"/>
    <cellStyle name="Normal 8 3 4 4 2 3" xfId="12476" xr:uid="{B9D3FA3D-C0C1-4694-AF28-9BD58C807BDB}"/>
    <cellStyle name="Normal 8 3 4 4 2 4" xfId="20917" xr:uid="{6372927E-9832-4753-8E58-AFAA74C3134C}"/>
    <cellStyle name="Normal 8 3 4 4 3" xfId="6107" xr:uid="{00000000-0005-0000-0000-0000B51D0000}"/>
    <cellStyle name="Normal 8 3 4 4 3 2" xfId="14549" xr:uid="{8D6436C8-1296-455D-8D35-948CA76912FD}"/>
    <cellStyle name="Normal 8 3 4 4 3 3" xfId="22989" xr:uid="{53A53F9C-AD50-42E8-8512-8F9E31582B68}"/>
    <cellStyle name="Normal 8 3 4 4 4" xfId="10331" xr:uid="{24E6618E-42B2-4306-AB25-18E3784340BB}"/>
    <cellStyle name="Normal 8 3 4 4 5" xfId="18772" xr:uid="{E34A5860-CBBF-42FF-8BC4-5D28351EC0C8}"/>
    <cellStyle name="Normal 8 3 4 5" xfId="2213" xr:uid="{00000000-0005-0000-0000-0000B61D0000}"/>
    <cellStyle name="Normal 8 3 4 5 2" xfId="4442" xr:uid="{00000000-0005-0000-0000-0000B71D0000}"/>
    <cellStyle name="Normal 8 3 4 5 2 2" xfId="8665" xr:uid="{00000000-0005-0000-0000-0000B81D0000}"/>
    <cellStyle name="Normal 8 3 4 5 2 2 2" xfId="17107" xr:uid="{A019F5A6-4E51-4BF4-80CC-9E7384AACEB0}"/>
    <cellStyle name="Normal 8 3 4 5 2 2 3" xfId="25547" xr:uid="{37199C00-0B94-4A6A-8E45-C94CE07997B4}"/>
    <cellStyle name="Normal 8 3 4 5 2 3" xfId="12889" xr:uid="{953E688C-EAF0-44BE-AA9C-50DF37156E87}"/>
    <cellStyle name="Normal 8 3 4 5 2 4" xfId="21330" xr:uid="{E7EA8187-E500-467C-B1E3-0B1A7F5ADC9E}"/>
    <cellStyle name="Normal 8 3 4 5 3" xfId="6520" xr:uid="{00000000-0005-0000-0000-0000B91D0000}"/>
    <cellStyle name="Normal 8 3 4 5 3 2" xfId="14962" xr:uid="{6950368A-DF91-42CB-BD68-D85A8FFBB249}"/>
    <cellStyle name="Normal 8 3 4 5 3 3" xfId="23402" xr:uid="{E94F213B-9FDA-434B-B7E0-1AE550093534}"/>
    <cellStyle name="Normal 8 3 4 5 4" xfId="10744" xr:uid="{73B62F18-FE55-443F-8865-957558EA2DC7}"/>
    <cellStyle name="Normal 8 3 4 5 5" xfId="19185" xr:uid="{A80529D9-8913-4D35-8DFE-DB52E0878A88}"/>
    <cellStyle name="Normal 8 3 4 6" xfId="2649" xr:uid="{00000000-0005-0000-0000-0000BA1D0000}"/>
    <cellStyle name="Normal 8 3 4 6 2" xfId="6933" xr:uid="{00000000-0005-0000-0000-0000BB1D0000}"/>
    <cellStyle name="Normal 8 3 4 6 2 2" xfId="15375" xr:uid="{39D1DBCC-36DE-4F02-9557-41D4D9FE08F2}"/>
    <cellStyle name="Normal 8 3 4 6 2 3" xfId="23815" xr:uid="{2AE00F96-9E2C-4E32-A7BA-A53E5DB0370B}"/>
    <cellStyle name="Normal 8 3 4 6 3" xfId="11157" xr:uid="{ACE91485-00E4-4662-ABC4-B897749ECF29}"/>
    <cellStyle name="Normal 8 3 4 6 4" xfId="19598" xr:uid="{675E0D6F-2488-4BA6-907A-EFE56031F37E}"/>
    <cellStyle name="Normal 8 3 4 7" xfId="4868" xr:uid="{00000000-0005-0000-0000-0000BC1D0000}"/>
    <cellStyle name="Normal 8 3 4 7 2" xfId="13310" xr:uid="{C1F1F398-F100-424B-8447-F3CE9BC38C51}"/>
    <cellStyle name="Normal 8 3 4 7 3" xfId="21750" xr:uid="{EB69F3A0-BAA8-4BCE-A681-0139DB0E2D8E}"/>
    <cellStyle name="Normal 8 3 4 8" xfId="9092" xr:uid="{2150CDA1-58BA-435E-B599-613DA4DB7137}"/>
    <cellStyle name="Normal 8 3 4 9" xfId="17533" xr:uid="{5B156C74-77CD-41A2-80CC-655C81B3EA65}"/>
    <cellStyle name="Normal 8 3 5" xfId="962" xr:uid="{00000000-0005-0000-0000-0000BD1D0000}"/>
    <cellStyle name="Normal 8 3 5 2" xfId="3196" xr:uid="{00000000-0005-0000-0000-0000BE1D0000}"/>
    <cellStyle name="Normal 8 3 5 2 2" xfId="7419" xr:uid="{00000000-0005-0000-0000-0000BF1D0000}"/>
    <cellStyle name="Normal 8 3 5 2 2 2" xfId="15861" xr:uid="{4D0AAE28-1B0B-430E-868B-EA7CDCD61E5D}"/>
    <cellStyle name="Normal 8 3 5 2 2 3" xfId="24301" xr:uid="{FA21AF00-EACF-472E-988C-7E5ACA3F3264}"/>
    <cellStyle name="Normal 8 3 5 2 3" xfId="11643" xr:uid="{B493BE07-90AB-429A-AB86-819D6167BC87}"/>
    <cellStyle name="Normal 8 3 5 2 4" xfId="20084" xr:uid="{1448D5FD-7D1D-4810-8AD3-00C88C3F8C78}"/>
    <cellStyle name="Normal 8 3 5 3" xfId="5274" xr:uid="{00000000-0005-0000-0000-0000C01D0000}"/>
    <cellStyle name="Normal 8 3 5 3 2" xfId="13716" xr:uid="{7730AF42-7E63-46CB-856A-F17884012F8A}"/>
    <cellStyle name="Normal 8 3 5 3 3" xfId="22156" xr:uid="{2D927A3C-3876-4F82-9999-C66B553D071E}"/>
    <cellStyle name="Normal 8 3 5 4" xfId="9498" xr:uid="{79DB72A7-D0B7-4414-A182-36ABB62ADBEF}"/>
    <cellStyle name="Normal 8 3 5 5" xfId="17939" xr:uid="{73374400-DC91-41E9-84B8-A37ADD27DF26}"/>
    <cellStyle name="Normal 8 3 6" xfId="1379" xr:uid="{00000000-0005-0000-0000-0000C11D0000}"/>
    <cellStyle name="Normal 8 3 6 2" xfId="3609" xr:uid="{00000000-0005-0000-0000-0000C21D0000}"/>
    <cellStyle name="Normal 8 3 6 2 2" xfId="7832" xr:uid="{00000000-0005-0000-0000-0000C31D0000}"/>
    <cellStyle name="Normal 8 3 6 2 2 2" xfId="16274" xr:uid="{7AB2A72E-8C16-4A97-82A7-3D5B89B8F2C9}"/>
    <cellStyle name="Normal 8 3 6 2 2 3" xfId="24714" xr:uid="{90F0C492-2DB1-42A8-AD05-C6740C6166BD}"/>
    <cellStyle name="Normal 8 3 6 2 3" xfId="12056" xr:uid="{61782997-D272-4FF8-8A64-9E4ED1D16141}"/>
    <cellStyle name="Normal 8 3 6 2 4" xfId="20497" xr:uid="{E883F551-D1C5-421A-84BC-AB15E3710B81}"/>
    <cellStyle name="Normal 8 3 6 3" xfId="5687" xr:uid="{00000000-0005-0000-0000-0000C41D0000}"/>
    <cellStyle name="Normal 8 3 6 3 2" xfId="14129" xr:uid="{FFEE1682-A16F-47B4-9533-58C735D0C86C}"/>
    <cellStyle name="Normal 8 3 6 3 3" xfId="22569" xr:uid="{0568B301-0F85-4D2D-ADCB-2CB2D9894B10}"/>
    <cellStyle name="Normal 8 3 6 4" xfId="9911" xr:uid="{45CB11D6-4A0D-41D8-B5F9-0FBB9136CBD6}"/>
    <cellStyle name="Normal 8 3 6 5" xfId="18352" xr:uid="{E8728591-E80D-4586-9A75-DD3D68150063}"/>
    <cellStyle name="Normal 8 3 7" xfId="1792" xr:uid="{00000000-0005-0000-0000-0000C51D0000}"/>
    <cellStyle name="Normal 8 3 7 2" xfId="4022" xr:uid="{00000000-0005-0000-0000-0000C61D0000}"/>
    <cellStyle name="Normal 8 3 7 2 2" xfId="8245" xr:uid="{00000000-0005-0000-0000-0000C71D0000}"/>
    <cellStyle name="Normal 8 3 7 2 2 2" xfId="16687" xr:uid="{1C2F2572-924C-49CF-B2B9-F6085FD03776}"/>
    <cellStyle name="Normal 8 3 7 2 2 3" xfId="25127" xr:uid="{E183EC87-4FD3-416B-B21F-7279A4775B46}"/>
    <cellStyle name="Normal 8 3 7 2 3" xfId="12469" xr:uid="{8AC33CE0-D921-438E-A5FA-C6638064CDBA}"/>
    <cellStyle name="Normal 8 3 7 2 4" xfId="20910" xr:uid="{F14D86F0-80DC-4C65-B206-926F30F5DEE3}"/>
    <cellStyle name="Normal 8 3 7 3" xfId="6100" xr:uid="{00000000-0005-0000-0000-0000C81D0000}"/>
    <cellStyle name="Normal 8 3 7 3 2" xfId="14542" xr:uid="{11BA3255-C665-43BA-8038-5EB9AB769BB3}"/>
    <cellStyle name="Normal 8 3 7 3 3" xfId="22982" xr:uid="{C3652D08-3CA2-433A-AC3A-D49ADB5BB478}"/>
    <cellStyle name="Normal 8 3 7 4" xfId="10324" xr:uid="{6D78BC8D-B45A-47BC-A0E0-F03AD3242A67}"/>
    <cellStyle name="Normal 8 3 7 5" xfId="18765" xr:uid="{64EDB3FD-4315-4868-8B29-073CA9DB7B82}"/>
    <cellStyle name="Normal 8 3 8" xfId="2206" xr:uid="{00000000-0005-0000-0000-0000C91D0000}"/>
    <cellStyle name="Normal 8 3 8 2" xfId="4435" xr:uid="{00000000-0005-0000-0000-0000CA1D0000}"/>
    <cellStyle name="Normal 8 3 8 2 2" xfId="8658" xr:uid="{00000000-0005-0000-0000-0000CB1D0000}"/>
    <cellStyle name="Normal 8 3 8 2 2 2" xfId="17100" xr:uid="{2BFD7AD5-8CDE-48B5-9C89-7144D90CA63F}"/>
    <cellStyle name="Normal 8 3 8 2 2 3" xfId="25540" xr:uid="{C1966BCD-1FE4-4D33-A2D2-16CBC70B8B3B}"/>
    <cellStyle name="Normal 8 3 8 2 3" xfId="12882" xr:uid="{3F1010C3-4B6E-453B-92A0-8FB671B4BEFB}"/>
    <cellStyle name="Normal 8 3 8 2 4" xfId="21323" xr:uid="{326A6376-4121-4D86-817B-12F221FFCF76}"/>
    <cellStyle name="Normal 8 3 8 3" xfId="6513" xr:uid="{00000000-0005-0000-0000-0000CC1D0000}"/>
    <cellStyle name="Normal 8 3 8 3 2" xfId="14955" xr:uid="{B7E48340-F1DC-4888-960A-F8C464258906}"/>
    <cellStyle name="Normal 8 3 8 3 3" xfId="23395" xr:uid="{E974003E-6B94-4D46-8BD7-07B6B0EA1DB2}"/>
    <cellStyle name="Normal 8 3 8 4" xfId="10737" xr:uid="{B1E2EA55-0071-4CBE-BBCE-C0B9E7AC6372}"/>
    <cellStyle name="Normal 8 3 8 5" xfId="19178" xr:uid="{5D8D6216-E66A-49CC-BEC0-F900EE70D7D9}"/>
    <cellStyle name="Normal 8 3 9" xfId="2642" xr:uid="{00000000-0005-0000-0000-0000CD1D0000}"/>
    <cellStyle name="Normal 8 3 9 2" xfId="6926" xr:uid="{00000000-0005-0000-0000-0000CE1D0000}"/>
    <cellStyle name="Normal 8 3 9 2 2" xfId="15368" xr:uid="{D1A236BA-550A-4B43-80AC-9E2176BFD50E}"/>
    <cellStyle name="Normal 8 3 9 2 3" xfId="23808" xr:uid="{9064305C-4B8A-467C-87E5-3B2E95263DAF}"/>
    <cellStyle name="Normal 8 3 9 3" xfId="11150" xr:uid="{AD69F6E9-F525-4202-8DB4-421A9664E996}"/>
    <cellStyle name="Normal 8 3 9 4" xfId="19591" xr:uid="{EA2E8330-2EDB-46B8-B2B9-493196EFA2C9}"/>
    <cellStyle name="Normal 8 4" xfId="503" xr:uid="{00000000-0005-0000-0000-0000CF1D0000}"/>
    <cellStyle name="Normal 8 4 10" xfId="9093" xr:uid="{DBAA1A82-3E37-4D97-B692-FC0F0BA0A956}"/>
    <cellStyle name="Normal 8 4 11" xfId="17534" xr:uid="{BC1B46AF-D585-4355-A080-C894E08F95F5}"/>
    <cellStyle name="Normal 8 4 2" xfId="504" xr:uid="{00000000-0005-0000-0000-0000D01D0000}"/>
    <cellStyle name="Normal 8 4 2 10" xfId="17535" xr:uid="{8F0FD709-7FB4-4355-8580-27401991AE64}"/>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15871" xr:uid="{C2AAD242-C13A-4360-B79E-0A2808157647}"/>
    <cellStyle name="Normal 8 4 2 2 2 2 2 3" xfId="24311" xr:uid="{2900B419-8B1C-4024-91A5-79A73B827125}"/>
    <cellStyle name="Normal 8 4 2 2 2 2 3" xfId="11653" xr:uid="{03FD172C-BFF7-4BE6-A337-5D7265F46E72}"/>
    <cellStyle name="Normal 8 4 2 2 2 2 4" xfId="20094" xr:uid="{D74E970B-E2C2-4336-8F7C-483E1B2ADE70}"/>
    <cellStyle name="Normal 8 4 2 2 2 3" xfId="5284" xr:uid="{00000000-0005-0000-0000-0000D51D0000}"/>
    <cellStyle name="Normal 8 4 2 2 2 3 2" xfId="13726" xr:uid="{F839F233-D7E8-43BA-B304-0BE454EA5BF3}"/>
    <cellStyle name="Normal 8 4 2 2 2 3 3" xfId="22166" xr:uid="{43867452-D541-4647-9A03-2CDBB2B4EC0D}"/>
    <cellStyle name="Normal 8 4 2 2 2 4" xfId="9508" xr:uid="{FCA6302F-A98C-4628-903B-FF1D9AC14B92}"/>
    <cellStyle name="Normal 8 4 2 2 2 5" xfId="17949" xr:uid="{6229D5E9-1CDD-4ACF-B269-4D1B1CC4D940}"/>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16284" xr:uid="{30AC40A7-0838-41F2-9C50-3C1896F8F647}"/>
    <cellStyle name="Normal 8 4 2 2 3 2 2 3" xfId="24724" xr:uid="{EC73B84C-E3B6-490E-AE73-2515BFB52553}"/>
    <cellStyle name="Normal 8 4 2 2 3 2 3" xfId="12066" xr:uid="{27EC4AD4-13C8-45BA-AB5B-173E25B7D42A}"/>
    <cellStyle name="Normal 8 4 2 2 3 2 4" xfId="20507" xr:uid="{BDC2D85F-C5B5-4A9E-A53E-4BEB6A6A44C8}"/>
    <cellStyle name="Normal 8 4 2 2 3 3" xfId="5697" xr:uid="{00000000-0005-0000-0000-0000D91D0000}"/>
    <cellStyle name="Normal 8 4 2 2 3 3 2" xfId="14139" xr:uid="{4853CB71-77BA-435F-AA58-2AA520ABF3BE}"/>
    <cellStyle name="Normal 8 4 2 2 3 3 3" xfId="22579" xr:uid="{13F4CC66-88DA-46F3-BCB7-2B2A28CBBCC4}"/>
    <cellStyle name="Normal 8 4 2 2 3 4" xfId="9921" xr:uid="{3BCDCB2D-EC21-467C-9C86-32073777156C}"/>
    <cellStyle name="Normal 8 4 2 2 3 5" xfId="18362" xr:uid="{60FA69D9-1484-43CE-B46C-CFA449C2B9D1}"/>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16697" xr:uid="{8BBE2B3E-19EF-4349-BE06-CD5EF0F43170}"/>
    <cellStyle name="Normal 8 4 2 2 4 2 2 3" xfId="25137" xr:uid="{F272DF40-4AB7-4CEE-859F-44EFF0041AFD}"/>
    <cellStyle name="Normal 8 4 2 2 4 2 3" xfId="12479" xr:uid="{62527813-748E-4ECF-83EB-E7B5332B1B2D}"/>
    <cellStyle name="Normal 8 4 2 2 4 2 4" xfId="20920" xr:uid="{282FCD5D-9D89-412A-B03F-D78BC010D3F4}"/>
    <cellStyle name="Normal 8 4 2 2 4 3" xfId="6110" xr:uid="{00000000-0005-0000-0000-0000DD1D0000}"/>
    <cellStyle name="Normal 8 4 2 2 4 3 2" xfId="14552" xr:uid="{822F2CDC-EA8B-4D3C-80EB-30EC51A1028E}"/>
    <cellStyle name="Normal 8 4 2 2 4 3 3" xfId="22992" xr:uid="{07940D41-DBCE-4BE9-AF78-9D0847E40E57}"/>
    <cellStyle name="Normal 8 4 2 2 4 4" xfId="10334" xr:uid="{73CB40A3-2A73-460B-A6DB-2FFA63B2DEE6}"/>
    <cellStyle name="Normal 8 4 2 2 4 5" xfId="18775" xr:uid="{9CF1D626-A076-45C5-93A8-6E73EE10826D}"/>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17110" xr:uid="{E4A24A04-EAB5-4124-9DC2-281A40BAFE14}"/>
    <cellStyle name="Normal 8 4 2 2 5 2 2 3" xfId="25550" xr:uid="{6E9B5CF1-52E1-4521-BD80-477655CF2AC9}"/>
    <cellStyle name="Normal 8 4 2 2 5 2 3" xfId="12892" xr:uid="{8F5D53FA-7365-42C0-99BA-B7B76BFFC93D}"/>
    <cellStyle name="Normal 8 4 2 2 5 2 4" xfId="21333" xr:uid="{5DB94DCB-DFAA-40D9-93AC-D0B4769E043D}"/>
    <cellStyle name="Normal 8 4 2 2 5 3" xfId="6523" xr:uid="{00000000-0005-0000-0000-0000E11D0000}"/>
    <cellStyle name="Normal 8 4 2 2 5 3 2" xfId="14965" xr:uid="{EF647EED-336F-4520-B187-77E64B6851C7}"/>
    <cellStyle name="Normal 8 4 2 2 5 3 3" xfId="23405" xr:uid="{A60808C5-E6BC-4B84-B817-0B664F0DF34C}"/>
    <cellStyle name="Normal 8 4 2 2 5 4" xfId="10747" xr:uid="{EAF7A399-5D05-4C06-9DE5-B5A64139DFDB}"/>
    <cellStyle name="Normal 8 4 2 2 5 5" xfId="19188" xr:uid="{3604AEF2-85C0-42CF-9E66-EF82FF7D4F96}"/>
    <cellStyle name="Normal 8 4 2 2 6" xfId="2652" xr:uid="{00000000-0005-0000-0000-0000E21D0000}"/>
    <cellStyle name="Normal 8 4 2 2 6 2" xfId="6936" xr:uid="{00000000-0005-0000-0000-0000E31D0000}"/>
    <cellStyle name="Normal 8 4 2 2 6 2 2" xfId="15378" xr:uid="{4DF8902D-A37E-4F6D-A1DE-C06CAE6B11ED}"/>
    <cellStyle name="Normal 8 4 2 2 6 2 3" xfId="23818" xr:uid="{2C9A726F-5AF6-4180-A5D5-6A9E13681A43}"/>
    <cellStyle name="Normal 8 4 2 2 6 3" xfId="11160" xr:uid="{FF038521-1E22-44C2-A26D-8FC1EBE0536A}"/>
    <cellStyle name="Normal 8 4 2 2 6 4" xfId="19601" xr:uid="{59C9E7A0-0BC8-409C-9683-B63A79B79AF7}"/>
    <cellStyle name="Normal 8 4 2 2 7" xfId="4871" xr:uid="{00000000-0005-0000-0000-0000E41D0000}"/>
    <cellStyle name="Normal 8 4 2 2 7 2" xfId="13313" xr:uid="{8219525C-167A-4FB4-958B-61ED1D4503E8}"/>
    <cellStyle name="Normal 8 4 2 2 7 3" xfId="21753" xr:uid="{63A1725D-2E7A-4E5B-BF5E-DC55C37CEFF6}"/>
    <cellStyle name="Normal 8 4 2 2 8" xfId="9095" xr:uid="{653B9137-DE24-4542-819F-FD7D2A37F8AB}"/>
    <cellStyle name="Normal 8 4 2 2 9" xfId="17536" xr:uid="{AB934333-2375-4C18-8A9F-C0E1EABF55CB}"/>
    <cellStyle name="Normal 8 4 2 3" xfId="971" xr:uid="{00000000-0005-0000-0000-0000E51D0000}"/>
    <cellStyle name="Normal 8 4 2 3 2" xfId="3205" xr:uid="{00000000-0005-0000-0000-0000E61D0000}"/>
    <cellStyle name="Normal 8 4 2 3 2 2" xfId="7428" xr:uid="{00000000-0005-0000-0000-0000E71D0000}"/>
    <cellStyle name="Normal 8 4 2 3 2 2 2" xfId="15870" xr:uid="{A03E02CA-F7CD-4F17-B098-CD2EFF62DCB5}"/>
    <cellStyle name="Normal 8 4 2 3 2 2 3" xfId="24310" xr:uid="{C319975E-6917-403A-A4CA-9E84D13C6FF4}"/>
    <cellStyle name="Normal 8 4 2 3 2 3" xfId="11652" xr:uid="{5F9C2A34-2437-4106-9ADC-E8D199076E1D}"/>
    <cellStyle name="Normal 8 4 2 3 2 4" xfId="20093" xr:uid="{69ABBEF7-7A62-4369-B7F1-354CFF96F355}"/>
    <cellStyle name="Normal 8 4 2 3 3" xfId="5283" xr:uid="{00000000-0005-0000-0000-0000E81D0000}"/>
    <cellStyle name="Normal 8 4 2 3 3 2" xfId="13725" xr:uid="{C9AC10C4-54A2-40FF-ABBC-E493181F5C1C}"/>
    <cellStyle name="Normal 8 4 2 3 3 3" xfId="22165" xr:uid="{29449D17-AE99-41C8-A693-33C017051841}"/>
    <cellStyle name="Normal 8 4 2 3 4" xfId="9507" xr:uid="{A2557E4F-AA9C-4058-B346-A08D3E811226}"/>
    <cellStyle name="Normal 8 4 2 3 5" xfId="17948" xr:uid="{7BC0772D-E7AC-4C7C-AA90-BCDAE6E61F37}"/>
    <cellStyle name="Normal 8 4 2 4" xfId="1388" xr:uid="{00000000-0005-0000-0000-0000E91D0000}"/>
    <cellStyle name="Normal 8 4 2 4 2" xfId="3618" xr:uid="{00000000-0005-0000-0000-0000EA1D0000}"/>
    <cellStyle name="Normal 8 4 2 4 2 2" xfId="7841" xr:uid="{00000000-0005-0000-0000-0000EB1D0000}"/>
    <cellStyle name="Normal 8 4 2 4 2 2 2" xfId="16283" xr:uid="{AE31D9A8-1050-4EA0-987C-CEBD1FD2D9C0}"/>
    <cellStyle name="Normal 8 4 2 4 2 2 3" xfId="24723" xr:uid="{ED4EDF70-D7A5-486D-9DD9-CDA94142408A}"/>
    <cellStyle name="Normal 8 4 2 4 2 3" xfId="12065" xr:uid="{43FB8448-CC99-43C3-A278-7F91A02CF800}"/>
    <cellStyle name="Normal 8 4 2 4 2 4" xfId="20506" xr:uid="{3FCC915C-606B-4C72-A3AF-7DF1C9B2146E}"/>
    <cellStyle name="Normal 8 4 2 4 3" xfId="5696" xr:uid="{00000000-0005-0000-0000-0000EC1D0000}"/>
    <cellStyle name="Normal 8 4 2 4 3 2" xfId="14138" xr:uid="{AC0FA9EF-DBCA-44AC-898B-E6040A7C0A0F}"/>
    <cellStyle name="Normal 8 4 2 4 3 3" xfId="22578" xr:uid="{CC328C7B-9448-44F0-B518-ED11ED695C32}"/>
    <cellStyle name="Normal 8 4 2 4 4" xfId="9920" xr:uid="{7BE18060-C6C6-4EF1-84B1-679EFCC5597C}"/>
    <cellStyle name="Normal 8 4 2 4 5" xfId="18361" xr:uid="{7F52EC95-1C7B-4C71-8066-A35BD30BF5C6}"/>
    <cellStyle name="Normal 8 4 2 5" xfId="1801" xr:uid="{00000000-0005-0000-0000-0000ED1D0000}"/>
    <cellStyle name="Normal 8 4 2 5 2" xfId="4031" xr:uid="{00000000-0005-0000-0000-0000EE1D0000}"/>
    <cellStyle name="Normal 8 4 2 5 2 2" xfId="8254" xr:uid="{00000000-0005-0000-0000-0000EF1D0000}"/>
    <cellStyle name="Normal 8 4 2 5 2 2 2" xfId="16696" xr:uid="{2140CE16-F825-4404-B655-E2EE27BA41E2}"/>
    <cellStyle name="Normal 8 4 2 5 2 2 3" xfId="25136" xr:uid="{AC2DE7E3-590E-411D-B286-766996270F4A}"/>
    <cellStyle name="Normal 8 4 2 5 2 3" xfId="12478" xr:uid="{899A6978-F09A-4ADC-A37C-372F1250E98A}"/>
    <cellStyle name="Normal 8 4 2 5 2 4" xfId="20919" xr:uid="{5BC47EE6-D41A-4513-AC30-104971661BFD}"/>
    <cellStyle name="Normal 8 4 2 5 3" xfId="6109" xr:uid="{00000000-0005-0000-0000-0000F01D0000}"/>
    <cellStyle name="Normal 8 4 2 5 3 2" xfId="14551" xr:uid="{4D199F6C-FEF9-4792-B03D-7B5E1E12E7DA}"/>
    <cellStyle name="Normal 8 4 2 5 3 3" xfId="22991" xr:uid="{45C44850-3754-418A-8093-94B6AA6E109E}"/>
    <cellStyle name="Normal 8 4 2 5 4" xfId="10333" xr:uid="{16BE77B2-BE84-4A8B-A55E-B5EB5D5EE72A}"/>
    <cellStyle name="Normal 8 4 2 5 5" xfId="18774" xr:uid="{2598BD08-789F-4FFE-A286-75777AD0F9A2}"/>
    <cellStyle name="Normal 8 4 2 6" xfId="2215" xr:uid="{00000000-0005-0000-0000-0000F11D0000}"/>
    <cellStyle name="Normal 8 4 2 6 2" xfId="4444" xr:uid="{00000000-0005-0000-0000-0000F21D0000}"/>
    <cellStyle name="Normal 8 4 2 6 2 2" xfId="8667" xr:uid="{00000000-0005-0000-0000-0000F31D0000}"/>
    <cellStyle name="Normal 8 4 2 6 2 2 2" xfId="17109" xr:uid="{A4D55AE7-200B-4308-BEFD-78CB746CE8F8}"/>
    <cellStyle name="Normal 8 4 2 6 2 2 3" xfId="25549" xr:uid="{74FB881E-6750-4231-8F7F-59E7474E188E}"/>
    <cellStyle name="Normal 8 4 2 6 2 3" xfId="12891" xr:uid="{0BE8BF86-C842-4E86-8B51-71E602E2AF31}"/>
    <cellStyle name="Normal 8 4 2 6 2 4" xfId="21332" xr:uid="{5A49E065-8E5D-47D5-A7E4-F3F6CE3CA0FA}"/>
    <cellStyle name="Normal 8 4 2 6 3" xfId="6522" xr:uid="{00000000-0005-0000-0000-0000F41D0000}"/>
    <cellStyle name="Normal 8 4 2 6 3 2" xfId="14964" xr:uid="{1C45D2CC-0655-484E-9C22-E6958A0E1802}"/>
    <cellStyle name="Normal 8 4 2 6 3 3" xfId="23404" xr:uid="{78B094B4-4B1D-45C9-8E4C-70FC1434D71F}"/>
    <cellStyle name="Normal 8 4 2 6 4" xfId="10746" xr:uid="{4BB6232A-5115-4EBB-A7C8-B660A0DC3525}"/>
    <cellStyle name="Normal 8 4 2 6 5" xfId="19187" xr:uid="{356B7696-D85D-4F5D-8016-578EAF6881E8}"/>
    <cellStyle name="Normal 8 4 2 7" xfId="2651" xr:uid="{00000000-0005-0000-0000-0000F51D0000}"/>
    <cellStyle name="Normal 8 4 2 7 2" xfId="6935" xr:uid="{00000000-0005-0000-0000-0000F61D0000}"/>
    <cellStyle name="Normal 8 4 2 7 2 2" xfId="15377" xr:uid="{4807D001-C6DE-404B-96F4-787AC3B9AA11}"/>
    <cellStyle name="Normal 8 4 2 7 2 3" xfId="23817" xr:uid="{C4AAF244-0A8C-4CCC-94D5-B482AB585974}"/>
    <cellStyle name="Normal 8 4 2 7 3" xfId="11159" xr:uid="{88B96353-80D4-4EDC-A4BC-648583995B52}"/>
    <cellStyle name="Normal 8 4 2 7 4" xfId="19600" xr:uid="{262722E1-1610-490A-A596-4932B4EBB2EB}"/>
    <cellStyle name="Normal 8 4 2 8" xfId="4870" xr:uid="{00000000-0005-0000-0000-0000F71D0000}"/>
    <cellStyle name="Normal 8 4 2 8 2" xfId="13312" xr:uid="{6BB2B8A0-0264-44D0-B9C2-F8BA8CE46254}"/>
    <cellStyle name="Normal 8 4 2 8 3" xfId="21752" xr:uid="{E96B31E5-AA0B-4348-997F-9A1F9D25057A}"/>
    <cellStyle name="Normal 8 4 2 9" xfId="9094" xr:uid="{66BC3B8F-D252-461A-8609-B7DF6182DD5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2 2 2" xfId="15872" xr:uid="{1A52851C-1800-4952-9FF8-225D87713024}"/>
    <cellStyle name="Normal 8 4 3 2 2 2 3" xfId="24312" xr:uid="{28FB33BB-47D3-4C91-9961-5562DE63148C}"/>
    <cellStyle name="Normal 8 4 3 2 2 3" xfId="11654" xr:uid="{419C5849-D10C-4F55-AAFD-B7C8F61A456B}"/>
    <cellStyle name="Normal 8 4 3 2 2 4" xfId="20095" xr:uid="{48A3C3A3-28AD-4A99-B7B4-DE64EAA1E0D8}"/>
    <cellStyle name="Normal 8 4 3 2 3" xfId="5285" xr:uid="{00000000-0005-0000-0000-0000FC1D0000}"/>
    <cellStyle name="Normal 8 4 3 2 3 2" xfId="13727" xr:uid="{C0E8F9A8-BCEB-4749-B1AB-841F41F8DD1A}"/>
    <cellStyle name="Normal 8 4 3 2 3 3" xfId="22167" xr:uid="{F36B6680-3DF3-4C29-B695-7F6414AC72F6}"/>
    <cellStyle name="Normal 8 4 3 2 4" xfId="9509" xr:uid="{EF1A1489-5819-49C6-86CE-A06CFA4C88F9}"/>
    <cellStyle name="Normal 8 4 3 2 5" xfId="17950" xr:uid="{675237A8-C9C6-493C-B9E4-397BF58A5EAF}"/>
    <cellStyle name="Normal 8 4 3 3" xfId="1390" xr:uid="{00000000-0005-0000-0000-0000FD1D0000}"/>
    <cellStyle name="Normal 8 4 3 3 2" xfId="3620" xr:uid="{00000000-0005-0000-0000-0000FE1D0000}"/>
    <cellStyle name="Normal 8 4 3 3 2 2" xfId="7843" xr:uid="{00000000-0005-0000-0000-0000FF1D0000}"/>
    <cellStyle name="Normal 8 4 3 3 2 2 2" xfId="16285" xr:uid="{5C7433B5-B215-4FD7-B520-E0D195163262}"/>
    <cellStyle name="Normal 8 4 3 3 2 2 3" xfId="24725" xr:uid="{22F03C35-DCA9-4E31-A674-41DA9E0EEC52}"/>
    <cellStyle name="Normal 8 4 3 3 2 3" xfId="12067" xr:uid="{F5D331F1-5777-4118-BA31-F1C3726D780E}"/>
    <cellStyle name="Normal 8 4 3 3 2 4" xfId="20508" xr:uid="{579D18B5-CC6E-49F9-9A48-77046FF1813E}"/>
    <cellStyle name="Normal 8 4 3 3 3" xfId="5698" xr:uid="{00000000-0005-0000-0000-0000001E0000}"/>
    <cellStyle name="Normal 8 4 3 3 3 2" xfId="14140" xr:uid="{D56A5FE2-2FB8-4ECB-ADC3-82855CDC3029}"/>
    <cellStyle name="Normal 8 4 3 3 3 3" xfId="22580" xr:uid="{DCC79296-8007-4354-8ACF-8FBAC0361DF4}"/>
    <cellStyle name="Normal 8 4 3 3 4" xfId="9922" xr:uid="{1AF4E0CD-5290-4D39-8941-6982F1730096}"/>
    <cellStyle name="Normal 8 4 3 3 5" xfId="18363" xr:uid="{54FE7251-76E6-4B74-BC08-13CBC129F68F}"/>
    <cellStyle name="Normal 8 4 3 4" xfId="1803" xr:uid="{00000000-0005-0000-0000-0000011E0000}"/>
    <cellStyle name="Normal 8 4 3 4 2" xfId="4033" xr:uid="{00000000-0005-0000-0000-0000021E0000}"/>
    <cellStyle name="Normal 8 4 3 4 2 2" xfId="8256" xr:uid="{00000000-0005-0000-0000-0000031E0000}"/>
    <cellStyle name="Normal 8 4 3 4 2 2 2" xfId="16698" xr:uid="{3D5CECF7-C377-4F66-9AA0-2E62E0F8F8EA}"/>
    <cellStyle name="Normal 8 4 3 4 2 2 3" xfId="25138" xr:uid="{F82AEE7E-B485-4306-8475-B76D8AFEE872}"/>
    <cellStyle name="Normal 8 4 3 4 2 3" xfId="12480" xr:uid="{8FEBC3EE-3966-46D0-B618-89A637F09056}"/>
    <cellStyle name="Normal 8 4 3 4 2 4" xfId="20921" xr:uid="{99FF327B-C11B-49EF-8297-06D6C0DB7563}"/>
    <cellStyle name="Normal 8 4 3 4 3" xfId="6111" xr:uid="{00000000-0005-0000-0000-0000041E0000}"/>
    <cellStyle name="Normal 8 4 3 4 3 2" xfId="14553" xr:uid="{F5BC1A3B-296C-4895-8ABB-9917A22CA98A}"/>
    <cellStyle name="Normal 8 4 3 4 3 3" xfId="22993" xr:uid="{63F05A1A-D127-4A47-AEFB-A4B75C815BB9}"/>
    <cellStyle name="Normal 8 4 3 4 4" xfId="10335" xr:uid="{93732C14-6771-4076-9E66-5C7379069C67}"/>
    <cellStyle name="Normal 8 4 3 4 5" xfId="18776" xr:uid="{EE91BF60-3940-47F6-B260-24396B2AEE7D}"/>
    <cellStyle name="Normal 8 4 3 5" xfId="2217" xr:uid="{00000000-0005-0000-0000-0000051E0000}"/>
    <cellStyle name="Normal 8 4 3 5 2" xfId="4446" xr:uid="{00000000-0005-0000-0000-0000061E0000}"/>
    <cellStyle name="Normal 8 4 3 5 2 2" xfId="8669" xr:uid="{00000000-0005-0000-0000-0000071E0000}"/>
    <cellStyle name="Normal 8 4 3 5 2 2 2" xfId="17111" xr:uid="{EE064FA5-E750-4951-84CB-2A0378FB9A97}"/>
    <cellStyle name="Normal 8 4 3 5 2 2 3" xfId="25551" xr:uid="{7E382AF1-94EE-4590-A1D4-CA6189C37E62}"/>
    <cellStyle name="Normal 8 4 3 5 2 3" xfId="12893" xr:uid="{17B3C42E-9D77-4C0A-A715-D2EB853A7227}"/>
    <cellStyle name="Normal 8 4 3 5 2 4" xfId="21334" xr:uid="{4B6C7884-9D8A-4355-A0BD-14F639877541}"/>
    <cellStyle name="Normal 8 4 3 5 3" xfId="6524" xr:uid="{00000000-0005-0000-0000-0000081E0000}"/>
    <cellStyle name="Normal 8 4 3 5 3 2" xfId="14966" xr:uid="{7424D13A-6DC9-4A64-9A90-5782884016B1}"/>
    <cellStyle name="Normal 8 4 3 5 3 3" xfId="23406" xr:uid="{9C661592-F4F3-41F8-85EA-012873ABA2D0}"/>
    <cellStyle name="Normal 8 4 3 5 4" xfId="10748" xr:uid="{1814FDA1-AE90-441D-9844-0D40B41E11B5}"/>
    <cellStyle name="Normal 8 4 3 5 5" xfId="19189" xr:uid="{8F26C35F-5478-43F1-92CC-940481C9C041}"/>
    <cellStyle name="Normal 8 4 3 6" xfId="2653" xr:uid="{00000000-0005-0000-0000-0000091E0000}"/>
    <cellStyle name="Normal 8 4 3 6 2" xfId="6937" xr:uid="{00000000-0005-0000-0000-00000A1E0000}"/>
    <cellStyle name="Normal 8 4 3 6 2 2" xfId="15379" xr:uid="{1008E86D-A74F-4FAB-9B09-E2590AEEE427}"/>
    <cellStyle name="Normal 8 4 3 6 2 3" xfId="23819" xr:uid="{0409B51C-BE13-4458-B9BF-4854E66F75B0}"/>
    <cellStyle name="Normal 8 4 3 6 3" xfId="11161" xr:uid="{F7219ABC-0754-4289-B0BB-933EF7C0A749}"/>
    <cellStyle name="Normal 8 4 3 6 4" xfId="19602" xr:uid="{8F236857-FC7B-462E-BB59-B08FEA72D663}"/>
    <cellStyle name="Normal 8 4 3 7" xfId="4872" xr:uid="{00000000-0005-0000-0000-00000B1E0000}"/>
    <cellStyle name="Normal 8 4 3 7 2" xfId="13314" xr:uid="{A7F393D9-ED1D-4DD9-8C7B-1D232C15398B}"/>
    <cellStyle name="Normal 8 4 3 7 3" xfId="21754" xr:uid="{A6116F92-5A22-42AF-9A52-38AEF46FAEA2}"/>
    <cellStyle name="Normal 8 4 3 8" xfId="9096" xr:uid="{3E442E9C-9AB1-44C5-B0C4-E6FB4A767BB6}"/>
    <cellStyle name="Normal 8 4 3 9" xfId="17537" xr:uid="{15BC06C4-B84E-4FE2-A074-BB76EDAF6DC1}"/>
    <cellStyle name="Normal 8 4 4" xfId="970" xr:uid="{00000000-0005-0000-0000-00000C1E0000}"/>
    <cellStyle name="Normal 8 4 4 2" xfId="3204" xr:uid="{00000000-0005-0000-0000-00000D1E0000}"/>
    <cellStyle name="Normal 8 4 4 2 2" xfId="7427" xr:uid="{00000000-0005-0000-0000-00000E1E0000}"/>
    <cellStyle name="Normal 8 4 4 2 2 2" xfId="15869" xr:uid="{7CCEDCAF-5161-49B1-A730-0A3541D5A38B}"/>
    <cellStyle name="Normal 8 4 4 2 2 3" xfId="24309" xr:uid="{66AFBE08-DB7E-473E-A942-D0F698E974C4}"/>
    <cellStyle name="Normal 8 4 4 2 3" xfId="11651" xr:uid="{2DC86D98-C27E-4603-BADD-77055447B805}"/>
    <cellStyle name="Normal 8 4 4 2 4" xfId="20092" xr:uid="{926BCEE8-B95C-40EA-925A-450CD2B6EF83}"/>
    <cellStyle name="Normal 8 4 4 3" xfId="5282" xr:uid="{00000000-0005-0000-0000-00000F1E0000}"/>
    <cellStyle name="Normal 8 4 4 3 2" xfId="13724" xr:uid="{B3E5FD80-1DE5-4C1C-8700-291F18D79520}"/>
    <cellStyle name="Normal 8 4 4 3 3" xfId="22164" xr:uid="{0B006014-5BAC-4D48-98D2-DCB125FAF7B6}"/>
    <cellStyle name="Normal 8 4 4 4" xfId="9506" xr:uid="{072831C3-DF8D-48AE-A5BA-4C9D3D3C820B}"/>
    <cellStyle name="Normal 8 4 4 5" xfId="17947" xr:uid="{297F16C5-405E-49AE-8EF3-DFD873D90378}"/>
    <cellStyle name="Normal 8 4 5" xfId="1387" xr:uid="{00000000-0005-0000-0000-0000101E0000}"/>
    <cellStyle name="Normal 8 4 5 2" xfId="3617" xr:uid="{00000000-0005-0000-0000-0000111E0000}"/>
    <cellStyle name="Normal 8 4 5 2 2" xfId="7840" xr:uid="{00000000-0005-0000-0000-0000121E0000}"/>
    <cellStyle name="Normal 8 4 5 2 2 2" xfId="16282" xr:uid="{82DD418F-E9C7-40F5-B16E-E2E065893AE8}"/>
    <cellStyle name="Normal 8 4 5 2 2 3" xfId="24722" xr:uid="{9222EDFD-BD99-4A54-AB17-FAA77E7DD50D}"/>
    <cellStyle name="Normal 8 4 5 2 3" xfId="12064" xr:uid="{CA4EFDA5-D47D-4B4D-9290-78F5495CC040}"/>
    <cellStyle name="Normal 8 4 5 2 4" xfId="20505" xr:uid="{DD86AAE9-519A-4275-B9E7-E607A6F580E1}"/>
    <cellStyle name="Normal 8 4 5 3" xfId="5695" xr:uid="{00000000-0005-0000-0000-0000131E0000}"/>
    <cellStyle name="Normal 8 4 5 3 2" xfId="14137" xr:uid="{2B663075-E0E4-4ADE-A48C-9930624A8C74}"/>
    <cellStyle name="Normal 8 4 5 3 3" xfId="22577" xr:uid="{D9D94AA0-A90D-4482-8F85-30EB276FC9F2}"/>
    <cellStyle name="Normal 8 4 5 4" xfId="9919" xr:uid="{07D9E0DB-EF5E-4B32-BACF-B85AC9E9B884}"/>
    <cellStyle name="Normal 8 4 5 5" xfId="18360" xr:uid="{E9854921-953F-42B3-8844-68AB5516FE2B}"/>
    <cellStyle name="Normal 8 4 6" xfId="1800" xr:uid="{00000000-0005-0000-0000-0000141E0000}"/>
    <cellStyle name="Normal 8 4 6 2" xfId="4030" xr:uid="{00000000-0005-0000-0000-0000151E0000}"/>
    <cellStyle name="Normal 8 4 6 2 2" xfId="8253" xr:uid="{00000000-0005-0000-0000-0000161E0000}"/>
    <cellStyle name="Normal 8 4 6 2 2 2" xfId="16695" xr:uid="{E185BAFE-7E10-4C77-94FE-947C5FC34BE3}"/>
    <cellStyle name="Normal 8 4 6 2 2 3" xfId="25135" xr:uid="{EA969AF5-8B35-4D12-877F-ACB4F17F6C26}"/>
    <cellStyle name="Normal 8 4 6 2 3" xfId="12477" xr:uid="{7C254318-7425-44BC-A2C5-FA1BDD855E3C}"/>
    <cellStyle name="Normal 8 4 6 2 4" xfId="20918" xr:uid="{03156938-7602-4ECA-96BA-FC9E98369E85}"/>
    <cellStyle name="Normal 8 4 6 3" xfId="6108" xr:uid="{00000000-0005-0000-0000-0000171E0000}"/>
    <cellStyle name="Normal 8 4 6 3 2" xfId="14550" xr:uid="{256BA2BF-7A2E-4BD0-933C-3C0203B23D99}"/>
    <cellStyle name="Normal 8 4 6 3 3" xfId="22990" xr:uid="{26B7F620-6836-44D2-8029-C2F683222A22}"/>
    <cellStyle name="Normal 8 4 6 4" xfId="10332" xr:uid="{2DAB7F42-7D5C-426B-8BCB-6B18BE831C08}"/>
    <cellStyle name="Normal 8 4 6 5" xfId="18773" xr:uid="{213418F3-CCE5-404F-87AA-58024B8CA921}"/>
    <cellStyle name="Normal 8 4 7" xfId="2214" xr:uid="{00000000-0005-0000-0000-0000181E0000}"/>
    <cellStyle name="Normal 8 4 7 2" xfId="4443" xr:uid="{00000000-0005-0000-0000-0000191E0000}"/>
    <cellStyle name="Normal 8 4 7 2 2" xfId="8666" xr:uid="{00000000-0005-0000-0000-00001A1E0000}"/>
    <cellStyle name="Normal 8 4 7 2 2 2" xfId="17108" xr:uid="{24479468-86F4-4782-8555-49744D16CC0E}"/>
    <cellStyle name="Normal 8 4 7 2 2 3" xfId="25548" xr:uid="{F353EE41-A9F3-4503-B0F6-520D9004D0A3}"/>
    <cellStyle name="Normal 8 4 7 2 3" xfId="12890" xr:uid="{40C41F76-060E-401A-8186-42A63446C792}"/>
    <cellStyle name="Normal 8 4 7 2 4" xfId="21331" xr:uid="{09F64C90-2EE3-46D5-9A80-760F002E4253}"/>
    <cellStyle name="Normal 8 4 7 3" xfId="6521" xr:uid="{00000000-0005-0000-0000-00001B1E0000}"/>
    <cellStyle name="Normal 8 4 7 3 2" xfId="14963" xr:uid="{F9B12D06-0DBF-4C35-B110-00DB15EE4E91}"/>
    <cellStyle name="Normal 8 4 7 3 3" xfId="23403" xr:uid="{AEF3E708-9BA8-49B9-BEB3-CB11CCA8D2C4}"/>
    <cellStyle name="Normal 8 4 7 4" xfId="10745" xr:uid="{B494B091-4476-41E8-923E-E34A86FB14C0}"/>
    <cellStyle name="Normal 8 4 7 5" xfId="19186" xr:uid="{06C92D80-3507-499B-8E00-369154643508}"/>
    <cellStyle name="Normal 8 4 8" xfId="2650" xr:uid="{00000000-0005-0000-0000-00001C1E0000}"/>
    <cellStyle name="Normal 8 4 8 2" xfId="6934" xr:uid="{00000000-0005-0000-0000-00001D1E0000}"/>
    <cellStyle name="Normal 8 4 8 2 2" xfId="15376" xr:uid="{ABDDBA61-A08A-4E9F-B3B3-701DBEB35369}"/>
    <cellStyle name="Normal 8 4 8 2 3" xfId="23816" xr:uid="{DBCCD240-425A-49BC-A271-24E598022033}"/>
    <cellStyle name="Normal 8 4 8 3" xfId="11158" xr:uid="{887CB412-D61E-4622-9A7A-681477953825}"/>
    <cellStyle name="Normal 8 4 8 4" xfId="19599" xr:uid="{C237518B-F44D-48BA-B70E-B78901A8739B}"/>
    <cellStyle name="Normal 8 4 9" xfId="4869" xr:uid="{00000000-0005-0000-0000-00001E1E0000}"/>
    <cellStyle name="Normal 8 4 9 2" xfId="13311" xr:uid="{400850BF-ABF2-489A-8E15-79F381609350}"/>
    <cellStyle name="Normal 8 4 9 3" xfId="21751" xr:uid="{A4C35787-1861-4FB5-B314-0B9FA90370CC}"/>
    <cellStyle name="Normal 8 5" xfId="507" xr:uid="{00000000-0005-0000-0000-00001F1E0000}"/>
    <cellStyle name="Normal 8 5 10" xfId="17538" xr:uid="{29DE1C4E-68DA-4039-B001-7CC4894C5CFD}"/>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2 2 2" xfId="15874" xr:uid="{8AE78ACE-6019-48F8-BA4E-E5F71FC4FED4}"/>
    <cellStyle name="Normal 8 5 2 2 2 2 3" xfId="24314" xr:uid="{BC9E255A-E28C-43F7-BB5F-317E44952BE8}"/>
    <cellStyle name="Normal 8 5 2 2 2 3" xfId="11656" xr:uid="{72CC9B8B-7319-49CE-98D6-DD8A7277D090}"/>
    <cellStyle name="Normal 8 5 2 2 2 4" xfId="20097" xr:uid="{2C339366-D6CC-46BE-9983-2A818159642D}"/>
    <cellStyle name="Normal 8 5 2 2 3" xfId="5287" xr:uid="{00000000-0005-0000-0000-0000241E0000}"/>
    <cellStyle name="Normal 8 5 2 2 3 2" xfId="13729" xr:uid="{90DC84BE-A338-44E6-863B-DBB60404F26E}"/>
    <cellStyle name="Normal 8 5 2 2 3 3" xfId="22169" xr:uid="{2BE318D8-92D5-4517-8C24-E05E88972942}"/>
    <cellStyle name="Normal 8 5 2 2 4" xfId="9511" xr:uid="{61BC255A-6615-424B-AE12-05CC286CD251}"/>
    <cellStyle name="Normal 8 5 2 2 5" xfId="17952" xr:uid="{C7DF9BCB-F4D4-458A-BCFD-597D6C9E0490}"/>
    <cellStyle name="Normal 8 5 2 3" xfId="1392" xr:uid="{00000000-0005-0000-0000-0000251E0000}"/>
    <cellStyle name="Normal 8 5 2 3 2" xfId="3622" xr:uid="{00000000-0005-0000-0000-0000261E0000}"/>
    <cellStyle name="Normal 8 5 2 3 2 2" xfId="7845" xr:uid="{00000000-0005-0000-0000-0000271E0000}"/>
    <cellStyle name="Normal 8 5 2 3 2 2 2" xfId="16287" xr:uid="{19443BA4-23AC-4D32-98E7-23C1151A4568}"/>
    <cellStyle name="Normal 8 5 2 3 2 2 3" xfId="24727" xr:uid="{1A5220CD-4BB8-45DF-B692-2FEC3D657AFF}"/>
    <cellStyle name="Normal 8 5 2 3 2 3" xfId="12069" xr:uid="{E82BB171-7158-4563-A22A-560356EFBA38}"/>
    <cellStyle name="Normal 8 5 2 3 2 4" xfId="20510" xr:uid="{BB644709-F33A-4877-8EAB-F43B8BEF4DA6}"/>
    <cellStyle name="Normal 8 5 2 3 3" xfId="5700" xr:uid="{00000000-0005-0000-0000-0000281E0000}"/>
    <cellStyle name="Normal 8 5 2 3 3 2" xfId="14142" xr:uid="{4A0FD1DD-C931-4963-B823-8A3D2F3482AA}"/>
    <cellStyle name="Normal 8 5 2 3 3 3" xfId="22582" xr:uid="{8EC15E8E-FD6A-49C6-92AA-7D17BB4D242D}"/>
    <cellStyle name="Normal 8 5 2 3 4" xfId="9924" xr:uid="{42987244-BA19-4080-9434-EAC57B6C10B0}"/>
    <cellStyle name="Normal 8 5 2 3 5" xfId="18365" xr:uid="{29E50178-C956-40D9-B8C0-35B9988FC632}"/>
    <cellStyle name="Normal 8 5 2 4" xfId="1805" xr:uid="{00000000-0005-0000-0000-0000291E0000}"/>
    <cellStyle name="Normal 8 5 2 4 2" xfId="4035" xr:uid="{00000000-0005-0000-0000-00002A1E0000}"/>
    <cellStyle name="Normal 8 5 2 4 2 2" xfId="8258" xr:uid="{00000000-0005-0000-0000-00002B1E0000}"/>
    <cellStyle name="Normal 8 5 2 4 2 2 2" xfId="16700" xr:uid="{DD60F5D7-8863-4352-B609-48E674CD2CD5}"/>
    <cellStyle name="Normal 8 5 2 4 2 2 3" xfId="25140" xr:uid="{D8C51DAA-04DD-4459-BED2-7844CD00A813}"/>
    <cellStyle name="Normal 8 5 2 4 2 3" xfId="12482" xr:uid="{D3D85C54-1E04-4209-87D0-C671676B625C}"/>
    <cellStyle name="Normal 8 5 2 4 2 4" xfId="20923" xr:uid="{57D54DA2-862A-4831-A474-5D172670E0DA}"/>
    <cellStyle name="Normal 8 5 2 4 3" xfId="6113" xr:uid="{00000000-0005-0000-0000-00002C1E0000}"/>
    <cellStyle name="Normal 8 5 2 4 3 2" xfId="14555" xr:uid="{B067C2FC-66D7-4A50-94EC-BB0879310023}"/>
    <cellStyle name="Normal 8 5 2 4 3 3" xfId="22995" xr:uid="{D7D391BB-D8D8-44A2-B970-41061D07F6A7}"/>
    <cellStyle name="Normal 8 5 2 4 4" xfId="10337" xr:uid="{099CC38B-4244-4F8A-AA01-C76969DBABD6}"/>
    <cellStyle name="Normal 8 5 2 4 5" xfId="18778" xr:uid="{708CE6BB-A473-401A-9D4C-0D53F2B4F840}"/>
    <cellStyle name="Normal 8 5 2 5" xfId="2219" xr:uid="{00000000-0005-0000-0000-00002D1E0000}"/>
    <cellStyle name="Normal 8 5 2 5 2" xfId="4448" xr:uid="{00000000-0005-0000-0000-00002E1E0000}"/>
    <cellStyle name="Normal 8 5 2 5 2 2" xfId="8671" xr:uid="{00000000-0005-0000-0000-00002F1E0000}"/>
    <cellStyle name="Normal 8 5 2 5 2 2 2" xfId="17113" xr:uid="{B750D9C8-3E15-450A-85A2-8C4CB666E4EF}"/>
    <cellStyle name="Normal 8 5 2 5 2 2 3" xfId="25553" xr:uid="{7765D7AA-C075-409E-9E23-CB2DCECA4431}"/>
    <cellStyle name="Normal 8 5 2 5 2 3" xfId="12895" xr:uid="{FFA75B61-84A0-4BDC-AB16-B306AD4606F4}"/>
    <cellStyle name="Normal 8 5 2 5 2 4" xfId="21336" xr:uid="{459C0548-2C13-4071-9A7C-9A03ACB645BE}"/>
    <cellStyle name="Normal 8 5 2 5 3" xfId="6526" xr:uid="{00000000-0005-0000-0000-0000301E0000}"/>
    <cellStyle name="Normal 8 5 2 5 3 2" xfId="14968" xr:uid="{1770551B-3967-4C2F-B93B-CAA657EEB01D}"/>
    <cellStyle name="Normal 8 5 2 5 3 3" xfId="23408" xr:uid="{06E18D5A-07AF-474C-B536-0A5791494BCA}"/>
    <cellStyle name="Normal 8 5 2 5 4" xfId="10750" xr:uid="{AC831333-7DF6-4393-8667-FAB9CE6833AB}"/>
    <cellStyle name="Normal 8 5 2 5 5" xfId="19191" xr:uid="{61D3A0B5-B389-4140-A000-712041D78945}"/>
    <cellStyle name="Normal 8 5 2 6" xfId="2655" xr:uid="{00000000-0005-0000-0000-0000311E0000}"/>
    <cellStyle name="Normal 8 5 2 6 2" xfId="6939" xr:uid="{00000000-0005-0000-0000-0000321E0000}"/>
    <cellStyle name="Normal 8 5 2 6 2 2" xfId="15381" xr:uid="{BE1C08A8-E517-4A3B-B55E-A3350DD0942D}"/>
    <cellStyle name="Normal 8 5 2 6 2 3" xfId="23821" xr:uid="{3ABBF0CC-BCCA-4E2B-AF4E-C34DB9921922}"/>
    <cellStyle name="Normal 8 5 2 6 3" xfId="11163" xr:uid="{8F920E4F-4306-4018-9EEA-D9241472ABD8}"/>
    <cellStyle name="Normal 8 5 2 6 4" xfId="19604" xr:uid="{EA06A597-FFAA-4DB8-BB42-2B24AF4CCEEE}"/>
    <cellStyle name="Normal 8 5 2 7" xfId="4874" xr:uid="{00000000-0005-0000-0000-0000331E0000}"/>
    <cellStyle name="Normal 8 5 2 7 2" xfId="13316" xr:uid="{0B551B02-E697-412A-A6F5-F4AF80F2708D}"/>
    <cellStyle name="Normal 8 5 2 7 3" xfId="21756" xr:uid="{C2F11F34-EBBE-422F-905F-408D2CCA1173}"/>
    <cellStyle name="Normal 8 5 2 8" xfId="9098" xr:uid="{FDE0AD50-818A-4955-B7FA-3EBBBA47C481}"/>
    <cellStyle name="Normal 8 5 2 9" xfId="17539" xr:uid="{A2C935EB-69CC-45E9-BBC7-2F32D2DFBF8F}"/>
    <cellStyle name="Normal 8 5 3" xfId="974" xr:uid="{00000000-0005-0000-0000-0000341E0000}"/>
    <cellStyle name="Normal 8 5 3 2" xfId="3208" xr:uid="{00000000-0005-0000-0000-0000351E0000}"/>
    <cellStyle name="Normal 8 5 3 2 2" xfId="7431" xr:uid="{00000000-0005-0000-0000-0000361E0000}"/>
    <cellStyle name="Normal 8 5 3 2 2 2" xfId="15873" xr:uid="{A13FB0BF-790B-4C1A-94B0-D4E14414A304}"/>
    <cellStyle name="Normal 8 5 3 2 2 3" xfId="24313" xr:uid="{AD41ABD9-7D74-4A42-9C52-2B6C4F3D26B3}"/>
    <cellStyle name="Normal 8 5 3 2 3" xfId="11655" xr:uid="{80F92975-A566-4530-828B-7B75D0BB4D0A}"/>
    <cellStyle name="Normal 8 5 3 2 4" xfId="20096" xr:uid="{71E557DF-0E5C-4C39-A898-32695583A42D}"/>
    <cellStyle name="Normal 8 5 3 3" xfId="5286" xr:uid="{00000000-0005-0000-0000-0000371E0000}"/>
    <cellStyle name="Normal 8 5 3 3 2" xfId="13728" xr:uid="{AD181254-08EF-44C0-A4E1-2C4441EDE876}"/>
    <cellStyle name="Normal 8 5 3 3 3" xfId="22168" xr:uid="{275A2696-7C22-48BB-9C08-F7949F580A28}"/>
    <cellStyle name="Normal 8 5 3 4" xfId="9510" xr:uid="{8F2CF02B-F950-43EA-A1F6-6BA854525304}"/>
    <cellStyle name="Normal 8 5 3 5" xfId="17951" xr:uid="{29BFB79B-3F63-478F-9CD7-5FBF47FF1876}"/>
    <cellStyle name="Normal 8 5 4" xfId="1391" xr:uid="{00000000-0005-0000-0000-0000381E0000}"/>
    <cellStyle name="Normal 8 5 4 2" xfId="3621" xr:uid="{00000000-0005-0000-0000-0000391E0000}"/>
    <cellStyle name="Normal 8 5 4 2 2" xfId="7844" xr:uid="{00000000-0005-0000-0000-00003A1E0000}"/>
    <cellStyle name="Normal 8 5 4 2 2 2" xfId="16286" xr:uid="{236DCC3A-C035-4B0C-8813-D0E8711F4CA2}"/>
    <cellStyle name="Normal 8 5 4 2 2 3" xfId="24726" xr:uid="{8D277830-9C6E-433B-A4A7-42D7E80E2EEE}"/>
    <cellStyle name="Normal 8 5 4 2 3" xfId="12068" xr:uid="{2881D333-6DA7-4796-A64D-760EBDEA830D}"/>
    <cellStyle name="Normal 8 5 4 2 4" xfId="20509" xr:uid="{7DD2FDCF-4836-40CD-BED3-4545BE8A9998}"/>
    <cellStyle name="Normal 8 5 4 3" xfId="5699" xr:uid="{00000000-0005-0000-0000-00003B1E0000}"/>
    <cellStyle name="Normal 8 5 4 3 2" xfId="14141" xr:uid="{DABD979B-7698-4154-BB3E-362105D66098}"/>
    <cellStyle name="Normal 8 5 4 3 3" xfId="22581" xr:uid="{5536D4EF-A9DC-40DD-B81D-BF4F64468723}"/>
    <cellStyle name="Normal 8 5 4 4" xfId="9923" xr:uid="{B538B11F-CDDB-4526-81F7-3A9F66DB622B}"/>
    <cellStyle name="Normal 8 5 4 5" xfId="18364" xr:uid="{D385BBCE-5F68-4425-916F-EBB9198CD9DB}"/>
    <cellStyle name="Normal 8 5 5" xfId="1804" xr:uid="{00000000-0005-0000-0000-00003C1E0000}"/>
    <cellStyle name="Normal 8 5 5 2" xfId="4034" xr:uid="{00000000-0005-0000-0000-00003D1E0000}"/>
    <cellStyle name="Normal 8 5 5 2 2" xfId="8257" xr:uid="{00000000-0005-0000-0000-00003E1E0000}"/>
    <cellStyle name="Normal 8 5 5 2 2 2" xfId="16699" xr:uid="{1CCDF6E1-92E7-4B1E-BCAF-408612F8AEAB}"/>
    <cellStyle name="Normal 8 5 5 2 2 3" xfId="25139" xr:uid="{31D60877-B419-439F-ACEE-D48B116E8006}"/>
    <cellStyle name="Normal 8 5 5 2 3" xfId="12481" xr:uid="{80765B78-801F-4ECA-BB82-8BB86DA3CFE5}"/>
    <cellStyle name="Normal 8 5 5 2 4" xfId="20922" xr:uid="{68D9B5BA-97D3-4B7D-BD19-C14AC5CB3912}"/>
    <cellStyle name="Normal 8 5 5 3" xfId="6112" xr:uid="{00000000-0005-0000-0000-00003F1E0000}"/>
    <cellStyle name="Normal 8 5 5 3 2" xfId="14554" xr:uid="{F0C6806D-1974-42D0-8E94-8B2BBDE8747E}"/>
    <cellStyle name="Normal 8 5 5 3 3" xfId="22994" xr:uid="{AFECB317-9EC0-492D-B334-9E324AD93AFC}"/>
    <cellStyle name="Normal 8 5 5 4" xfId="10336" xr:uid="{9CA564DC-F414-4732-930B-3AF7CD7E1272}"/>
    <cellStyle name="Normal 8 5 5 5" xfId="18777" xr:uid="{52595388-B87E-489C-8DB4-FDEC54172EAA}"/>
    <cellStyle name="Normal 8 5 6" xfId="2218" xr:uid="{00000000-0005-0000-0000-0000401E0000}"/>
    <cellStyle name="Normal 8 5 6 2" xfId="4447" xr:uid="{00000000-0005-0000-0000-0000411E0000}"/>
    <cellStyle name="Normal 8 5 6 2 2" xfId="8670" xr:uid="{00000000-0005-0000-0000-0000421E0000}"/>
    <cellStyle name="Normal 8 5 6 2 2 2" xfId="17112" xr:uid="{3F31874E-3CD6-4908-8077-AF9539497CEA}"/>
    <cellStyle name="Normal 8 5 6 2 2 3" xfId="25552" xr:uid="{885C7EAB-D7CD-42B8-A8B5-83A21EAB7013}"/>
    <cellStyle name="Normal 8 5 6 2 3" xfId="12894" xr:uid="{EA7EED63-9189-430E-9886-361E14361E01}"/>
    <cellStyle name="Normal 8 5 6 2 4" xfId="21335" xr:uid="{DBA43910-9014-4F3C-9993-2627FB10BCBB}"/>
    <cellStyle name="Normal 8 5 6 3" xfId="6525" xr:uid="{00000000-0005-0000-0000-0000431E0000}"/>
    <cellStyle name="Normal 8 5 6 3 2" xfId="14967" xr:uid="{5F796A96-CB76-49A8-A167-66FAD29C1463}"/>
    <cellStyle name="Normal 8 5 6 3 3" xfId="23407" xr:uid="{1E7C32F4-C8A5-4576-B88A-2105E4A09089}"/>
    <cellStyle name="Normal 8 5 6 4" xfId="10749" xr:uid="{DE2664CF-2F6A-48C2-8165-62D6BE8D20BF}"/>
    <cellStyle name="Normal 8 5 6 5" xfId="19190" xr:uid="{E89FB68C-FA6C-41A8-B30C-A9C22BC067AA}"/>
    <cellStyle name="Normal 8 5 7" xfId="2654" xr:uid="{00000000-0005-0000-0000-0000441E0000}"/>
    <cellStyle name="Normal 8 5 7 2" xfId="6938" xr:uid="{00000000-0005-0000-0000-0000451E0000}"/>
    <cellStyle name="Normal 8 5 7 2 2" xfId="15380" xr:uid="{E74CE096-16D3-4E9A-A24F-CC869EF6F4A4}"/>
    <cellStyle name="Normal 8 5 7 2 3" xfId="23820" xr:uid="{4B8ADA24-2572-41D2-8221-E3410AC3282D}"/>
    <cellStyle name="Normal 8 5 7 3" xfId="11162" xr:uid="{06D4376F-1EF0-4100-A50F-DD262521CFA4}"/>
    <cellStyle name="Normal 8 5 7 4" xfId="19603" xr:uid="{CCAEBF81-A699-4D86-A222-7DD4DB7B1675}"/>
    <cellStyle name="Normal 8 5 8" xfId="4873" xr:uid="{00000000-0005-0000-0000-0000461E0000}"/>
    <cellStyle name="Normal 8 5 8 2" xfId="13315" xr:uid="{A027B1BC-6A4C-430E-B018-97DD00DDC540}"/>
    <cellStyle name="Normal 8 5 8 3" xfId="21755" xr:uid="{0C3E1A65-1612-4B25-A0C3-06AE91E4C473}"/>
    <cellStyle name="Normal 8 5 9" xfId="9097" xr:uid="{E456E6EE-E40B-4768-A28B-32C43DAE97C3}"/>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2 2 2" xfId="15875" xr:uid="{4D736B74-6F90-4A9B-9C2B-54568B028384}"/>
    <cellStyle name="Normal 8 6 2 2 2 3" xfId="24315" xr:uid="{23F31F4A-A3B5-4725-90A7-0E4A1A2CBACB}"/>
    <cellStyle name="Normal 8 6 2 2 3" xfId="11657" xr:uid="{2EDFB82A-1B10-41F9-AC30-BCBB5D088DA9}"/>
    <cellStyle name="Normal 8 6 2 2 4" xfId="20098" xr:uid="{1248D15E-20F9-448D-8DCB-049BE6FD653C}"/>
    <cellStyle name="Normal 8 6 2 3" xfId="5288" xr:uid="{00000000-0005-0000-0000-00004B1E0000}"/>
    <cellStyle name="Normal 8 6 2 3 2" xfId="13730" xr:uid="{08C472A6-407F-45C1-A4EC-6B86C8AB0E83}"/>
    <cellStyle name="Normal 8 6 2 3 3" xfId="22170" xr:uid="{BAD190E5-71A7-4280-A0A3-C19308323196}"/>
    <cellStyle name="Normal 8 6 2 4" xfId="9512" xr:uid="{A5B08416-2272-4731-8088-F70F8B0FEE82}"/>
    <cellStyle name="Normal 8 6 2 5" xfId="17953" xr:uid="{28C9FE4F-4933-4B71-8E9E-A89112CD2D2B}"/>
    <cellStyle name="Normal 8 6 3" xfId="1393" xr:uid="{00000000-0005-0000-0000-00004C1E0000}"/>
    <cellStyle name="Normal 8 6 3 2" xfId="3623" xr:uid="{00000000-0005-0000-0000-00004D1E0000}"/>
    <cellStyle name="Normal 8 6 3 2 2" xfId="7846" xr:uid="{00000000-0005-0000-0000-00004E1E0000}"/>
    <cellStyle name="Normal 8 6 3 2 2 2" xfId="16288" xr:uid="{BDFAF4BA-449C-4C24-8B3B-3741D66D6164}"/>
    <cellStyle name="Normal 8 6 3 2 2 3" xfId="24728" xr:uid="{15CAC1EC-07E7-456F-9B4D-CFEDE387D08E}"/>
    <cellStyle name="Normal 8 6 3 2 3" xfId="12070" xr:uid="{0822CAF4-EC2F-4198-9202-2C7C8341A625}"/>
    <cellStyle name="Normal 8 6 3 2 4" xfId="20511" xr:uid="{4B3059D5-75BF-47DC-A34A-46C545E01C3A}"/>
    <cellStyle name="Normal 8 6 3 3" xfId="5701" xr:uid="{00000000-0005-0000-0000-00004F1E0000}"/>
    <cellStyle name="Normal 8 6 3 3 2" xfId="14143" xr:uid="{18D6A794-91D7-4856-BE03-C3C2D4A4587B}"/>
    <cellStyle name="Normal 8 6 3 3 3" xfId="22583" xr:uid="{702C0573-FE26-4683-8450-54684B09B073}"/>
    <cellStyle name="Normal 8 6 3 4" xfId="9925" xr:uid="{5E5BE596-F8CE-40C3-B2E1-E7617EF37BAA}"/>
    <cellStyle name="Normal 8 6 3 5" xfId="18366" xr:uid="{97998C59-BF1F-47FF-9FBC-D7832EAFB107}"/>
    <cellStyle name="Normal 8 6 4" xfId="1806" xr:uid="{00000000-0005-0000-0000-0000501E0000}"/>
    <cellStyle name="Normal 8 6 4 2" xfId="4036" xr:uid="{00000000-0005-0000-0000-0000511E0000}"/>
    <cellStyle name="Normal 8 6 4 2 2" xfId="8259" xr:uid="{00000000-0005-0000-0000-0000521E0000}"/>
    <cellStyle name="Normal 8 6 4 2 2 2" xfId="16701" xr:uid="{0EA3F703-1A3D-4941-A8EE-3856445E6C8A}"/>
    <cellStyle name="Normal 8 6 4 2 2 3" xfId="25141" xr:uid="{422457E8-5254-4B3F-82B4-F218C84D1180}"/>
    <cellStyle name="Normal 8 6 4 2 3" xfId="12483" xr:uid="{0CF2C391-38F8-4910-BA86-3E7207B2420E}"/>
    <cellStyle name="Normal 8 6 4 2 4" xfId="20924" xr:uid="{8ECAF228-0D74-44DA-ACB2-6E63C024E75B}"/>
    <cellStyle name="Normal 8 6 4 3" xfId="6114" xr:uid="{00000000-0005-0000-0000-0000531E0000}"/>
    <cellStyle name="Normal 8 6 4 3 2" xfId="14556" xr:uid="{BEF0038A-3172-41BE-B287-966C06E07011}"/>
    <cellStyle name="Normal 8 6 4 3 3" xfId="22996" xr:uid="{8B7EDCE6-A31D-4EB7-A0C7-47C17FB6F607}"/>
    <cellStyle name="Normal 8 6 4 4" xfId="10338" xr:uid="{97566F0C-0A61-4CA1-9E7D-FB89CED2DF01}"/>
    <cellStyle name="Normal 8 6 4 5" xfId="18779" xr:uid="{159857B0-8D74-4918-8CB1-3E26757E5FDE}"/>
    <cellStyle name="Normal 8 6 5" xfId="2220" xr:uid="{00000000-0005-0000-0000-0000541E0000}"/>
    <cellStyle name="Normal 8 6 5 2" xfId="4449" xr:uid="{00000000-0005-0000-0000-0000551E0000}"/>
    <cellStyle name="Normal 8 6 5 2 2" xfId="8672" xr:uid="{00000000-0005-0000-0000-0000561E0000}"/>
    <cellStyle name="Normal 8 6 5 2 2 2" xfId="17114" xr:uid="{7D7AE9C6-C538-4B3C-B527-438FD4789CEF}"/>
    <cellStyle name="Normal 8 6 5 2 2 3" xfId="25554" xr:uid="{69E299D8-27E1-4B59-9874-BB5425FA0056}"/>
    <cellStyle name="Normal 8 6 5 2 3" xfId="12896" xr:uid="{C92DFFEB-CA3B-4EE7-A4F7-AECBD650B04B}"/>
    <cellStyle name="Normal 8 6 5 2 4" xfId="21337" xr:uid="{E2F4BBA5-9568-4D62-B576-964BE7F10A5F}"/>
    <cellStyle name="Normal 8 6 5 3" xfId="6527" xr:uid="{00000000-0005-0000-0000-0000571E0000}"/>
    <cellStyle name="Normal 8 6 5 3 2" xfId="14969" xr:uid="{01C5071E-74AF-41D5-A841-94C373BE7CE6}"/>
    <cellStyle name="Normal 8 6 5 3 3" xfId="23409" xr:uid="{7B6687D2-14FB-4B35-9689-B6F61BF5CE40}"/>
    <cellStyle name="Normal 8 6 5 4" xfId="10751" xr:uid="{B1C2DA94-C271-4567-8967-FFC73D56CBA3}"/>
    <cellStyle name="Normal 8 6 5 5" xfId="19192" xr:uid="{CAC5C373-A807-41CE-B1EC-5E22C44CFA5C}"/>
    <cellStyle name="Normal 8 6 6" xfId="2656" xr:uid="{00000000-0005-0000-0000-0000581E0000}"/>
    <cellStyle name="Normal 8 6 6 2" xfId="6940" xr:uid="{00000000-0005-0000-0000-0000591E0000}"/>
    <cellStyle name="Normal 8 6 6 2 2" xfId="15382" xr:uid="{CD48702A-C5DE-4A78-84F0-3D41F0E1F395}"/>
    <cellStyle name="Normal 8 6 6 2 3" xfId="23822" xr:uid="{DD1339A9-4C84-481E-9010-27DA944D269A}"/>
    <cellStyle name="Normal 8 6 6 3" xfId="11164" xr:uid="{0E8B602C-0E13-4E16-BF81-FA283A38FD87}"/>
    <cellStyle name="Normal 8 6 6 4" xfId="19605" xr:uid="{0726535D-B9D2-4B0A-8B69-3039E586F54D}"/>
    <cellStyle name="Normal 8 6 7" xfId="4875" xr:uid="{00000000-0005-0000-0000-00005A1E0000}"/>
    <cellStyle name="Normal 8 6 7 2" xfId="13317" xr:uid="{D17798DC-BB4D-40DA-B4B9-1FB2859F80FB}"/>
    <cellStyle name="Normal 8 6 7 3" xfId="21757" xr:uid="{74598942-9D25-4D51-A630-B0812D95AD15}"/>
    <cellStyle name="Normal 8 6 8" xfId="9099" xr:uid="{3A9469E7-7275-4288-AAF6-3F07C3C232EC}"/>
    <cellStyle name="Normal 8 6 9" xfId="17540" xr:uid="{E33000CB-B608-48E8-8424-9A216843658E}"/>
    <cellStyle name="Normal 8 7" xfId="945" xr:uid="{00000000-0005-0000-0000-00005B1E0000}"/>
    <cellStyle name="Normal 8 7 2" xfId="3179" xr:uid="{00000000-0005-0000-0000-00005C1E0000}"/>
    <cellStyle name="Normal 8 7 2 2" xfId="7402" xr:uid="{00000000-0005-0000-0000-00005D1E0000}"/>
    <cellStyle name="Normal 8 7 2 2 2" xfId="15844" xr:uid="{98AE4A70-0486-4015-A40C-50AEB6B5B4DA}"/>
    <cellStyle name="Normal 8 7 2 2 3" xfId="24284" xr:uid="{AD91297E-4194-4D93-B37A-E25D189E6C7C}"/>
    <cellStyle name="Normal 8 7 2 3" xfId="11626" xr:uid="{A10659DD-184E-4E9B-81CF-39456F0C102F}"/>
    <cellStyle name="Normal 8 7 2 4" xfId="20067" xr:uid="{C442373E-C547-479E-8EC0-66A0D53E7CB2}"/>
    <cellStyle name="Normal 8 7 3" xfId="5257" xr:uid="{00000000-0005-0000-0000-00005E1E0000}"/>
    <cellStyle name="Normal 8 7 3 2" xfId="13699" xr:uid="{1C88B2C0-508C-496E-BEB0-A892B4A37BFF}"/>
    <cellStyle name="Normal 8 7 3 3" xfId="22139" xr:uid="{1ED32BCD-D35E-4714-8AEA-BA42900D9A48}"/>
    <cellStyle name="Normal 8 7 4" xfId="9481" xr:uid="{69E51278-45E8-4617-9974-CE9E66145CBB}"/>
    <cellStyle name="Normal 8 7 5" xfId="17922" xr:uid="{8D98F43F-E263-416F-A050-80FD50B1DA93}"/>
    <cellStyle name="Normal 8 8" xfId="1362" xr:uid="{00000000-0005-0000-0000-00005F1E0000}"/>
    <cellStyle name="Normal 8 8 2" xfId="3592" xr:uid="{00000000-0005-0000-0000-0000601E0000}"/>
    <cellStyle name="Normal 8 8 2 2" xfId="7815" xr:uid="{00000000-0005-0000-0000-0000611E0000}"/>
    <cellStyle name="Normal 8 8 2 2 2" xfId="16257" xr:uid="{7D70D353-4EB5-4F67-A3C7-4E6971117AFD}"/>
    <cellStyle name="Normal 8 8 2 2 3" xfId="24697" xr:uid="{31C13402-7352-4F97-ACEF-E3BA44102735}"/>
    <cellStyle name="Normal 8 8 2 3" xfId="12039" xr:uid="{16916499-66C5-4987-A4FA-604BC4207CB2}"/>
    <cellStyle name="Normal 8 8 2 4" xfId="20480" xr:uid="{D79FBF84-7511-4F40-81F9-A001332786A6}"/>
    <cellStyle name="Normal 8 8 3" xfId="5670" xr:uid="{00000000-0005-0000-0000-0000621E0000}"/>
    <cellStyle name="Normal 8 8 3 2" xfId="14112" xr:uid="{FF16861F-2E83-4A8D-9BB3-A4E769182181}"/>
    <cellStyle name="Normal 8 8 3 3" xfId="22552" xr:uid="{C6472540-F3BE-4FE9-90CF-543B0B948F19}"/>
    <cellStyle name="Normal 8 8 4" xfId="9894" xr:uid="{70827A05-2F53-46FE-BE58-40AF3D9B1D6D}"/>
    <cellStyle name="Normal 8 8 5" xfId="18335" xr:uid="{1587C9EE-BA07-4B87-A0AD-F960095EE4F7}"/>
    <cellStyle name="Normal 8 9" xfId="1775" xr:uid="{00000000-0005-0000-0000-0000631E0000}"/>
    <cellStyle name="Normal 8 9 2" xfId="4005" xr:uid="{00000000-0005-0000-0000-0000641E0000}"/>
    <cellStyle name="Normal 8 9 2 2" xfId="8228" xr:uid="{00000000-0005-0000-0000-0000651E0000}"/>
    <cellStyle name="Normal 8 9 2 2 2" xfId="16670" xr:uid="{8FB070C8-B3A8-4D8C-A3FE-6082AB2F4573}"/>
    <cellStyle name="Normal 8 9 2 2 3" xfId="25110" xr:uid="{6B07563A-DD25-467A-A6E5-0C19914FB5C3}"/>
    <cellStyle name="Normal 8 9 2 3" xfId="12452" xr:uid="{8EAA04FA-1B8D-439B-8139-92AFFD1FC9AA}"/>
    <cellStyle name="Normal 8 9 2 4" xfId="20893" xr:uid="{9D9729BB-E7E1-4B3A-AB92-0708F36126BB}"/>
    <cellStyle name="Normal 8 9 3" xfId="6083" xr:uid="{00000000-0005-0000-0000-0000661E0000}"/>
    <cellStyle name="Normal 8 9 3 2" xfId="14525" xr:uid="{AEA5A3B0-FE41-4205-B494-EC7A81B50518}"/>
    <cellStyle name="Normal 8 9 3 3" xfId="22965" xr:uid="{F14B4E83-6449-4191-8E68-D30911515DA0}"/>
    <cellStyle name="Normal 8 9 4" xfId="10307" xr:uid="{5C70CF78-9A5C-4B6C-9383-B96C9A99033E}"/>
    <cellStyle name="Normal 8 9 5" xfId="18748" xr:uid="{A985F66C-3020-4D4F-8C68-C6D8025373DB}"/>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15383" xr:uid="{AF620A86-A4DD-4FED-86AF-0B9789D7F35C}"/>
    <cellStyle name="Normal 9 2 10 2 3" xfId="23823" xr:uid="{7FCB654F-CC65-404B-B4D5-1DA865D248E0}"/>
    <cellStyle name="Normal 9 2 10 3" xfId="11165" xr:uid="{DA741EAA-7B58-4363-A076-DFD97F90C43A}"/>
    <cellStyle name="Normal 9 2 10 4" xfId="19606" xr:uid="{E4FAFE76-BA71-4085-8D88-4C0DC767EB94}"/>
    <cellStyle name="Normal 9 2 11" xfId="4876" xr:uid="{00000000-0005-0000-0000-00006B1E0000}"/>
    <cellStyle name="Normal 9 2 11 2" xfId="13318" xr:uid="{8DC65B91-F955-42C6-B291-4C7D904C2F44}"/>
    <cellStyle name="Normal 9 2 11 3" xfId="21758" xr:uid="{170CF58D-5B51-4F16-BAB3-7A8DAC658ADF}"/>
    <cellStyle name="Normal 9 2 12" xfId="9100" xr:uid="{05D80721-2967-4954-877C-8D96CC3FEE03}"/>
    <cellStyle name="Normal 9 2 13" xfId="17541" xr:uid="{3CB57A5F-7611-453F-AACF-14E9F8CE3120}"/>
    <cellStyle name="Normal 9 2 2" xfId="512" xr:uid="{00000000-0005-0000-0000-00006C1E0000}"/>
    <cellStyle name="Normal 9 2 2 10" xfId="4877" xr:uid="{00000000-0005-0000-0000-00006D1E0000}"/>
    <cellStyle name="Normal 9 2 2 10 2" xfId="13319" xr:uid="{45DD741C-3977-4651-85CA-3DE92BA73988}"/>
    <cellStyle name="Normal 9 2 2 10 3" xfId="21759" xr:uid="{E077FE0B-B211-480B-877D-41D4260E748B}"/>
    <cellStyle name="Normal 9 2 2 11" xfId="9101" xr:uid="{4AE8D103-1F57-42A5-8990-9140104A2D07}"/>
    <cellStyle name="Normal 9 2 2 12" xfId="17542" xr:uid="{A40DEDD6-0A98-41CD-940F-A2A36F6393AD}"/>
    <cellStyle name="Normal 9 2 2 2" xfId="513" xr:uid="{00000000-0005-0000-0000-00006E1E0000}"/>
    <cellStyle name="Normal 9 2 2 2 10" xfId="9102" xr:uid="{2B32C305-BEBA-4CD6-9555-C5D483253C6C}"/>
    <cellStyle name="Normal 9 2 2 2 11" xfId="17543" xr:uid="{1FB6A3BD-D764-422A-A884-4632F5123A26}"/>
    <cellStyle name="Normal 9 2 2 2 2" xfId="514" xr:uid="{00000000-0005-0000-0000-00006F1E0000}"/>
    <cellStyle name="Normal 9 2 2 2 2 10" xfId="17544" xr:uid="{006BBDE6-8DB3-4A79-9270-479572CE3706}"/>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15880" xr:uid="{CF27E665-E59B-4A49-911C-1DE39C0EC941}"/>
    <cellStyle name="Normal 9 2 2 2 2 2 2 2 2 3" xfId="24320" xr:uid="{DF79B317-2A33-43F3-8A5F-EC9157C27CD6}"/>
    <cellStyle name="Normal 9 2 2 2 2 2 2 2 3" xfId="11662" xr:uid="{E6BFA6EC-2AE1-4EF0-B48E-76FC920A764E}"/>
    <cellStyle name="Normal 9 2 2 2 2 2 2 2 4" xfId="20103" xr:uid="{F9B0ECB0-3405-47E1-9F4E-0A2ACD100A3D}"/>
    <cellStyle name="Normal 9 2 2 2 2 2 2 3" xfId="5293" xr:uid="{00000000-0005-0000-0000-0000741E0000}"/>
    <cellStyle name="Normal 9 2 2 2 2 2 2 3 2" xfId="13735" xr:uid="{8BA079CA-D417-4968-B9D0-B1F516F06004}"/>
    <cellStyle name="Normal 9 2 2 2 2 2 2 3 3" xfId="22175" xr:uid="{4A6E36CB-7B07-4D06-BCD7-C81EBB5AAE7F}"/>
    <cellStyle name="Normal 9 2 2 2 2 2 2 4" xfId="9517" xr:uid="{D3F9F9CB-8F71-43BC-B291-AD13FECC6980}"/>
    <cellStyle name="Normal 9 2 2 2 2 2 2 5" xfId="17958" xr:uid="{3B434D9A-D681-4FE3-BB6F-DD17CAA6C2EE}"/>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16293" xr:uid="{E6D45213-57FC-4D94-9DC3-844571BCB034}"/>
    <cellStyle name="Normal 9 2 2 2 2 2 3 2 2 3" xfId="24733" xr:uid="{C15B8B4B-E356-4A6D-8C0F-095F0C56B82F}"/>
    <cellStyle name="Normal 9 2 2 2 2 2 3 2 3" xfId="12075" xr:uid="{60CAA379-4CFA-4FF7-AA35-694D2DB840F1}"/>
    <cellStyle name="Normal 9 2 2 2 2 2 3 2 4" xfId="20516" xr:uid="{0159615E-298B-4D44-A06A-3D955667D833}"/>
    <cellStyle name="Normal 9 2 2 2 2 2 3 3" xfId="5706" xr:uid="{00000000-0005-0000-0000-0000781E0000}"/>
    <cellStyle name="Normal 9 2 2 2 2 2 3 3 2" xfId="14148" xr:uid="{DC7FF3A7-0298-43AB-9462-BE91C3F7C4F2}"/>
    <cellStyle name="Normal 9 2 2 2 2 2 3 3 3" xfId="22588" xr:uid="{DFF494E4-BDEB-41CA-8A8D-D584ECF78BE6}"/>
    <cellStyle name="Normal 9 2 2 2 2 2 3 4" xfId="9930" xr:uid="{0C64E45E-DD01-4227-BAD2-4C2F2C7F3287}"/>
    <cellStyle name="Normal 9 2 2 2 2 2 3 5" xfId="18371" xr:uid="{3729F664-677F-4321-A10B-BD7FE630E4B5}"/>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16706" xr:uid="{48ADFE3C-008C-4857-9A31-EA83F53913D7}"/>
    <cellStyle name="Normal 9 2 2 2 2 2 4 2 2 3" xfId="25146" xr:uid="{F739AEC1-00D1-401D-869A-AF7B646F183E}"/>
    <cellStyle name="Normal 9 2 2 2 2 2 4 2 3" xfId="12488" xr:uid="{CFA8A221-1ACF-42E5-9B02-CF5D3E0DC836}"/>
    <cellStyle name="Normal 9 2 2 2 2 2 4 2 4" xfId="20929" xr:uid="{CE05838F-94AB-4C0D-B751-CE529D50CF1E}"/>
    <cellStyle name="Normal 9 2 2 2 2 2 4 3" xfId="6119" xr:uid="{00000000-0005-0000-0000-00007C1E0000}"/>
    <cellStyle name="Normal 9 2 2 2 2 2 4 3 2" xfId="14561" xr:uid="{127BEF21-D4B3-43A9-A933-DDE201EA548B}"/>
    <cellStyle name="Normal 9 2 2 2 2 2 4 3 3" xfId="23001" xr:uid="{0EF4B1E6-26DB-4848-AA62-DD42CEA17BE0}"/>
    <cellStyle name="Normal 9 2 2 2 2 2 4 4" xfId="10343" xr:uid="{BEA48BE3-A186-4BF7-B316-E1EBAEE4C444}"/>
    <cellStyle name="Normal 9 2 2 2 2 2 4 5" xfId="18784" xr:uid="{DBFF7D95-208C-4D54-A241-66DA9BA2E209}"/>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17119" xr:uid="{FC9ABDF2-22E8-4D3F-81D3-3E21E4A21CCA}"/>
    <cellStyle name="Normal 9 2 2 2 2 2 5 2 2 3" xfId="25559" xr:uid="{69FDC8B8-6828-434B-9558-13132A196DA0}"/>
    <cellStyle name="Normal 9 2 2 2 2 2 5 2 3" xfId="12901" xr:uid="{AD015595-E1B2-4E4C-83EA-8B6386ABAC82}"/>
    <cellStyle name="Normal 9 2 2 2 2 2 5 2 4" xfId="21342" xr:uid="{3AF13ADA-997F-4D5D-AA7F-3CB1196579A5}"/>
    <cellStyle name="Normal 9 2 2 2 2 2 5 3" xfId="6532" xr:uid="{00000000-0005-0000-0000-0000801E0000}"/>
    <cellStyle name="Normal 9 2 2 2 2 2 5 3 2" xfId="14974" xr:uid="{B309D7AB-E9BC-4286-B4D2-E699A61DF159}"/>
    <cellStyle name="Normal 9 2 2 2 2 2 5 3 3" xfId="23414" xr:uid="{86A38135-3BF4-49CB-ACD6-4E0FA622B0C9}"/>
    <cellStyle name="Normal 9 2 2 2 2 2 5 4" xfId="10756" xr:uid="{A1D893A9-D5A1-419D-AC76-E20B07F28F57}"/>
    <cellStyle name="Normal 9 2 2 2 2 2 5 5" xfId="19197" xr:uid="{AD6FFDF2-6F86-4392-B18D-97DA43FFFB6A}"/>
    <cellStyle name="Normal 9 2 2 2 2 2 6" xfId="2661" xr:uid="{00000000-0005-0000-0000-0000811E0000}"/>
    <cellStyle name="Normal 9 2 2 2 2 2 6 2" xfId="6945" xr:uid="{00000000-0005-0000-0000-0000821E0000}"/>
    <cellStyle name="Normal 9 2 2 2 2 2 6 2 2" xfId="15387" xr:uid="{254F3D0F-ED39-4FEF-A481-DD0B042BCDF4}"/>
    <cellStyle name="Normal 9 2 2 2 2 2 6 2 3" xfId="23827" xr:uid="{783CA7A2-768C-48D3-BC13-80AEEE627B18}"/>
    <cellStyle name="Normal 9 2 2 2 2 2 6 3" xfId="11169" xr:uid="{7B32A64F-8329-4592-946B-F6B01B2442A0}"/>
    <cellStyle name="Normal 9 2 2 2 2 2 6 4" xfId="19610" xr:uid="{0551C783-F6E0-411F-BE5C-58B48DC4B61A}"/>
    <cellStyle name="Normal 9 2 2 2 2 2 7" xfId="4880" xr:uid="{00000000-0005-0000-0000-0000831E0000}"/>
    <cellStyle name="Normal 9 2 2 2 2 2 7 2" xfId="13322" xr:uid="{B2D08FC8-C9E0-4952-A670-B642C2F4BAF1}"/>
    <cellStyle name="Normal 9 2 2 2 2 2 7 3" xfId="21762" xr:uid="{9F4731C7-6ADB-48F1-A8E3-6E89115BB2FB}"/>
    <cellStyle name="Normal 9 2 2 2 2 2 8" xfId="9104" xr:uid="{80E40AD7-7FF4-4CC5-94A0-121A1BEEC3A4}"/>
    <cellStyle name="Normal 9 2 2 2 2 2 9" xfId="17545" xr:uid="{CCF0C2C2-8682-4850-9F9F-986CA1B21866}"/>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15879" xr:uid="{49D0B03E-ADEF-45FE-8238-2FD91C4FD468}"/>
    <cellStyle name="Normal 9 2 2 2 2 3 2 2 3" xfId="24319" xr:uid="{D2329C7A-A9CC-4FD6-BAAD-A3F46B98019E}"/>
    <cellStyle name="Normal 9 2 2 2 2 3 2 3" xfId="11661" xr:uid="{F6AB3B93-8DC7-4FB9-A3C6-28C14B4C8F1D}"/>
    <cellStyle name="Normal 9 2 2 2 2 3 2 4" xfId="20102" xr:uid="{2AC2A49A-9163-4907-9BAE-CA90FB5086D8}"/>
    <cellStyle name="Normal 9 2 2 2 2 3 3" xfId="5292" xr:uid="{00000000-0005-0000-0000-0000871E0000}"/>
    <cellStyle name="Normal 9 2 2 2 2 3 3 2" xfId="13734" xr:uid="{151FD246-8C09-4DB9-A40F-AAFEE3DC4E71}"/>
    <cellStyle name="Normal 9 2 2 2 2 3 3 3" xfId="22174" xr:uid="{9ED570E7-CEAF-449F-9DE4-D646C8E4E9AA}"/>
    <cellStyle name="Normal 9 2 2 2 2 3 4" xfId="9516" xr:uid="{69160DD9-D8AB-40D9-A86D-D0790741734C}"/>
    <cellStyle name="Normal 9 2 2 2 2 3 5" xfId="17957" xr:uid="{202B52CA-83AC-4E61-B448-602E708C1ABE}"/>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16292" xr:uid="{7500933C-7688-4BE7-B074-8683325C3752}"/>
    <cellStyle name="Normal 9 2 2 2 2 4 2 2 3" xfId="24732" xr:uid="{C4B37F19-1D41-46A9-A3D4-D07D02062998}"/>
    <cellStyle name="Normal 9 2 2 2 2 4 2 3" xfId="12074" xr:uid="{C5EA841A-5EF1-4149-ABCD-1AB9F223FBAA}"/>
    <cellStyle name="Normal 9 2 2 2 2 4 2 4" xfId="20515" xr:uid="{DEAC497F-3CAC-45A9-B9C1-169767B595B0}"/>
    <cellStyle name="Normal 9 2 2 2 2 4 3" xfId="5705" xr:uid="{00000000-0005-0000-0000-00008B1E0000}"/>
    <cellStyle name="Normal 9 2 2 2 2 4 3 2" xfId="14147" xr:uid="{ED4840DE-052A-4E14-BD02-257E972D2E4D}"/>
    <cellStyle name="Normal 9 2 2 2 2 4 3 3" xfId="22587" xr:uid="{29BEF2DE-8058-416C-AEB4-878572DC13C3}"/>
    <cellStyle name="Normal 9 2 2 2 2 4 4" xfId="9929" xr:uid="{9A0DBF7B-23DA-47A1-B198-EC805830E766}"/>
    <cellStyle name="Normal 9 2 2 2 2 4 5" xfId="18370" xr:uid="{AC824CC9-DFF0-4727-8FB1-4FFD111DA19B}"/>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16705" xr:uid="{24579CBF-8480-4B7E-B313-2C414DF1FB6A}"/>
    <cellStyle name="Normal 9 2 2 2 2 5 2 2 3" xfId="25145" xr:uid="{38689B28-2B42-4CA9-BF59-E7E9AFBA65ED}"/>
    <cellStyle name="Normal 9 2 2 2 2 5 2 3" xfId="12487" xr:uid="{F7030CDD-7E9C-4694-A14B-27EC46B2D653}"/>
    <cellStyle name="Normal 9 2 2 2 2 5 2 4" xfId="20928" xr:uid="{4DDF13D9-44E8-45E3-A881-F406A9BFCEA9}"/>
    <cellStyle name="Normal 9 2 2 2 2 5 3" xfId="6118" xr:uid="{00000000-0005-0000-0000-00008F1E0000}"/>
    <cellStyle name="Normal 9 2 2 2 2 5 3 2" xfId="14560" xr:uid="{293859FC-A630-4BAF-B6FE-55BBE5E8F4BD}"/>
    <cellStyle name="Normal 9 2 2 2 2 5 3 3" xfId="23000" xr:uid="{4D9B9E4A-D8D5-43D8-ADF2-55E2AAF005C3}"/>
    <cellStyle name="Normal 9 2 2 2 2 5 4" xfId="10342" xr:uid="{E72C78E5-BEA1-49ED-B7C2-EBF65D34AE66}"/>
    <cellStyle name="Normal 9 2 2 2 2 5 5" xfId="18783" xr:uid="{8CBE72D6-9733-4B65-A6D6-62CD48FE77BA}"/>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17118" xr:uid="{7B047363-7AD0-4413-8507-6A6E8407BA08}"/>
    <cellStyle name="Normal 9 2 2 2 2 6 2 2 3" xfId="25558" xr:uid="{3CD9400E-EA9B-4D90-AC26-BEA2AF01D7B5}"/>
    <cellStyle name="Normal 9 2 2 2 2 6 2 3" xfId="12900" xr:uid="{B1A82013-7DAF-4846-9145-73A7C24D866F}"/>
    <cellStyle name="Normal 9 2 2 2 2 6 2 4" xfId="21341" xr:uid="{A47E748F-D2E3-4D93-8588-44BF65F40C0A}"/>
    <cellStyle name="Normal 9 2 2 2 2 6 3" xfId="6531" xr:uid="{00000000-0005-0000-0000-0000931E0000}"/>
    <cellStyle name="Normal 9 2 2 2 2 6 3 2" xfId="14973" xr:uid="{AD1E6536-0AE9-4BCE-BBE3-5A9C739F6029}"/>
    <cellStyle name="Normal 9 2 2 2 2 6 3 3" xfId="23413" xr:uid="{A73066A2-346A-455E-9C06-625F9FC5B4F3}"/>
    <cellStyle name="Normal 9 2 2 2 2 6 4" xfId="10755" xr:uid="{D01BCB86-9FAE-41F0-92BB-556B7C0A91B7}"/>
    <cellStyle name="Normal 9 2 2 2 2 6 5" xfId="19196" xr:uid="{5872EF99-D0E5-4A09-825A-59EE04474904}"/>
    <cellStyle name="Normal 9 2 2 2 2 7" xfId="2660" xr:uid="{00000000-0005-0000-0000-0000941E0000}"/>
    <cellStyle name="Normal 9 2 2 2 2 7 2" xfId="6944" xr:uid="{00000000-0005-0000-0000-0000951E0000}"/>
    <cellStyle name="Normal 9 2 2 2 2 7 2 2" xfId="15386" xr:uid="{64FDC6BB-BE8D-4FF8-ABFB-E7886336C765}"/>
    <cellStyle name="Normal 9 2 2 2 2 7 2 3" xfId="23826" xr:uid="{DF8DCA6E-58A3-43E8-BB36-7FD430D541D8}"/>
    <cellStyle name="Normal 9 2 2 2 2 7 3" xfId="11168" xr:uid="{F89C8B5B-3F93-450B-8B63-FC89C28EC22D}"/>
    <cellStyle name="Normal 9 2 2 2 2 7 4" xfId="19609" xr:uid="{33ABFCA8-9C8D-42E3-9469-9460CCF246F7}"/>
    <cellStyle name="Normal 9 2 2 2 2 8" xfId="4879" xr:uid="{00000000-0005-0000-0000-0000961E0000}"/>
    <cellStyle name="Normal 9 2 2 2 2 8 2" xfId="13321" xr:uid="{078783CC-760E-4868-8DC0-0A2B668AB81F}"/>
    <cellStyle name="Normal 9 2 2 2 2 8 3" xfId="21761" xr:uid="{3072E411-E30E-4F90-A2BC-C607CC4D7362}"/>
    <cellStyle name="Normal 9 2 2 2 2 9" xfId="9103" xr:uid="{9EE805E2-7F51-44F3-A71A-7173B0B359ED}"/>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15881" xr:uid="{939D7CB4-9085-430C-8507-714348DD7170}"/>
    <cellStyle name="Normal 9 2 2 2 3 2 2 2 3" xfId="24321" xr:uid="{C67FC833-240A-471F-91C4-41FC2DD4EBFF}"/>
    <cellStyle name="Normal 9 2 2 2 3 2 2 3" xfId="11663" xr:uid="{70D30D14-C693-430F-B7CA-DA156FB3A9D9}"/>
    <cellStyle name="Normal 9 2 2 2 3 2 2 4" xfId="20104" xr:uid="{73426135-73CB-4DD8-8EBF-03409517F2D5}"/>
    <cellStyle name="Normal 9 2 2 2 3 2 3" xfId="5294" xr:uid="{00000000-0005-0000-0000-00009B1E0000}"/>
    <cellStyle name="Normal 9 2 2 2 3 2 3 2" xfId="13736" xr:uid="{AAD1C62D-4593-49B9-8CA6-74197936FD15}"/>
    <cellStyle name="Normal 9 2 2 2 3 2 3 3" xfId="22176" xr:uid="{4906A87C-8F74-44D1-A42F-CDFA91964F20}"/>
    <cellStyle name="Normal 9 2 2 2 3 2 4" xfId="9518" xr:uid="{3A48CA31-2D8A-4F98-A77C-97CA9EB1507A}"/>
    <cellStyle name="Normal 9 2 2 2 3 2 5" xfId="17959" xr:uid="{B1362DCD-7D16-490B-80BB-DDF9C043D243}"/>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16294" xr:uid="{BA9987D3-653F-4120-A964-D77C59FF97CB}"/>
    <cellStyle name="Normal 9 2 2 2 3 3 2 2 3" xfId="24734" xr:uid="{37A84FDA-5600-4F14-994D-847D18D1B6DD}"/>
    <cellStyle name="Normal 9 2 2 2 3 3 2 3" xfId="12076" xr:uid="{F6B44480-F49C-48C9-8AB1-3ADCEB91E13C}"/>
    <cellStyle name="Normal 9 2 2 2 3 3 2 4" xfId="20517" xr:uid="{E0A1CFA9-2B8E-4983-8C8F-06FD228CB994}"/>
    <cellStyle name="Normal 9 2 2 2 3 3 3" xfId="5707" xr:uid="{00000000-0005-0000-0000-00009F1E0000}"/>
    <cellStyle name="Normal 9 2 2 2 3 3 3 2" xfId="14149" xr:uid="{72CCBCC3-D611-4176-8A55-D0BE0C9A8220}"/>
    <cellStyle name="Normal 9 2 2 2 3 3 3 3" xfId="22589" xr:uid="{9395D2D4-9550-4978-8AE4-F94D656885ED}"/>
    <cellStyle name="Normal 9 2 2 2 3 3 4" xfId="9931" xr:uid="{5F6336C0-9520-4751-99E9-28F9A6D911D0}"/>
    <cellStyle name="Normal 9 2 2 2 3 3 5" xfId="18372" xr:uid="{CC6ECB75-A3A3-443A-9C70-043212D48477}"/>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16707" xr:uid="{F85022EF-7CC8-4EBC-8755-A22BD91CE5FD}"/>
    <cellStyle name="Normal 9 2 2 2 3 4 2 2 3" xfId="25147" xr:uid="{6B8116DC-EB51-4D6E-81B1-D4CB828A4429}"/>
    <cellStyle name="Normal 9 2 2 2 3 4 2 3" xfId="12489" xr:uid="{1FA7541D-F973-4E5E-A277-6135E386E9B7}"/>
    <cellStyle name="Normal 9 2 2 2 3 4 2 4" xfId="20930" xr:uid="{B58E4425-A453-4983-BE1B-4940AF1CDFBF}"/>
    <cellStyle name="Normal 9 2 2 2 3 4 3" xfId="6120" xr:uid="{00000000-0005-0000-0000-0000A31E0000}"/>
    <cellStyle name="Normal 9 2 2 2 3 4 3 2" xfId="14562" xr:uid="{9FF6B31D-A961-40E4-A0C3-584E2D8430ED}"/>
    <cellStyle name="Normal 9 2 2 2 3 4 3 3" xfId="23002" xr:uid="{FE6BD520-C265-47D6-A7D2-127A6A289D79}"/>
    <cellStyle name="Normal 9 2 2 2 3 4 4" xfId="10344" xr:uid="{9478B5C7-429F-4C0A-8F1D-BCB44B007921}"/>
    <cellStyle name="Normal 9 2 2 2 3 4 5" xfId="18785" xr:uid="{540CE063-BEE8-497D-BDA9-C8FD48ED0358}"/>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17120" xr:uid="{2273A813-07AD-4D21-ADC5-BADB9987EEE9}"/>
    <cellStyle name="Normal 9 2 2 2 3 5 2 2 3" xfId="25560" xr:uid="{A8ECF528-009B-498A-988D-300F9C8CC042}"/>
    <cellStyle name="Normal 9 2 2 2 3 5 2 3" xfId="12902" xr:uid="{A47EA921-E10E-475B-8504-864F88303F3B}"/>
    <cellStyle name="Normal 9 2 2 2 3 5 2 4" xfId="21343" xr:uid="{7D1B1FF2-9E51-4C35-A659-5B8EC7A77C21}"/>
    <cellStyle name="Normal 9 2 2 2 3 5 3" xfId="6533" xr:uid="{00000000-0005-0000-0000-0000A71E0000}"/>
    <cellStyle name="Normal 9 2 2 2 3 5 3 2" xfId="14975" xr:uid="{62611C74-AEF0-428C-81AF-FEBA02B61AAE}"/>
    <cellStyle name="Normal 9 2 2 2 3 5 3 3" xfId="23415" xr:uid="{8A941FAC-769A-4FC3-99B2-720FC3D3513D}"/>
    <cellStyle name="Normal 9 2 2 2 3 5 4" xfId="10757" xr:uid="{5C2CA3BC-032E-4A84-8931-5BC6E19D60AA}"/>
    <cellStyle name="Normal 9 2 2 2 3 5 5" xfId="19198" xr:uid="{45B4B10B-6D78-4851-8100-4A3BCA2D420B}"/>
    <cellStyle name="Normal 9 2 2 2 3 6" xfId="2662" xr:uid="{00000000-0005-0000-0000-0000A81E0000}"/>
    <cellStyle name="Normal 9 2 2 2 3 6 2" xfId="6946" xr:uid="{00000000-0005-0000-0000-0000A91E0000}"/>
    <cellStyle name="Normal 9 2 2 2 3 6 2 2" xfId="15388" xr:uid="{A01F36DE-E42B-4D46-A893-C1CC8F144891}"/>
    <cellStyle name="Normal 9 2 2 2 3 6 2 3" xfId="23828" xr:uid="{804B1328-BA1B-4239-ABFD-B8BF7D7D98F1}"/>
    <cellStyle name="Normal 9 2 2 2 3 6 3" xfId="11170" xr:uid="{7D7C789B-9C58-411E-BAC5-7B6C0E771D60}"/>
    <cellStyle name="Normal 9 2 2 2 3 6 4" xfId="19611" xr:uid="{C6279DCA-0D65-4A4A-95FC-AB2153F73016}"/>
    <cellStyle name="Normal 9 2 2 2 3 7" xfId="4881" xr:uid="{00000000-0005-0000-0000-0000AA1E0000}"/>
    <cellStyle name="Normal 9 2 2 2 3 7 2" xfId="13323" xr:uid="{91406AFE-E002-40EA-937C-5A6A0D96D166}"/>
    <cellStyle name="Normal 9 2 2 2 3 7 3" xfId="21763" xr:uid="{9144D760-DBA0-4393-9714-2E34047FAEFB}"/>
    <cellStyle name="Normal 9 2 2 2 3 8" xfId="9105" xr:uid="{1C9277ED-31B9-4606-A75A-406F0BFCD67D}"/>
    <cellStyle name="Normal 9 2 2 2 3 9" xfId="17546" xr:uid="{2F29BB3E-040E-4994-A909-A2F276D1C5FB}"/>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15878" xr:uid="{563595BF-4097-4356-92F1-CA00B8A16E80}"/>
    <cellStyle name="Normal 9 2 2 2 4 2 2 3" xfId="24318" xr:uid="{CB375807-DF8C-4A5D-8C58-822D35A1786B}"/>
    <cellStyle name="Normal 9 2 2 2 4 2 3" xfId="11660" xr:uid="{7C4ABD40-A392-448B-AD0E-CDB26C2BB3D5}"/>
    <cellStyle name="Normal 9 2 2 2 4 2 4" xfId="20101" xr:uid="{8B278D0A-DDF4-4A18-B4C1-909BAA951287}"/>
    <cellStyle name="Normal 9 2 2 2 4 3" xfId="5291" xr:uid="{00000000-0005-0000-0000-0000AE1E0000}"/>
    <cellStyle name="Normal 9 2 2 2 4 3 2" xfId="13733" xr:uid="{5DEDE8A2-2352-41E2-9902-AC7AC942F06F}"/>
    <cellStyle name="Normal 9 2 2 2 4 3 3" xfId="22173" xr:uid="{636A6867-EB23-4FFF-AF1A-9F1116091EC5}"/>
    <cellStyle name="Normal 9 2 2 2 4 4" xfId="9515" xr:uid="{23B015E8-9185-43F4-81D7-1D257E55855A}"/>
    <cellStyle name="Normal 9 2 2 2 4 5" xfId="17956" xr:uid="{2A8E60F0-6A25-46D6-A96E-08E9D88522C2}"/>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16291" xr:uid="{4116FEBE-F8BE-41A3-9116-1E61B6E0B244}"/>
    <cellStyle name="Normal 9 2 2 2 5 2 2 3" xfId="24731" xr:uid="{4B6FFB73-3D31-4A6E-BC8E-DCC378D99E74}"/>
    <cellStyle name="Normal 9 2 2 2 5 2 3" xfId="12073" xr:uid="{7C7D6CE1-4A19-4FD2-B331-0FAF19D323C0}"/>
    <cellStyle name="Normal 9 2 2 2 5 2 4" xfId="20514" xr:uid="{5967AA83-F58B-42B8-BC38-5FB0E97CC788}"/>
    <cellStyle name="Normal 9 2 2 2 5 3" xfId="5704" xr:uid="{00000000-0005-0000-0000-0000B21E0000}"/>
    <cellStyle name="Normal 9 2 2 2 5 3 2" xfId="14146" xr:uid="{B5EB9217-F046-44CF-ADF0-A85CCC2AC35F}"/>
    <cellStyle name="Normal 9 2 2 2 5 3 3" xfId="22586" xr:uid="{33F56F1A-016F-48B1-8191-03C69A2911C5}"/>
    <cellStyle name="Normal 9 2 2 2 5 4" xfId="9928" xr:uid="{01506674-278D-476B-B052-6706F3C1ED58}"/>
    <cellStyle name="Normal 9 2 2 2 5 5" xfId="18369" xr:uid="{5EF2381B-8987-4BB3-A098-649F3E77C2E9}"/>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16704" xr:uid="{79946B5F-9998-469D-8AB9-F137C79151CB}"/>
    <cellStyle name="Normal 9 2 2 2 6 2 2 3" xfId="25144" xr:uid="{66B1B53F-8B5B-4FFC-BA31-5EC740CC8930}"/>
    <cellStyle name="Normal 9 2 2 2 6 2 3" xfId="12486" xr:uid="{8CC856A9-BD5A-4A08-9AE7-C221DADF74A8}"/>
    <cellStyle name="Normal 9 2 2 2 6 2 4" xfId="20927" xr:uid="{1CCAA91E-1272-460C-A8DC-A503C7D59FEC}"/>
    <cellStyle name="Normal 9 2 2 2 6 3" xfId="6117" xr:uid="{00000000-0005-0000-0000-0000B61E0000}"/>
    <cellStyle name="Normal 9 2 2 2 6 3 2" xfId="14559" xr:uid="{73CFA141-4324-4AD9-95EF-9F1C6DA1ED1A}"/>
    <cellStyle name="Normal 9 2 2 2 6 3 3" xfId="22999" xr:uid="{0A843F8D-48AA-4447-B151-136DB7ED8351}"/>
    <cellStyle name="Normal 9 2 2 2 6 4" xfId="10341" xr:uid="{29AAB05D-8F67-4BF4-AEA0-4E4F3790EE07}"/>
    <cellStyle name="Normal 9 2 2 2 6 5" xfId="18782" xr:uid="{91FCA7C6-7075-4584-9FEC-7038F3584D42}"/>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17117" xr:uid="{104E86A0-BFD6-4BD2-B20F-2E1A3C3536B4}"/>
    <cellStyle name="Normal 9 2 2 2 7 2 2 3" xfId="25557" xr:uid="{B5B9049D-E26E-4974-9475-0F8428DAF3E4}"/>
    <cellStyle name="Normal 9 2 2 2 7 2 3" xfId="12899" xr:uid="{34EF3735-648F-4C57-8C8B-8837C97874A1}"/>
    <cellStyle name="Normal 9 2 2 2 7 2 4" xfId="21340" xr:uid="{DB897E18-BFA1-466B-9549-98A675301453}"/>
    <cellStyle name="Normal 9 2 2 2 7 3" xfId="6530" xr:uid="{00000000-0005-0000-0000-0000BA1E0000}"/>
    <cellStyle name="Normal 9 2 2 2 7 3 2" xfId="14972" xr:uid="{6F708058-4557-4808-ABFC-3AE6DC052D3E}"/>
    <cellStyle name="Normal 9 2 2 2 7 3 3" xfId="23412" xr:uid="{E746D406-B145-4BB7-A617-4B2199EF3BA1}"/>
    <cellStyle name="Normal 9 2 2 2 7 4" xfId="10754" xr:uid="{BD4B2111-D1A2-4E8A-B86F-6D30EA040C27}"/>
    <cellStyle name="Normal 9 2 2 2 7 5" xfId="19195" xr:uid="{85B9B6F1-D0D5-44DB-89B0-945727174D20}"/>
    <cellStyle name="Normal 9 2 2 2 8" xfId="2659" xr:uid="{00000000-0005-0000-0000-0000BB1E0000}"/>
    <cellStyle name="Normal 9 2 2 2 8 2" xfId="6943" xr:uid="{00000000-0005-0000-0000-0000BC1E0000}"/>
    <cellStyle name="Normal 9 2 2 2 8 2 2" xfId="15385" xr:uid="{008B900D-98BC-4D25-B132-B2F4E046E63C}"/>
    <cellStyle name="Normal 9 2 2 2 8 2 3" xfId="23825" xr:uid="{08F027C8-27B2-482C-ACAC-17A31B96A155}"/>
    <cellStyle name="Normal 9 2 2 2 8 3" xfId="11167" xr:uid="{F6AB0927-3A05-4B93-8304-7AF225F4CF72}"/>
    <cellStyle name="Normal 9 2 2 2 8 4" xfId="19608" xr:uid="{569ED45C-2870-436D-A88F-F8072042CFFC}"/>
    <cellStyle name="Normal 9 2 2 2 9" xfId="4878" xr:uid="{00000000-0005-0000-0000-0000BD1E0000}"/>
    <cellStyle name="Normal 9 2 2 2 9 2" xfId="13320" xr:uid="{318F3BAB-E237-4C58-AA82-692F1509694A}"/>
    <cellStyle name="Normal 9 2 2 2 9 3" xfId="21760" xr:uid="{33D48D2B-F207-4EDD-B772-17A67AFAD2B7}"/>
    <cellStyle name="Normal 9 2 2 3" xfId="517" xr:uid="{00000000-0005-0000-0000-0000BE1E0000}"/>
    <cellStyle name="Normal 9 2 2 3 10" xfId="17547" xr:uid="{380B5B51-4C09-4B5F-AEAD-6DB92C265DA8}"/>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15883" xr:uid="{171DD3FB-C855-45B5-B9E6-09F242DFE738}"/>
    <cellStyle name="Normal 9 2 2 3 2 2 2 2 3" xfId="24323" xr:uid="{A9EEF695-D70D-47F2-BF31-E0AC7D13BBCD}"/>
    <cellStyle name="Normal 9 2 2 3 2 2 2 3" xfId="11665" xr:uid="{2A9D711E-7525-4E1D-836C-01905DA17E8A}"/>
    <cellStyle name="Normal 9 2 2 3 2 2 2 4" xfId="20106" xr:uid="{BBE19084-4568-45B3-926B-3C9749D85462}"/>
    <cellStyle name="Normal 9 2 2 3 2 2 3" xfId="5296" xr:uid="{00000000-0005-0000-0000-0000C31E0000}"/>
    <cellStyle name="Normal 9 2 2 3 2 2 3 2" xfId="13738" xr:uid="{96F7E1A7-6351-45F4-8379-970E9D02D5BC}"/>
    <cellStyle name="Normal 9 2 2 3 2 2 3 3" xfId="22178" xr:uid="{4757593E-3913-42CF-A471-7A3FE0937547}"/>
    <cellStyle name="Normal 9 2 2 3 2 2 4" xfId="9520" xr:uid="{3F5E5E54-EA6B-4F3E-B3D7-AE8E557D8E30}"/>
    <cellStyle name="Normal 9 2 2 3 2 2 5" xfId="17961" xr:uid="{EBD81396-FA7B-4156-80C5-67CDC6F268A8}"/>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16296" xr:uid="{54BEE4DB-E931-4E00-A278-480307CCA470}"/>
    <cellStyle name="Normal 9 2 2 3 2 3 2 2 3" xfId="24736" xr:uid="{96849027-E936-44A8-8D90-D61362EC422F}"/>
    <cellStyle name="Normal 9 2 2 3 2 3 2 3" xfId="12078" xr:uid="{9E041716-FCDC-4E9A-AE37-F946410881E7}"/>
    <cellStyle name="Normal 9 2 2 3 2 3 2 4" xfId="20519" xr:uid="{A78D779B-1C42-4F6C-8B75-E3CAF9B0B616}"/>
    <cellStyle name="Normal 9 2 2 3 2 3 3" xfId="5709" xr:uid="{00000000-0005-0000-0000-0000C71E0000}"/>
    <cellStyle name="Normal 9 2 2 3 2 3 3 2" xfId="14151" xr:uid="{625F490B-84CE-47B0-89C8-0DCB2BC93B29}"/>
    <cellStyle name="Normal 9 2 2 3 2 3 3 3" xfId="22591" xr:uid="{53E0F125-A80B-4B62-967F-0CB09D71C824}"/>
    <cellStyle name="Normal 9 2 2 3 2 3 4" xfId="9933" xr:uid="{BEBBE8DB-5E96-4AC1-937A-B5AFD5C0569C}"/>
    <cellStyle name="Normal 9 2 2 3 2 3 5" xfId="18374" xr:uid="{5C6DE15D-8EDD-4A51-B9D9-5C7E76401581}"/>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16709" xr:uid="{59F7C48E-211E-4EB3-AF47-00A6D24875C7}"/>
    <cellStyle name="Normal 9 2 2 3 2 4 2 2 3" xfId="25149" xr:uid="{87C039B3-16A2-4A4A-8A06-ACEAB8392C61}"/>
    <cellStyle name="Normal 9 2 2 3 2 4 2 3" xfId="12491" xr:uid="{63631053-06F1-4537-A6C5-CE11AD20B9F5}"/>
    <cellStyle name="Normal 9 2 2 3 2 4 2 4" xfId="20932" xr:uid="{457ACA2A-C889-413F-9333-57199E749D86}"/>
    <cellStyle name="Normal 9 2 2 3 2 4 3" xfId="6122" xr:uid="{00000000-0005-0000-0000-0000CB1E0000}"/>
    <cellStyle name="Normal 9 2 2 3 2 4 3 2" xfId="14564" xr:uid="{E785DDA8-64D9-4721-930C-24B605738CF5}"/>
    <cellStyle name="Normal 9 2 2 3 2 4 3 3" xfId="23004" xr:uid="{3A5731E5-DCDA-435B-8711-28A076669A1C}"/>
    <cellStyle name="Normal 9 2 2 3 2 4 4" xfId="10346" xr:uid="{A1373C55-5822-4724-905C-5579CCF6B64E}"/>
    <cellStyle name="Normal 9 2 2 3 2 4 5" xfId="18787" xr:uid="{728C641C-1ABE-4820-823D-C0A1E3A92696}"/>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17122" xr:uid="{84697B28-EFFA-4AD1-A596-6986B7AD7EB7}"/>
    <cellStyle name="Normal 9 2 2 3 2 5 2 2 3" xfId="25562" xr:uid="{30F722DB-1F8F-4D48-8BEC-EB1973EF9B60}"/>
    <cellStyle name="Normal 9 2 2 3 2 5 2 3" xfId="12904" xr:uid="{9D67C833-446F-4C02-A3D6-6943A241FE21}"/>
    <cellStyle name="Normal 9 2 2 3 2 5 2 4" xfId="21345" xr:uid="{653BFD15-A0FE-457C-BA9F-D58AC0A2F077}"/>
    <cellStyle name="Normal 9 2 2 3 2 5 3" xfId="6535" xr:uid="{00000000-0005-0000-0000-0000CF1E0000}"/>
    <cellStyle name="Normal 9 2 2 3 2 5 3 2" xfId="14977" xr:uid="{E06054FE-D4F6-409D-9A32-5E3AD91D3479}"/>
    <cellStyle name="Normal 9 2 2 3 2 5 3 3" xfId="23417" xr:uid="{1833B291-6F68-4F65-BA41-BA657284CA8F}"/>
    <cellStyle name="Normal 9 2 2 3 2 5 4" xfId="10759" xr:uid="{1CFA2CAE-F13A-4877-843B-EF5B02B50CF9}"/>
    <cellStyle name="Normal 9 2 2 3 2 5 5" xfId="19200" xr:uid="{E1DF9D4A-11FC-42E5-8CDB-B2E89CBD13A2}"/>
    <cellStyle name="Normal 9 2 2 3 2 6" xfId="2664" xr:uid="{00000000-0005-0000-0000-0000D01E0000}"/>
    <cellStyle name="Normal 9 2 2 3 2 6 2" xfId="6948" xr:uid="{00000000-0005-0000-0000-0000D11E0000}"/>
    <cellStyle name="Normal 9 2 2 3 2 6 2 2" xfId="15390" xr:uid="{C81EFBBF-CF17-459A-A89A-85A6015871D6}"/>
    <cellStyle name="Normal 9 2 2 3 2 6 2 3" xfId="23830" xr:uid="{56E0F1AD-DA13-4F73-B439-AEFB8D0FB27F}"/>
    <cellStyle name="Normal 9 2 2 3 2 6 3" xfId="11172" xr:uid="{F323D13C-812C-403B-A8EC-98A4DF0A42C5}"/>
    <cellStyle name="Normal 9 2 2 3 2 6 4" xfId="19613" xr:uid="{7A8D972D-8D5E-4566-9336-3331973E98B0}"/>
    <cellStyle name="Normal 9 2 2 3 2 7" xfId="4883" xr:uid="{00000000-0005-0000-0000-0000D21E0000}"/>
    <cellStyle name="Normal 9 2 2 3 2 7 2" xfId="13325" xr:uid="{06B64436-8FCE-451A-9937-CA50C1C1376A}"/>
    <cellStyle name="Normal 9 2 2 3 2 7 3" xfId="21765" xr:uid="{526E9799-C5BC-4741-B92D-B57BC4A798CC}"/>
    <cellStyle name="Normal 9 2 2 3 2 8" xfId="9107" xr:uid="{729CE8DF-2F05-479B-81B6-C91C23FFA84B}"/>
    <cellStyle name="Normal 9 2 2 3 2 9" xfId="17548" xr:uid="{3C6CB323-B3BA-46FC-97BB-BEEA29A6497E}"/>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15882" xr:uid="{3EA3F70A-5F4C-4CF6-BE7F-D6B0BD46841E}"/>
    <cellStyle name="Normal 9 2 2 3 3 2 2 3" xfId="24322" xr:uid="{EF91F2EC-86C0-487B-AE3A-26AD0A825FA8}"/>
    <cellStyle name="Normal 9 2 2 3 3 2 3" xfId="11664" xr:uid="{95379524-50AB-4F7E-81A8-C774708F9216}"/>
    <cellStyle name="Normal 9 2 2 3 3 2 4" xfId="20105" xr:uid="{D5AA4F2D-82A6-422F-A32D-2F294E12BF0D}"/>
    <cellStyle name="Normal 9 2 2 3 3 3" xfId="5295" xr:uid="{00000000-0005-0000-0000-0000D61E0000}"/>
    <cellStyle name="Normal 9 2 2 3 3 3 2" xfId="13737" xr:uid="{285735C8-EBC2-4994-BD1F-D811424F1F26}"/>
    <cellStyle name="Normal 9 2 2 3 3 3 3" xfId="22177" xr:uid="{4BA015B0-E842-4B88-8F9F-5425271883A2}"/>
    <cellStyle name="Normal 9 2 2 3 3 4" xfId="9519" xr:uid="{D0D7A0AA-6700-421D-B40A-1B858CAD8C9B}"/>
    <cellStyle name="Normal 9 2 2 3 3 5" xfId="17960" xr:uid="{99036C92-93D9-400A-8602-2168BAC6EE95}"/>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16295" xr:uid="{B367EA45-F445-4F97-A959-25E38C5C1450}"/>
    <cellStyle name="Normal 9 2 2 3 4 2 2 3" xfId="24735" xr:uid="{D73684CA-A7D1-4472-BA9E-0BA842F4E8EF}"/>
    <cellStyle name="Normal 9 2 2 3 4 2 3" xfId="12077" xr:uid="{4CB09C44-C142-4CD9-BF24-6CF6DBE2FE19}"/>
    <cellStyle name="Normal 9 2 2 3 4 2 4" xfId="20518" xr:uid="{76FA6E67-1494-4957-9F01-39FC0F61E80F}"/>
    <cellStyle name="Normal 9 2 2 3 4 3" xfId="5708" xr:uid="{00000000-0005-0000-0000-0000DA1E0000}"/>
    <cellStyle name="Normal 9 2 2 3 4 3 2" xfId="14150" xr:uid="{A38AEEF8-749F-4A9E-A8C1-25E23FDBF037}"/>
    <cellStyle name="Normal 9 2 2 3 4 3 3" xfId="22590" xr:uid="{E97206A8-F0CE-4C8B-9B8F-3068DB2841CE}"/>
    <cellStyle name="Normal 9 2 2 3 4 4" xfId="9932" xr:uid="{DC565A8A-B53C-4B14-9724-BD32AD95E1D4}"/>
    <cellStyle name="Normal 9 2 2 3 4 5" xfId="18373" xr:uid="{79019BF2-6B63-487C-AC3D-4F4905F13649}"/>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16708" xr:uid="{6A13AD8F-D5AB-4492-922F-AFF7CB1B4EC1}"/>
    <cellStyle name="Normal 9 2 2 3 5 2 2 3" xfId="25148" xr:uid="{B4B48D9D-7C88-413D-8E9E-52FAEE04F7C9}"/>
    <cellStyle name="Normal 9 2 2 3 5 2 3" xfId="12490" xr:uid="{1FEA5979-7CD8-44EB-ACB5-5EDF640CBD4F}"/>
    <cellStyle name="Normal 9 2 2 3 5 2 4" xfId="20931" xr:uid="{C5B34665-B878-4021-99AD-95160E7E9EC8}"/>
    <cellStyle name="Normal 9 2 2 3 5 3" xfId="6121" xr:uid="{00000000-0005-0000-0000-0000DE1E0000}"/>
    <cellStyle name="Normal 9 2 2 3 5 3 2" xfId="14563" xr:uid="{F0C9E0F6-36B1-49C9-9DF3-D81CE26FAFE2}"/>
    <cellStyle name="Normal 9 2 2 3 5 3 3" xfId="23003" xr:uid="{7C00994F-86B4-4744-BA7A-FD844CFE854A}"/>
    <cellStyle name="Normal 9 2 2 3 5 4" xfId="10345" xr:uid="{D23359B2-1058-48BE-9D8A-926C871C2F4F}"/>
    <cellStyle name="Normal 9 2 2 3 5 5" xfId="18786" xr:uid="{DCEE9CE8-1392-42A6-BE38-9A4A398F8F64}"/>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17121" xr:uid="{2C113934-6DB9-4587-9C02-B0932E6FB5EC}"/>
    <cellStyle name="Normal 9 2 2 3 6 2 2 3" xfId="25561" xr:uid="{D93C8079-6DFD-41AD-AFE9-855663FF4F46}"/>
    <cellStyle name="Normal 9 2 2 3 6 2 3" xfId="12903" xr:uid="{7474339A-BF78-4DF7-A888-9DF55E82D5D4}"/>
    <cellStyle name="Normal 9 2 2 3 6 2 4" xfId="21344" xr:uid="{65FD5949-1100-4854-9655-4EC91E286B70}"/>
    <cellStyle name="Normal 9 2 2 3 6 3" xfId="6534" xr:uid="{00000000-0005-0000-0000-0000E21E0000}"/>
    <cellStyle name="Normal 9 2 2 3 6 3 2" xfId="14976" xr:uid="{3242CF95-E6E7-4388-90F9-1A0CE89D11C9}"/>
    <cellStyle name="Normal 9 2 2 3 6 3 3" xfId="23416" xr:uid="{0504EC91-7130-4A1D-9182-21D3D82948FE}"/>
    <cellStyle name="Normal 9 2 2 3 6 4" xfId="10758" xr:uid="{43A95498-F697-42D8-86B7-9FB53852A8C3}"/>
    <cellStyle name="Normal 9 2 2 3 6 5" xfId="19199" xr:uid="{2DC466D9-5EAC-4F6F-8D90-B1CD5D8EBFB9}"/>
    <cellStyle name="Normal 9 2 2 3 7" xfId="2663" xr:uid="{00000000-0005-0000-0000-0000E31E0000}"/>
    <cellStyle name="Normal 9 2 2 3 7 2" xfId="6947" xr:uid="{00000000-0005-0000-0000-0000E41E0000}"/>
    <cellStyle name="Normal 9 2 2 3 7 2 2" xfId="15389" xr:uid="{68935B12-F09C-4C58-BF85-6E7410E2C50F}"/>
    <cellStyle name="Normal 9 2 2 3 7 2 3" xfId="23829" xr:uid="{4ED43ECB-6B9F-4CBF-83A1-F311DEC9B1CF}"/>
    <cellStyle name="Normal 9 2 2 3 7 3" xfId="11171" xr:uid="{3E29A466-BCA8-4790-8DA6-9A80BF8A85A0}"/>
    <cellStyle name="Normal 9 2 2 3 7 4" xfId="19612" xr:uid="{77A8C104-16D1-47B1-A385-353F6B710CBE}"/>
    <cellStyle name="Normal 9 2 2 3 8" xfId="4882" xr:uid="{00000000-0005-0000-0000-0000E51E0000}"/>
    <cellStyle name="Normal 9 2 2 3 8 2" xfId="13324" xr:uid="{D03CCDA0-4371-463B-9606-E112502630DB}"/>
    <cellStyle name="Normal 9 2 2 3 8 3" xfId="21764" xr:uid="{3B62F298-48EB-444B-ADC1-AAED2CB8068C}"/>
    <cellStyle name="Normal 9 2 2 3 9" xfId="9106" xr:uid="{FE88BBD5-AA4F-42EA-A613-14AC654BB5BE}"/>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15884" xr:uid="{7B45915E-55D4-4A32-B556-D45888E2650D}"/>
    <cellStyle name="Normal 9 2 2 4 2 2 2 3" xfId="24324" xr:uid="{CE0A7B65-36E0-42C9-871B-378686D51D65}"/>
    <cellStyle name="Normal 9 2 2 4 2 2 3" xfId="11666" xr:uid="{CC65F3E4-265F-49BF-BFDB-0CE675022EFF}"/>
    <cellStyle name="Normal 9 2 2 4 2 2 4" xfId="20107" xr:uid="{0941990F-31FE-44C6-BDE8-D0ED9B65254F}"/>
    <cellStyle name="Normal 9 2 2 4 2 3" xfId="5297" xr:uid="{00000000-0005-0000-0000-0000EA1E0000}"/>
    <cellStyle name="Normal 9 2 2 4 2 3 2" xfId="13739" xr:uid="{D31A4CDB-FA18-4500-89F9-A1A235BA9FA3}"/>
    <cellStyle name="Normal 9 2 2 4 2 3 3" xfId="22179" xr:uid="{0770231A-16D9-41A6-A25B-BCBA859C1F09}"/>
    <cellStyle name="Normal 9 2 2 4 2 4" xfId="9521" xr:uid="{BBBB4C4B-903B-4F83-8201-DD7A291BE4D5}"/>
    <cellStyle name="Normal 9 2 2 4 2 5" xfId="17962" xr:uid="{E35E5AC8-E076-4F09-AC30-C6EA7E396FF5}"/>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16297" xr:uid="{0F0D93BC-F0F0-4DAC-A8F6-D8A217EB0E37}"/>
    <cellStyle name="Normal 9 2 2 4 3 2 2 3" xfId="24737" xr:uid="{C6FF185C-FE15-4EDF-B6E9-75B02B270CD6}"/>
    <cellStyle name="Normal 9 2 2 4 3 2 3" xfId="12079" xr:uid="{D34B84DE-F595-4CC3-9B17-976584653A01}"/>
    <cellStyle name="Normal 9 2 2 4 3 2 4" xfId="20520" xr:uid="{C49B9E06-81DD-406B-A161-18C31FD5F25C}"/>
    <cellStyle name="Normal 9 2 2 4 3 3" xfId="5710" xr:uid="{00000000-0005-0000-0000-0000EE1E0000}"/>
    <cellStyle name="Normal 9 2 2 4 3 3 2" xfId="14152" xr:uid="{F7B0DE3B-8849-468A-8DE4-65E0CBBC6577}"/>
    <cellStyle name="Normal 9 2 2 4 3 3 3" xfId="22592" xr:uid="{7C49C6EE-1F79-4772-9BA5-0C50AEDD40EE}"/>
    <cellStyle name="Normal 9 2 2 4 3 4" xfId="9934" xr:uid="{695F9043-33B4-484F-9DDB-CA35486ACE93}"/>
    <cellStyle name="Normal 9 2 2 4 3 5" xfId="18375" xr:uid="{FF685355-B19E-4998-B625-F176581176E7}"/>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16710" xr:uid="{F7ADDA71-6ABB-4B31-BDBC-C8C1C2E8A338}"/>
    <cellStyle name="Normal 9 2 2 4 4 2 2 3" xfId="25150" xr:uid="{CCE3F817-9987-4F19-B4AB-160689F65D0A}"/>
    <cellStyle name="Normal 9 2 2 4 4 2 3" xfId="12492" xr:uid="{A0FCBCE6-4909-4B39-95F9-9053F20CE47E}"/>
    <cellStyle name="Normal 9 2 2 4 4 2 4" xfId="20933" xr:uid="{5AB2EC0A-96A1-42D7-B81D-3C9934B23CFB}"/>
    <cellStyle name="Normal 9 2 2 4 4 3" xfId="6123" xr:uid="{00000000-0005-0000-0000-0000F21E0000}"/>
    <cellStyle name="Normal 9 2 2 4 4 3 2" xfId="14565" xr:uid="{CAA4569C-1DD0-496C-BBBE-D844DE8B342C}"/>
    <cellStyle name="Normal 9 2 2 4 4 3 3" xfId="23005" xr:uid="{4FF3A0DB-12E0-4CB8-BD93-8951F9B854C0}"/>
    <cellStyle name="Normal 9 2 2 4 4 4" xfId="10347" xr:uid="{17B700A4-0436-40F3-B073-E77F4A2F1AD4}"/>
    <cellStyle name="Normal 9 2 2 4 4 5" xfId="18788" xr:uid="{0F24B01E-CBBA-448F-8F98-0E7ED5528DBE}"/>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17123" xr:uid="{30A87ABB-C335-478D-A3DA-73BEC999F24A}"/>
    <cellStyle name="Normal 9 2 2 4 5 2 2 3" xfId="25563" xr:uid="{E0297E84-0BD1-4A4D-A952-8BBD48BE7765}"/>
    <cellStyle name="Normal 9 2 2 4 5 2 3" xfId="12905" xr:uid="{7784C832-FE4C-432E-A212-7E0C8FAFF862}"/>
    <cellStyle name="Normal 9 2 2 4 5 2 4" xfId="21346" xr:uid="{7B42BECA-DCFA-4E9C-9D0E-7EF4110BFD6D}"/>
    <cellStyle name="Normal 9 2 2 4 5 3" xfId="6536" xr:uid="{00000000-0005-0000-0000-0000F61E0000}"/>
    <cellStyle name="Normal 9 2 2 4 5 3 2" xfId="14978" xr:uid="{630A9CA3-0C8B-4480-A7BC-DD78FE624F94}"/>
    <cellStyle name="Normal 9 2 2 4 5 3 3" xfId="23418" xr:uid="{5B942831-614C-4FE6-A3BB-95E262CE2DFA}"/>
    <cellStyle name="Normal 9 2 2 4 5 4" xfId="10760" xr:uid="{919929A9-4C60-474E-BD5F-29B9922B82EE}"/>
    <cellStyle name="Normal 9 2 2 4 5 5" xfId="19201" xr:uid="{9B1E2426-AB9A-4DB2-97FC-B988A1B362F9}"/>
    <cellStyle name="Normal 9 2 2 4 6" xfId="2665" xr:uid="{00000000-0005-0000-0000-0000F71E0000}"/>
    <cellStyle name="Normal 9 2 2 4 6 2" xfId="6949" xr:uid="{00000000-0005-0000-0000-0000F81E0000}"/>
    <cellStyle name="Normal 9 2 2 4 6 2 2" xfId="15391" xr:uid="{78418EE2-E41E-4BB8-BA07-59D30CA8F9BC}"/>
    <cellStyle name="Normal 9 2 2 4 6 2 3" xfId="23831" xr:uid="{518CDA4A-5120-41C3-8F18-642F78A91222}"/>
    <cellStyle name="Normal 9 2 2 4 6 3" xfId="11173" xr:uid="{2D32B7BD-1840-4219-93A8-84176037DD3C}"/>
    <cellStyle name="Normal 9 2 2 4 6 4" xfId="19614" xr:uid="{DDCD9844-3089-48A2-8DEE-D2B405EB7DB2}"/>
    <cellStyle name="Normal 9 2 2 4 7" xfId="4884" xr:uid="{00000000-0005-0000-0000-0000F91E0000}"/>
    <cellStyle name="Normal 9 2 2 4 7 2" xfId="13326" xr:uid="{CDF1EAC7-6951-42A6-BD32-E5573B38F5A7}"/>
    <cellStyle name="Normal 9 2 2 4 7 3" xfId="21766" xr:uid="{9EE80D15-C63D-4225-985B-F4A225141909}"/>
    <cellStyle name="Normal 9 2 2 4 8" xfId="9108" xr:uid="{1D943B7E-FFA4-45D3-B4C3-34862915B8DB}"/>
    <cellStyle name="Normal 9 2 2 4 9" xfId="17549" xr:uid="{4BFD340C-F72D-403D-90AD-C9AF265C34D5}"/>
    <cellStyle name="Normal 9 2 2 5" xfId="979" xr:uid="{00000000-0005-0000-0000-0000FA1E0000}"/>
    <cellStyle name="Normal 9 2 2 5 2" xfId="3212" xr:uid="{00000000-0005-0000-0000-0000FB1E0000}"/>
    <cellStyle name="Normal 9 2 2 5 2 2" xfId="7435" xr:uid="{00000000-0005-0000-0000-0000FC1E0000}"/>
    <cellStyle name="Normal 9 2 2 5 2 2 2" xfId="15877" xr:uid="{8ACFB6B6-94C9-4F14-A377-19A85908EE23}"/>
    <cellStyle name="Normal 9 2 2 5 2 2 3" xfId="24317" xr:uid="{25892B71-97FB-43E2-936C-326E2C95EFE9}"/>
    <cellStyle name="Normal 9 2 2 5 2 3" xfId="11659" xr:uid="{30559FF5-B50E-4A76-AD19-22B43D3C95A4}"/>
    <cellStyle name="Normal 9 2 2 5 2 4" xfId="20100" xr:uid="{A4A5B62C-6541-4F2E-B996-5F01DECCAFF2}"/>
    <cellStyle name="Normal 9 2 2 5 3" xfId="5290" xr:uid="{00000000-0005-0000-0000-0000FD1E0000}"/>
    <cellStyle name="Normal 9 2 2 5 3 2" xfId="13732" xr:uid="{7E2077F6-4717-4BC5-B115-386FF23559A8}"/>
    <cellStyle name="Normal 9 2 2 5 3 3" xfId="22172" xr:uid="{B81A6E45-5686-4BD8-8934-4A05728D94C8}"/>
    <cellStyle name="Normal 9 2 2 5 4" xfId="9514" xr:uid="{E32F5DA2-DFEE-4C98-AE18-90FA3C6056E5}"/>
    <cellStyle name="Normal 9 2 2 5 5" xfId="17955" xr:uid="{3A455627-C608-41BB-B6E9-00F21ADCADAB}"/>
    <cellStyle name="Normal 9 2 2 6" xfId="1395" xr:uid="{00000000-0005-0000-0000-0000FE1E0000}"/>
    <cellStyle name="Normal 9 2 2 6 2" xfId="3625" xr:uid="{00000000-0005-0000-0000-0000FF1E0000}"/>
    <cellStyle name="Normal 9 2 2 6 2 2" xfId="7848" xr:uid="{00000000-0005-0000-0000-0000001F0000}"/>
    <cellStyle name="Normal 9 2 2 6 2 2 2" xfId="16290" xr:uid="{6F518565-3FC8-4F46-8A3C-18C51DB6FD3E}"/>
    <cellStyle name="Normal 9 2 2 6 2 2 3" xfId="24730" xr:uid="{129BAFAB-C6E6-4C3C-87E9-7B4D596AE063}"/>
    <cellStyle name="Normal 9 2 2 6 2 3" xfId="12072" xr:uid="{BF23CB9A-BC12-4466-B369-5F270468CF64}"/>
    <cellStyle name="Normal 9 2 2 6 2 4" xfId="20513" xr:uid="{B77D26A7-DEF9-4ADB-A0FC-3EAD6293B644}"/>
    <cellStyle name="Normal 9 2 2 6 3" xfId="5703" xr:uid="{00000000-0005-0000-0000-0000011F0000}"/>
    <cellStyle name="Normal 9 2 2 6 3 2" xfId="14145" xr:uid="{71FFE8ED-2E1B-42BC-8B70-45DB623FBC72}"/>
    <cellStyle name="Normal 9 2 2 6 3 3" xfId="22585" xr:uid="{51D54A4C-33A7-477D-82E6-81D779D254BC}"/>
    <cellStyle name="Normal 9 2 2 6 4" xfId="9927" xr:uid="{305717AA-2D4E-4B77-98D2-F27B491B1400}"/>
    <cellStyle name="Normal 9 2 2 6 5" xfId="18368" xr:uid="{A56EEEBF-915A-4F4D-9F7D-ADCB9AE82554}"/>
    <cellStyle name="Normal 9 2 2 7" xfId="1808" xr:uid="{00000000-0005-0000-0000-0000021F0000}"/>
    <cellStyle name="Normal 9 2 2 7 2" xfId="4038" xr:uid="{00000000-0005-0000-0000-0000031F0000}"/>
    <cellStyle name="Normal 9 2 2 7 2 2" xfId="8261" xr:uid="{00000000-0005-0000-0000-0000041F0000}"/>
    <cellStyle name="Normal 9 2 2 7 2 2 2" xfId="16703" xr:uid="{35C657AC-77E4-4B47-AB5A-EF5018079003}"/>
    <cellStyle name="Normal 9 2 2 7 2 2 3" xfId="25143" xr:uid="{C05174A2-7440-4733-BD0D-DC3F00F603BD}"/>
    <cellStyle name="Normal 9 2 2 7 2 3" xfId="12485" xr:uid="{023F4A5D-BDD4-418C-9983-362C44AF585D}"/>
    <cellStyle name="Normal 9 2 2 7 2 4" xfId="20926" xr:uid="{3660E481-3FC3-4629-8E97-09EE93EAD0E8}"/>
    <cellStyle name="Normal 9 2 2 7 3" xfId="6116" xr:uid="{00000000-0005-0000-0000-0000051F0000}"/>
    <cellStyle name="Normal 9 2 2 7 3 2" xfId="14558" xr:uid="{5637B437-6B39-4746-9617-FB175048C1D6}"/>
    <cellStyle name="Normal 9 2 2 7 3 3" xfId="22998" xr:uid="{EB95CF9C-F79D-49CA-883F-9D8F2CB5DCFB}"/>
    <cellStyle name="Normal 9 2 2 7 4" xfId="10340" xr:uid="{82243137-F038-4FBA-8ACA-AE960F8DA572}"/>
    <cellStyle name="Normal 9 2 2 7 5" xfId="18781" xr:uid="{8BE3F2C9-E3C6-4F6D-BBF8-A40149132435}"/>
    <cellStyle name="Normal 9 2 2 8" xfId="2222" xr:uid="{00000000-0005-0000-0000-0000061F0000}"/>
    <cellStyle name="Normal 9 2 2 8 2" xfId="4451" xr:uid="{00000000-0005-0000-0000-0000071F0000}"/>
    <cellStyle name="Normal 9 2 2 8 2 2" xfId="8674" xr:uid="{00000000-0005-0000-0000-0000081F0000}"/>
    <cellStyle name="Normal 9 2 2 8 2 2 2" xfId="17116" xr:uid="{50FB741F-3BD4-4A87-B949-F42D9E5183EC}"/>
    <cellStyle name="Normal 9 2 2 8 2 2 3" xfId="25556" xr:uid="{11D44384-3533-4102-9B7D-FB8A94BB30D1}"/>
    <cellStyle name="Normal 9 2 2 8 2 3" xfId="12898" xr:uid="{A37EFF2E-51CE-4AD2-B4F4-F3605325C533}"/>
    <cellStyle name="Normal 9 2 2 8 2 4" xfId="21339" xr:uid="{E02EFC89-DE4A-4C55-BA62-A51312198651}"/>
    <cellStyle name="Normal 9 2 2 8 3" xfId="6529" xr:uid="{00000000-0005-0000-0000-0000091F0000}"/>
    <cellStyle name="Normal 9 2 2 8 3 2" xfId="14971" xr:uid="{A791B9A4-E7CC-4686-96AA-71506A2D6FB7}"/>
    <cellStyle name="Normal 9 2 2 8 3 3" xfId="23411" xr:uid="{F6E5E666-EA77-4222-BA3F-0758FB67D61B}"/>
    <cellStyle name="Normal 9 2 2 8 4" xfId="10753" xr:uid="{BBDDEF67-4433-461F-999C-F51D60D557E1}"/>
    <cellStyle name="Normal 9 2 2 8 5" xfId="19194" xr:uid="{368A36DF-BF48-48D2-BA37-7CA00C5C3EED}"/>
    <cellStyle name="Normal 9 2 2 9" xfId="2658" xr:uid="{00000000-0005-0000-0000-00000A1F0000}"/>
    <cellStyle name="Normal 9 2 2 9 2" xfId="6942" xr:uid="{00000000-0005-0000-0000-00000B1F0000}"/>
    <cellStyle name="Normal 9 2 2 9 2 2" xfId="15384" xr:uid="{2E372A87-0EF6-4533-81B3-1A38D8BFF28F}"/>
    <cellStyle name="Normal 9 2 2 9 2 3" xfId="23824" xr:uid="{4CACEDD6-B907-4AD5-82E3-768601385430}"/>
    <cellStyle name="Normal 9 2 2 9 3" xfId="11166" xr:uid="{6E427AA7-ECFA-4137-9A5C-D65906061212}"/>
    <cellStyle name="Normal 9 2 2 9 4" xfId="19607" xr:uid="{6BCF43FB-6EC8-4E8A-B285-3FBDCEF20EE2}"/>
    <cellStyle name="Normal 9 2 3" xfId="520" xr:uid="{00000000-0005-0000-0000-00000C1F0000}"/>
    <cellStyle name="Normal 9 2 3 10" xfId="9109" xr:uid="{16249F02-58D0-4743-98BA-46F80AAE8333}"/>
    <cellStyle name="Normal 9 2 3 11" xfId="17550" xr:uid="{890F3B1B-E3FD-4C6A-B5B6-B51A9F737A8F}"/>
    <cellStyle name="Normal 9 2 3 2" xfId="521" xr:uid="{00000000-0005-0000-0000-00000D1F0000}"/>
    <cellStyle name="Normal 9 2 3 2 10" xfId="17551" xr:uid="{C754C0F1-F727-41FC-989C-D06538B79D11}"/>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15887" xr:uid="{1A03DDEB-3F45-43A4-A2A4-DEA20FB02993}"/>
    <cellStyle name="Normal 9 2 3 2 2 2 2 2 3" xfId="24327" xr:uid="{525C868A-7070-4CA2-AA93-4B984A63052C}"/>
    <cellStyle name="Normal 9 2 3 2 2 2 2 3" xfId="11669" xr:uid="{934E8FB3-4649-4F82-8A33-660C623AB859}"/>
    <cellStyle name="Normal 9 2 3 2 2 2 2 4" xfId="20110" xr:uid="{5A7C78CE-9C0C-41C2-8246-E89F8B2687C4}"/>
    <cellStyle name="Normal 9 2 3 2 2 2 3" xfId="5300" xr:uid="{00000000-0005-0000-0000-0000121F0000}"/>
    <cellStyle name="Normal 9 2 3 2 2 2 3 2" xfId="13742" xr:uid="{B4661054-7E28-4DB3-8ACE-B4012D0FFD7D}"/>
    <cellStyle name="Normal 9 2 3 2 2 2 3 3" xfId="22182" xr:uid="{165A35D4-DCAE-4878-8705-188F1DCE604C}"/>
    <cellStyle name="Normal 9 2 3 2 2 2 4" xfId="9524" xr:uid="{26C541AA-5815-46B9-9579-698E02AEC67A}"/>
    <cellStyle name="Normal 9 2 3 2 2 2 5" xfId="17965" xr:uid="{49E38E58-F6AF-4D06-8A3A-28686F37A0FF}"/>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16300" xr:uid="{184A51AE-EA6D-49C2-95CB-DBA1DBB4D210}"/>
    <cellStyle name="Normal 9 2 3 2 2 3 2 2 3" xfId="24740" xr:uid="{1CF518EC-BE70-4453-9BBD-14EBE1B6004A}"/>
    <cellStyle name="Normal 9 2 3 2 2 3 2 3" xfId="12082" xr:uid="{3BBFB1CF-4C51-4A2B-89E9-B92E1A3D4656}"/>
    <cellStyle name="Normal 9 2 3 2 2 3 2 4" xfId="20523" xr:uid="{F0E276E4-1C75-4597-A27E-8C6749DEE28C}"/>
    <cellStyle name="Normal 9 2 3 2 2 3 3" xfId="5713" xr:uid="{00000000-0005-0000-0000-0000161F0000}"/>
    <cellStyle name="Normal 9 2 3 2 2 3 3 2" xfId="14155" xr:uid="{4BE3CBD9-D02B-4644-A1C5-3BF69F36DEC2}"/>
    <cellStyle name="Normal 9 2 3 2 2 3 3 3" xfId="22595" xr:uid="{802A3F88-9058-4BEF-AA23-7E816BE6EAA6}"/>
    <cellStyle name="Normal 9 2 3 2 2 3 4" xfId="9937" xr:uid="{FAAACCC4-830A-4F7A-980F-00B5AB83707D}"/>
    <cellStyle name="Normal 9 2 3 2 2 3 5" xfId="18378" xr:uid="{CD448A84-A22F-4FF9-9EA9-527A422B6F6B}"/>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16713" xr:uid="{35097213-E4D5-4ED5-8326-543BEB441571}"/>
    <cellStyle name="Normal 9 2 3 2 2 4 2 2 3" xfId="25153" xr:uid="{D2565C37-BAC4-4005-B2DE-51A760963CAF}"/>
    <cellStyle name="Normal 9 2 3 2 2 4 2 3" xfId="12495" xr:uid="{1D1EFC56-F27D-440D-9E5F-55B1C6B0BE06}"/>
    <cellStyle name="Normal 9 2 3 2 2 4 2 4" xfId="20936" xr:uid="{6C3D44C5-9BDE-4CC1-BDEA-30600CE8049A}"/>
    <cellStyle name="Normal 9 2 3 2 2 4 3" xfId="6126" xr:uid="{00000000-0005-0000-0000-00001A1F0000}"/>
    <cellStyle name="Normal 9 2 3 2 2 4 3 2" xfId="14568" xr:uid="{0DF8990B-C16E-4C71-A9F8-1E40EA0AB285}"/>
    <cellStyle name="Normal 9 2 3 2 2 4 3 3" xfId="23008" xr:uid="{3239C2E2-DBE5-42CA-B4F9-EBAE638D6243}"/>
    <cellStyle name="Normal 9 2 3 2 2 4 4" xfId="10350" xr:uid="{6393608C-D199-414E-8974-CF737D4CA013}"/>
    <cellStyle name="Normal 9 2 3 2 2 4 5" xfId="18791" xr:uid="{319355FF-73FF-4CCA-9818-AFEA4E182C4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17126" xr:uid="{A351BE14-8B6D-4F6E-AB03-87640A6A35AE}"/>
    <cellStyle name="Normal 9 2 3 2 2 5 2 2 3" xfId="25566" xr:uid="{A916B4AF-3F6F-483F-B8AC-1DBD35711AFF}"/>
    <cellStyle name="Normal 9 2 3 2 2 5 2 3" xfId="12908" xr:uid="{25DBCF5B-D14A-4125-AFD2-C810D696337C}"/>
    <cellStyle name="Normal 9 2 3 2 2 5 2 4" xfId="21349" xr:uid="{41BFE11C-670B-4C7F-AA65-A4457699348F}"/>
    <cellStyle name="Normal 9 2 3 2 2 5 3" xfId="6539" xr:uid="{00000000-0005-0000-0000-00001E1F0000}"/>
    <cellStyle name="Normal 9 2 3 2 2 5 3 2" xfId="14981" xr:uid="{231534E4-8226-448B-96AD-977BD2325A4D}"/>
    <cellStyle name="Normal 9 2 3 2 2 5 3 3" xfId="23421" xr:uid="{77FD9309-AAF8-485F-B368-980BBF7BDB0C}"/>
    <cellStyle name="Normal 9 2 3 2 2 5 4" xfId="10763" xr:uid="{75042FD3-370F-41D2-8A0A-BD9E266837AA}"/>
    <cellStyle name="Normal 9 2 3 2 2 5 5" xfId="19204" xr:uid="{76E74B16-2C5B-4B50-A47F-4E153E7479FA}"/>
    <cellStyle name="Normal 9 2 3 2 2 6" xfId="2668" xr:uid="{00000000-0005-0000-0000-00001F1F0000}"/>
    <cellStyle name="Normal 9 2 3 2 2 6 2" xfId="6952" xr:uid="{00000000-0005-0000-0000-0000201F0000}"/>
    <cellStyle name="Normal 9 2 3 2 2 6 2 2" xfId="15394" xr:uid="{631A6DED-3587-42B5-A9E4-751FFBD78A97}"/>
    <cellStyle name="Normal 9 2 3 2 2 6 2 3" xfId="23834" xr:uid="{D7AD5716-888C-4F1F-A59F-EDD5DA753931}"/>
    <cellStyle name="Normal 9 2 3 2 2 6 3" xfId="11176" xr:uid="{A2426FCC-17BA-4AC6-B0F3-33B3C247680D}"/>
    <cellStyle name="Normal 9 2 3 2 2 6 4" xfId="19617" xr:uid="{28BD6DA0-1EDA-415A-8C60-1AB516C952FC}"/>
    <cellStyle name="Normal 9 2 3 2 2 7" xfId="4887" xr:uid="{00000000-0005-0000-0000-0000211F0000}"/>
    <cellStyle name="Normal 9 2 3 2 2 7 2" xfId="13329" xr:uid="{E2F7FEC4-0842-4791-A3A5-AC878C2EE331}"/>
    <cellStyle name="Normal 9 2 3 2 2 7 3" xfId="21769" xr:uid="{B7B654B6-C703-49AF-B793-A19580EDDBCF}"/>
    <cellStyle name="Normal 9 2 3 2 2 8" xfId="9111" xr:uid="{CACB5D85-50C7-48CF-A0D8-34E5D4D88C53}"/>
    <cellStyle name="Normal 9 2 3 2 2 9" xfId="17552" xr:uid="{1571E895-A84C-43D9-9FAD-ABF771DE3847}"/>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15886" xr:uid="{C22D6B17-2E2E-4CA1-A1F8-8019318E919B}"/>
    <cellStyle name="Normal 9 2 3 2 3 2 2 3" xfId="24326" xr:uid="{AF102F1C-4D63-4707-A472-007DA2731E4E}"/>
    <cellStyle name="Normal 9 2 3 2 3 2 3" xfId="11668" xr:uid="{C110A917-A15F-47F1-816C-EDC9506DA435}"/>
    <cellStyle name="Normal 9 2 3 2 3 2 4" xfId="20109" xr:uid="{591CDC4B-88E7-44E8-92AD-6929FB53DFD4}"/>
    <cellStyle name="Normal 9 2 3 2 3 3" xfId="5299" xr:uid="{00000000-0005-0000-0000-0000251F0000}"/>
    <cellStyle name="Normal 9 2 3 2 3 3 2" xfId="13741" xr:uid="{CD5236EE-16C0-4FD4-ACFB-113E1BF3B1B5}"/>
    <cellStyle name="Normal 9 2 3 2 3 3 3" xfId="22181" xr:uid="{74B1C80A-06A4-449D-8910-14B1A578AFF4}"/>
    <cellStyle name="Normal 9 2 3 2 3 4" xfId="9523" xr:uid="{74B05522-D8C8-415E-A762-541C86683FDB}"/>
    <cellStyle name="Normal 9 2 3 2 3 5" xfId="17964" xr:uid="{AF4CB5AF-23E3-4444-BFDA-5C0A3ED05874}"/>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16299" xr:uid="{DF676929-53E3-4DE6-9B88-907F93DA3533}"/>
    <cellStyle name="Normal 9 2 3 2 4 2 2 3" xfId="24739" xr:uid="{9A0854E9-2DC4-4E4A-AEF5-6F3AA7642CEA}"/>
    <cellStyle name="Normal 9 2 3 2 4 2 3" xfId="12081" xr:uid="{5DF77551-030F-4079-8968-30A009146DDB}"/>
    <cellStyle name="Normal 9 2 3 2 4 2 4" xfId="20522" xr:uid="{AF819B5C-CEA0-4D31-9EF0-9396F0DC611D}"/>
    <cellStyle name="Normal 9 2 3 2 4 3" xfId="5712" xr:uid="{00000000-0005-0000-0000-0000291F0000}"/>
    <cellStyle name="Normal 9 2 3 2 4 3 2" xfId="14154" xr:uid="{84A1FDE3-F19B-41EE-8464-97F920204EF8}"/>
    <cellStyle name="Normal 9 2 3 2 4 3 3" xfId="22594" xr:uid="{20D24F2B-885F-4106-BDBB-2D76BF1A7F9C}"/>
    <cellStyle name="Normal 9 2 3 2 4 4" xfId="9936" xr:uid="{E62206A2-9C3F-4D16-AB72-F38FFF81A104}"/>
    <cellStyle name="Normal 9 2 3 2 4 5" xfId="18377" xr:uid="{5F37D70C-C27A-4BC7-88C4-933371C4CCEC}"/>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16712" xr:uid="{42012EA3-B0DF-4D85-A3D9-32A8A8B8B539}"/>
    <cellStyle name="Normal 9 2 3 2 5 2 2 3" xfId="25152" xr:uid="{D2B8AE97-7B64-4D5C-AB29-A6E5559FD984}"/>
    <cellStyle name="Normal 9 2 3 2 5 2 3" xfId="12494" xr:uid="{1832F8B3-424B-4D23-924C-3076CFB7AB38}"/>
    <cellStyle name="Normal 9 2 3 2 5 2 4" xfId="20935" xr:uid="{B42072C7-FC10-47CE-9739-E53EB019C5A8}"/>
    <cellStyle name="Normal 9 2 3 2 5 3" xfId="6125" xr:uid="{00000000-0005-0000-0000-00002D1F0000}"/>
    <cellStyle name="Normal 9 2 3 2 5 3 2" xfId="14567" xr:uid="{14014A44-EC1D-451D-9193-034BBBCCC38D}"/>
    <cellStyle name="Normal 9 2 3 2 5 3 3" xfId="23007" xr:uid="{68559D19-D6F6-41C3-BFC7-D1B47CA04C17}"/>
    <cellStyle name="Normal 9 2 3 2 5 4" xfId="10349" xr:uid="{4111FE42-FC92-4303-8028-D772E78BEAFB}"/>
    <cellStyle name="Normal 9 2 3 2 5 5" xfId="18790" xr:uid="{11B9E305-D36C-4159-9F5F-03A7042745B4}"/>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17125" xr:uid="{8EA3DD04-E558-4F94-BA50-90408B1B0612}"/>
    <cellStyle name="Normal 9 2 3 2 6 2 2 3" xfId="25565" xr:uid="{7F70FAE3-5F53-4C96-9B92-4328C15905DD}"/>
    <cellStyle name="Normal 9 2 3 2 6 2 3" xfId="12907" xr:uid="{76F51500-55C1-40AA-A314-2079842FB867}"/>
    <cellStyle name="Normal 9 2 3 2 6 2 4" xfId="21348" xr:uid="{8AF58356-99B8-4CCF-BF28-719FDF8830DD}"/>
    <cellStyle name="Normal 9 2 3 2 6 3" xfId="6538" xr:uid="{00000000-0005-0000-0000-0000311F0000}"/>
    <cellStyle name="Normal 9 2 3 2 6 3 2" xfId="14980" xr:uid="{10BCB384-CA72-4835-B16A-F6D5178BF222}"/>
    <cellStyle name="Normal 9 2 3 2 6 3 3" xfId="23420" xr:uid="{3F167978-0D7A-4572-89C6-5E0907E6E0F6}"/>
    <cellStyle name="Normal 9 2 3 2 6 4" xfId="10762" xr:uid="{680A81B8-F22B-4642-8A1D-2F8A05533428}"/>
    <cellStyle name="Normal 9 2 3 2 6 5" xfId="19203" xr:uid="{C022FD04-D95F-4CEC-AC2D-39C7F67C479A}"/>
    <cellStyle name="Normal 9 2 3 2 7" xfId="2667" xr:uid="{00000000-0005-0000-0000-0000321F0000}"/>
    <cellStyle name="Normal 9 2 3 2 7 2" xfId="6951" xr:uid="{00000000-0005-0000-0000-0000331F0000}"/>
    <cellStyle name="Normal 9 2 3 2 7 2 2" xfId="15393" xr:uid="{11C2DA35-CB10-44AA-B97C-01EC0025045F}"/>
    <cellStyle name="Normal 9 2 3 2 7 2 3" xfId="23833" xr:uid="{8C14B145-98CE-4F4B-A63F-B2690D7577C1}"/>
    <cellStyle name="Normal 9 2 3 2 7 3" xfId="11175" xr:uid="{FCCA473B-534C-4F41-A25E-7578FDB60724}"/>
    <cellStyle name="Normal 9 2 3 2 7 4" xfId="19616" xr:uid="{583D8BDA-2580-44A8-8F9C-4816307B9129}"/>
    <cellStyle name="Normal 9 2 3 2 8" xfId="4886" xr:uid="{00000000-0005-0000-0000-0000341F0000}"/>
    <cellStyle name="Normal 9 2 3 2 8 2" xfId="13328" xr:uid="{DD9DBFDD-6E73-45EF-84E0-FAFE534E87EC}"/>
    <cellStyle name="Normal 9 2 3 2 8 3" xfId="21768" xr:uid="{802DF809-109F-4FBC-8E54-24FAFFC08C3B}"/>
    <cellStyle name="Normal 9 2 3 2 9" xfId="9110" xr:uid="{175B07DE-537A-4A38-89F9-BD180C35BCB5}"/>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15888" xr:uid="{B9AF654F-0B3C-485B-A2F3-399EE53F805C}"/>
    <cellStyle name="Normal 9 2 3 3 2 2 2 3" xfId="24328" xr:uid="{166D933F-EAF9-4A9B-9CFC-97276C3ECACE}"/>
    <cellStyle name="Normal 9 2 3 3 2 2 3" xfId="11670" xr:uid="{E5C20F17-896B-4536-B526-9613DCA25D9E}"/>
    <cellStyle name="Normal 9 2 3 3 2 2 4" xfId="20111" xr:uid="{72DF77EE-7414-4922-A0B9-274E1556596C}"/>
    <cellStyle name="Normal 9 2 3 3 2 3" xfId="5301" xr:uid="{00000000-0005-0000-0000-0000391F0000}"/>
    <cellStyle name="Normal 9 2 3 3 2 3 2" xfId="13743" xr:uid="{3440C7CD-14E5-4392-9B9D-090DB18DF6A8}"/>
    <cellStyle name="Normal 9 2 3 3 2 3 3" xfId="22183" xr:uid="{1EF44E13-D616-4993-B336-7D956C9942B0}"/>
    <cellStyle name="Normal 9 2 3 3 2 4" xfId="9525" xr:uid="{BE9A5A84-1682-41FE-A7AE-C291A52AF551}"/>
    <cellStyle name="Normal 9 2 3 3 2 5" xfId="17966" xr:uid="{4B7A7802-6144-4F8F-9E1D-034B18039C94}"/>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16301" xr:uid="{B26524B8-5F50-48C9-8B22-04914DDDCDC9}"/>
    <cellStyle name="Normal 9 2 3 3 3 2 2 3" xfId="24741" xr:uid="{C9CE120E-6014-4629-B1DF-D67FC6C049E5}"/>
    <cellStyle name="Normal 9 2 3 3 3 2 3" xfId="12083" xr:uid="{5508224F-0993-49AF-A4F7-812FC6B3816F}"/>
    <cellStyle name="Normal 9 2 3 3 3 2 4" xfId="20524" xr:uid="{2A7B3D39-589B-4F92-A936-10CC0501B8C3}"/>
    <cellStyle name="Normal 9 2 3 3 3 3" xfId="5714" xr:uid="{00000000-0005-0000-0000-00003D1F0000}"/>
    <cellStyle name="Normal 9 2 3 3 3 3 2" xfId="14156" xr:uid="{04326743-685F-447F-862D-41A0E9C2A808}"/>
    <cellStyle name="Normal 9 2 3 3 3 3 3" xfId="22596" xr:uid="{2AE1F9DD-24E5-405C-81F8-9BD927C8C697}"/>
    <cellStyle name="Normal 9 2 3 3 3 4" xfId="9938" xr:uid="{88046C03-FF30-4F6C-9DDB-F43EBB2E045A}"/>
    <cellStyle name="Normal 9 2 3 3 3 5" xfId="18379" xr:uid="{3DF0DD90-A646-4DC7-9DAF-D6C5FEE367BD}"/>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16714" xr:uid="{29EFACAA-AF12-419A-84D7-037A89BE5112}"/>
    <cellStyle name="Normal 9 2 3 3 4 2 2 3" xfId="25154" xr:uid="{4037918E-3AC7-47E6-A447-300B0C2CB638}"/>
    <cellStyle name="Normal 9 2 3 3 4 2 3" xfId="12496" xr:uid="{F5D85C36-3003-45D4-9B53-DDD21D46C052}"/>
    <cellStyle name="Normal 9 2 3 3 4 2 4" xfId="20937" xr:uid="{83F86B11-8868-44F4-86FA-02B1FBF3165B}"/>
    <cellStyle name="Normal 9 2 3 3 4 3" xfId="6127" xr:uid="{00000000-0005-0000-0000-0000411F0000}"/>
    <cellStyle name="Normal 9 2 3 3 4 3 2" xfId="14569" xr:uid="{B114D791-DB83-40B8-8AF0-80B6AD4A5346}"/>
    <cellStyle name="Normal 9 2 3 3 4 3 3" xfId="23009" xr:uid="{C7317098-32BF-4320-825A-3726214FDDF6}"/>
    <cellStyle name="Normal 9 2 3 3 4 4" xfId="10351" xr:uid="{35D8B9D2-F853-4619-80BE-0963D8AB71F1}"/>
    <cellStyle name="Normal 9 2 3 3 4 5" xfId="18792" xr:uid="{98CBF084-5031-43E6-A44F-0552976B101C}"/>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17127" xr:uid="{04EB45AE-A3FF-410B-A67E-5515DBD43B7C}"/>
    <cellStyle name="Normal 9 2 3 3 5 2 2 3" xfId="25567" xr:uid="{03BA4FE4-090C-484D-894C-DA73762869A9}"/>
    <cellStyle name="Normal 9 2 3 3 5 2 3" xfId="12909" xr:uid="{430C6EB6-B28C-4FE4-8267-66C84B7DED96}"/>
    <cellStyle name="Normal 9 2 3 3 5 2 4" xfId="21350" xr:uid="{326FF9BA-F35E-4D6C-855E-D533BE5FFB90}"/>
    <cellStyle name="Normal 9 2 3 3 5 3" xfId="6540" xr:uid="{00000000-0005-0000-0000-0000451F0000}"/>
    <cellStyle name="Normal 9 2 3 3 5 3 2" xfId="14982" xr:uid="{391FECAE-6410-4A1B-ACD6-0CFDC917BBFA}"/>
    <cellStyle name="Normal 9 2 3 3 5 3 3" xfId="23422" xr:uid="{6CDD122C-9DB4-4916-84CE-3F8E57933E95}"/>
    <cellStyle name="Normal 9 2 3 3 5 4" xfId="10764" xr:uid="{DF413BB0-7F8C-4359-BC4B-06B69C16D93B}"/>
    <cellStyle name="Normal 9 2 3 3 5 5" xfId="19205" xr:uid="{FB1D5EA8-CE37-41C8-AED4-1C7ADEFF7183}"/>
    <cellStyle name="Normal 9 2 3 3 6" xfId="2669" xr:uid="{00000000-0005-0000-0000-0000461F0000}"/>
    <cellStyle name="Normal 9 2 3 3 6 2" xfId="6953" xr:uid="{00000000-0005-0000-0000-0000471F0000}"/>
    <cellStyle name="Normal 9 2 3 3 6 2 2" xfId="15395" xr:uid="{E464DA67-716C-40E2-BA65-DF13C1C70186}"/>
    <cellStyle name="Normal 9 2 3 3 6 2 3" xfId="23835" xr:uid="{35B2062F-E8F4-4681-B814-16133BD4D424}"/>
    <cellStyle name="Normal 9 2 3 3 6 3" xfId="11177" xr:uid="{6CA6AF6A-C6D8-4522-8EF0-71715D9EDB36}"/>
    <cellStyle name="Normal 9 2 3 3 6 4" xfId="19618" xr:uid="{D2798BAF-8F0E-49D4-9C6C-07E77AE7F1F6}"/>
    <cellStyle name="Normal 9 2 3 3 7" xfId="4888" xr:uid="{00000000-0005-0000-0000-0000481F0000}"/>
    <cellStyle name="Normal 9 2 3 3 7 2" xfId="13330" xr:uid="{AF2A6251-93A2-4716-8B91-1E2AE742A93D}"/>
    <cellStyle name="Normal 9 2 3 3 7 3" xfId="21770" xr:uid="{584E4874-86DA-4B90-AE11-CC2D0982F4C5}"/>
    <cellStyle name="Normal 9 2 3 3 8" xfId="9112" xr:uid="{4F094DD1-B3C0-426C-BEB9-CBC012FF6490}"/>
    <cellStyle name="Normal 9 2 3 3 9" xfId="17553" xr:uid="{4C374509-AA2A-4D51-8DAE-3EAF5916771E}"/>
    <cellStyle name="Normal 9 2 3 4" xfId="987" xr:uid="{00000000-0005-0000-0000-0000491F0000}"/>
    <cellStyle name="Normal 9 2 3 4 2" xfId="3220" xr:uid="{00000000-0005-0000-0000-00004A1F0000}"/>
    <cellStyle name="Normal 9 2 3 4 2 2" xfId="7443" xr:uid="{00000000-0005-0000-0000-00004B1F0000}"/>
    <cellStyle name="Normal 9 2 3 4 2 2 2" xfId="15885" xr:uid="{79A987AC-79B5-48C8-A403-F01499D033AE}"/>
    <cellStyle name="Normal 9 2 3 4 2 2 3" xfId="24325" xr:uid="{9380D8A5-FAF8-4AF8-9743-B50EF0D7D7B3}"/>
    <cellStyle name="Normal 9 2 3 4 2 3" xfId="11667" xr:uid="{BD8F2790-07F1-4AD4-981D-3B8AAADC8C0C}"/>
    <cellStyle name="Normal 9 2 3 4 2 4" xfId="20108" xr:uid="{DCA9E165-E9BC-4147-B5B9-60884B8CA0E6}"/>
    <cellStyle name="Normal 9 2 3 4 3" xfId="5298" xr:uid="{00000000-0005-0000-0000-00004C1F0000}"/>
    <cellStyle name="Normal 9 2 3 4 3 2" xfId="13740" xr:uid="{FCD834BB-81DF-43B8-AC80-22901C32F009}"/>
    <cellStyle name="Normal 9 2 3 4 3 3" xfId="22180" xr:uid="{6E6C95CF-B727-4D7B-8E2F-9649863C1180}"/>
    <cellStyle name="Normal 9 2 3 4 4" xfId="9522" xr:uid="{40CE7706-430D-4FE4-8A82-D6DEA28F2D33}"/>
    <cellStyle name="Normal 9 2 3 4 5" xfId="17963" xr:uid="{EB4A0F32-C463-45BD-B5C7-10CBE11D5DCD}"/>
    <cellStyle name="Normal 9 2 3 5" xfId="1403" xr:uid="{00000000-0005-0000-0000-00004D1F0000}"/>
    <cellStyle name="Normal 9 2 3 5 2" xfId="3633" xr:uid="{00000000-0005-0000-0000-00004E1F0000}"/>
    <cellStyle name="Normal 9 2 3 5 2 2" xfId="7856" xr:uid="{00000000-0005-0000-0000-00004F1F0000}"/>
    <cellStyle name="Normal 9 2 3 5 2 2 2" xfId="16298" xr:uid="{6423EFF8-FF78-4E33-84DF-E5C6617059B0}"/>
    <cellStyle name="Normal 9 2 3 5 2 2 3" xfId="24738" xr:uid="{9904F0CC-5D21-4ED1-B845-21A3CB271458}"/>
    <cellStyle name="Normal 9 2 3 5 2 3" xfId="12080" xr:uid="{C7F4E32A-9516-4105-9BC1-F174D1A56F44}"/>
    <cellStyle name="Normal 9 2 3 5 2 4" xfId="20521" xr:uid="{4DACAEAA-0106-40E4-AE9A-7330DBFF3B9A}"/>
    <cellStyle name="Normal 9 2 3 5 3" xfId="5711" xr:uid="{00000000-0005-0000-0000-0000501F0000}"/>
    <cellStyle name="Normal 9 2 3 5 3 2" xfId="14153" xr:uid="{2F898F81-0CCF-40A2-8AE8-DF2F47143576}"/>
    <cellStyle name="Normal 9 2 3 5 3 3" xfId="22593" xr:uid="{F2BD4A68-DE00-421F-A330-BD894E6C19D1}"/>
    <cellStyle name="Normal 9 2 3 5 4" xfId="9935" xr:uid="{5FFFC58E-BDD5-4B7C-A271-E73E0AAFF533}"/>
    <cellStyle name="Normal 9 2 3 5 5" xfId="18376" xr:uid="{453932EB-57E0-43AD-B39C-300F7D3F1080}"/>
    <cellStyle name="Normal 9 2 3 6" xfId="1816" xr:uid="{00000000-0005-0000-0000-0000511F0000}"/>
    <cellStyle name="Normal 9 2 3 6 2" xfId="4046" xr:uid="{00000000-0005-0000-0000-0000521F0000}"/>
    <cellStyle name="Normal 9 2 3 6 2 2" xfId="8269" xr:uid="{00000000-0005-0000-0000-0000531F0000}"/>
    <cellStyle name="Normal 9 2 3 6 2 2 2" xfId="16711" xr:uid="{379304D7-A4B7-49A9-9FEC-38378CE996B8}"/>
    <cellStyle name="Normal 9 2 3 6 2 2 3" xfId="25151" xr:uid="{35D626E7-8EB3-42AD-96AE-7F2A362B1B00}"/>
    <cellStyle name="Normal 9 2 3 6 2 3" xfId="12493" xr:uid="{33102BAA-08D0-47B5-BA71-703B116E2E03}"/>
    <cellStyle name="Normal 9 2 3 6 2 4" xfId="20934" xr:uid="{892E1A94-DF28-4AEF-962F-6B2396D4B748}"/>
    <cellStyle name="Normal 9 2 3 6 3" xfId="6124" xr:uid="{00000000-0005-0000-0000-0000541F0000}"/>
    <cellStyle name="Normal 9 2 3 6 3 2" xfId="14566" xr:uid="{3BDFB0F1-33F0-408B-A8FE-A85C11086116}"/>
    <cellStyle name="Normal 9 2 3 6 3 3" xfId="23006" xr:uid="{B7EC63A3-B9BB-4F05-921E-D6F721815612}"/>
    <cellStyle name="Normal 9 2 3 6 4" xfId="10348" xr:uid="{D8B137EB-D3A2-4EAE-B3C7-14BE2F425E05}"/>
    <cellStyle name="Normal 9 2 3 6 5" xfId="18789" xr:uid="{CE5F3FB0-649C-4B91-954E-0B01BB664FFD}"/>
    <cellStyle name="Normal 9 2 3 7" xfId="2230" xr:uid="{00000000-0005-0000-0000-0000551F0000}"/>
    <cellStyle name="Normal 9 2 3 7 2" xfId="4459" xr:uid="{00000000-0005-0000-0000-0000561F0000}"/>
    <cellStyle name="Normal 9 2 3 7 2 2" xfId="8682" xr:uid="{00000000-0005-0000-0000-0000571F0000}"/>
    <cellStyle name="Normal 9 2 3 7 2 2 2" xfId="17124" xr:uid="{2B209F23-9020-4265-A24F-7E070BDEB1F3}"/>
    <cellStyle name="Normal 9 2 3 7 2 2 3" xfId="25564" xr:uid="{7BAF5ABB-2F1A-4972-812A-469F61B17FD2}"/>
    <cellStyle name="Normal 9 2 3 7 2 3" xfId="12906" xr:uid="{AFFD764C-F2F5-4316-8505-0D813A194F5F}"/>
    <cellStyle name="Normal 9 2 3 7 2 4" xfId="21347" xr:uid="{FF36079C-22D0-4810-8D80-965254765F6D}"/>
    <cellStyle name="Normal 9 2 3 7 3" xfId="6537" xr:uid="{00000000-0005-0000-0000-0000581F0000}"/>
    <cellStyle name="Normal 9 2 3 7 3 2" xfId="14979" xr:uid="{18C58ED6-1EE1-4DE9-A286-F40FAEF7966A}"/>
    <cellStyle name="Normal 9 2 3 7 3 3" xfId="23419" xr:uid="{253326D2-BB9A-44B1-84BC-D2C755979A77}"/>
    <cellStyle name="Normal 9 2 3 7 4" xfId="10761" xr:uid="{377CFDCA-90E5-41EE-A393-3762D74FA81C}"/>
    <cellStyle name="Normal 9 2 3 7 5" xfId="19202" xr:uid="{DE1B14F9-CCA4-4681-9205-221E74B46177}"/>
    <cellStyle name="Normal 9 2 3 8" xfId="2666" xr:uid="{00000000-0005-0000-0000-0000591F0000}"/>
    <cellStyle name="Normal 9 2 3 8 2" xfId="6950" xr:uid="{00000000-0005-0000-0000-00005A1F0000}"/>
    <cellStyle name="Normal 9 2 3 8 2 2" xfId="15392" xr:uid="{E15133DE-A87B-495A-B17D-4E91A8667001}"/>
    <cellStyle name="Normal 9 2 3 8 2 3" xfId="23832" xr:uid="{F335361D-5362-450C-8037-F6CD39E4024C}"/>
    <cellStyle name="Normal 9 2 3 8 3" xfId="11174" xr:uid="{6CD7E904-5215-4B31-B0AF-ED5922970BC5}"/>
    <cellStyle name="Normal 9 2 3 8 4" xfId="19615" xr:uid="{1AAEFA3A-A995-48A8-86B7-9A1B187944D6}"/>
    <cellStyle name="Normal 9 2 3 9" xfId="4885" xr:uid="{00000000-0005-0000-0000-00005B1F0000}"/>
    <cellStyle name="Normal 9 2 3 9 2" xfId="13327" xr:uid="{8916D3A3-F8CD-4F2F-828F-5B21E1664104}"/>
    <cellStyle name="Normal 9 2 3 9 3" xfId="21767" xr:uid="{DFB48DB8-29D8-4477-B85A-A5EE60661F49}"/>
    <cellStyle name="Normal 9 2 4" xfId="524" xr:uid="{00000000-0005-0000-0000-00005C1F0000}"/>
    <cellStyle name="Normal 9 2 4 10" xfId="17554" xr:uid="{645FCCA0-5099-45D7-A152-F6D86366396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15890" xr:uid="{B49C1F60-74CF-4F08-8F9D-3D675E36A4F7}"/>
    <cellStyle name="Normal 9 2 4 2 2 2 2 3" xfId="24330" xr:uid="{DAEE2AF8-4347-4263-A927-26D3AAFCF60B}"/>
    <cellStyle name="Normal 9 2 4 2 2 2 3" xfId="11672" xr:uid="{C2E6F637-6E2A-46D8-8A81-2AB22C6CFB3F}"/>
    <cellStyle name="Normal 9 2 4 2 2 2 4" xfId="20113" xr:uid="{A7B71334-B4D4-4BD4-AB83-9BCD823C9F7C}"/>
    <cellStyle name="Normal 9 2 4 2 2 3" xfId="5303" xr:uid="{00000000-0005-0000-0000-0000611F0000}"/>
    <cellStyle name="Normal 9 2 4 2 2 3 2" xfId="13745" xr:uid="{181EEFD4-AB7E-40B0-8944-F5B2EFF092AD}"/>
    <cellStyle name="Normal 9 2 4 2 2 3 3" xfId="22185" xr:uid="{75F21AFE-B47E-40D1-B720-DA9761D66B35}"/>
    <cellStyle name="Normal 9 2 4 2 2 4" xfId="9527" xr:uid="{72CE175A-660D-4D97-8AE7-E9EF39B43503}"/>
    <cellStyle name="Normal 9 2 4 2 2 5" xfId="17968" xr:uid="{9DF3DD57-F803-4454-9EE8-EBC89CDBAFCB}"/>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16303" xr:uid="{87EFDD57-55A9-4906-93AC-30289E48728D}"/>
    <cellStyle name="Normal 9 2 4 2 3 2 2 3" xfId="24743" xr:uid="{0C6E033E-AB41-4DFE-8B38-10FB2B063120}"/>
    <cellStyle name="Normal 9 2 4 2 3 2 3" xfId="12085" xr:uid="{0F7117A8-BE8D-4083-8BE5-D86F5F080D17}"/>
    <cellStyle name="Normal 9 2 4 2 3 2 4" xfId="20526" xr:uid="{F3D69616-35AD-42A5-B6BD-B4FFA1B94710}"/>
    <cellStyle name="Normal 9 2 4 2 3 3" xfId="5716" xr:uid="{00000000-0005-0000-0000-0000651F0000}"/>
    <cellStyle name="Normal 9 2 4 2 3 3 2" xfId="14158" xr:uid="{322387DD-720E-4246-B1D8-76BD1D77D882}"/>
    <cellStyle name="Normal 9 2 4 2 3 3 3" xfId="22598" xr:uid="{86371A83-9B56-41D7-8DEF-F712CB648975}"/>
    <cellStyle name="Normal 9 2 4 2 3 4" xfId="9940" xr:uid="{61576E9D-D317-48F0-860D-6F9F29D2EE46}"/>
    <cellStyle name="Normal 9 2 4 2 3 5" xfId="18381" xr:uid="{25B91AA9-9FB2-4C7F-8E8B-A8AE06441715}"/>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16716" xr:uid="{3CE63829-ADCA-42DB-8ACD-8FB75AF61A09}"/>
    <cellStyle name="Normal 9 2 4 2 4 2 2 3" xfId="25156" xr:uid="{C7BA155D-180E-4BC1-935E-F41CF914E1A6}"/>
    <cellStyle name="Normal 9 2 4 2 4 2 3" xfId="12498" xr:uid="{AE58759D-EA78-41DD-A715-5C437AAEFB8C}"/>
    <cellStyle name="Normal 9 2 4 2 4 2 4" xfId="20939" xr:uid="{BE23D12E-0FC2-4B77-B631-21E24086F570}"/>
    <cellStyle name="Normal 9 2 4 2 4 3" xfId="6129" xr:uid="{00000000-0005-0000-0000-0000691F0000}"/>
    <cellStyle name="Normal 9 2 4 2 4 3 2" xfId="14571" xr:uid="{7481DB04-CFCB-4DC9-9792-2C654C01DD1B}"/>
    <cellStyle name="Normal 9 2 4 2 4 3 3" xfId="23011" xr:uid="{C3FB12EF-4FD9-4DAC-9C14-04CD19224320}"/>
    <cellStyle name="Normal 9 2 4 2 4 4" xfId="10353" xr:uid="{0D384DE3-709F-495A-BAEC-AEFDD5C5F00B}"/>
    <cellStyle name="Normal 9 2 4 2 4 5" xfId="18794" xr:uid="{45184181-DBAE-4BA5-A42B-191E06C7B079}"/>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17129" xr:uid="{842A5A27-0C17-474D-8268-4C9702F42078}"/>
    <cellStyle name="Normal 9 2 4 2 5 2 2 3" xfId="25569" xr:uid="{9B89DF21-A43D-49AE-BE91-1E715552CF34}"/>
    <cellStyle name="Normal 9 2 4 2 5 2 3" xfId="12911" xr:uid="{8CE3019E-06F4-47D3-8820-8A505A137E81}"/>
    <cellStyle name="Normal 9 2 4 2 5 2 4" xfId="21352" xr:uid="{DAFE6F12-9246-427F-AC27-D27AF32395EB}"/>
    <cellStyle name="Normal 9 2 4 2 5 3" xfId="6542" xr:uid="{00000000-0005-0000-0000-00006D1F0000}"/>
    <cellStyle name="Normal 9 2 4 2 5 3 2" xfId="14984" xr:uid="{435AC7E2-0BD3-477C-A861-293F6EE9201E}"/>
    <cellStyle name="Normal 9 2 4 2 5 3 3" xfId="23424" xr:uid="{D156D9E4-6486-4886-AC4A-FA6564FFB4D6}"/>
    <cellStyle name="Normal 9 2 4 2 5 4" xfId="10766" xr:uid="{C0DB22AC-99D5-432B-9D69-7BF314EDC3F1}"/>
    <cellStyle name="Normal 9 2 4 2 5 5" xfId="19207" xr:uid="{A44D621D-DA06-4316-874C-78E5F92D370F}"/>
    <cellStyle name="Normal 9 2 4 2 6" xfId="2671" xr:uid="{00000000-0005-0000-0000-00006E1F0000}"/>
    <cellStyle name="Normal 9 2 4 2 6 2" xfId="6955" xr:uid="{00000000-0005-0000-0000-00006F1F0000}"/>
    <cellStyle name="Normal 9 2 4 2 6 2 2" xfId="15397" xr:uid="{26B3C859-AEFA-4E80-955E-93E128486A65}"/>
    <cellStyle name="Normal 9 2 4 2 6 2 3" xfId="23837" xr:uid="{9ED97259-EB6E-4F08-94C0-E3115FF97D94}"/>
    <cellStyle name="Normal 9 2 4 2 6 3" xfId="11179" xr:uid="{906CBC0F-6C5C-4783-9F22-1A9F5F11BE76}"/>
    <cellStyle name="Normal 9 2 4 2 6 4" xfId="19620" xr:uid="{62016659-AAC1-4AD9-9435-0EC85829C408}"/>
    <cellStyle name="Normal 9 2 4 2 7" xfId="4890" xr:uid="{00000000-0005-0000-0000-0000701F0000}"/>
    <cellStyle name="Normal 9 2 4 2 7 2" xfId="13332" xr:uid="{7D0E2C9C-F9E1-4FAF-894B-7811EAA2BA88}"/>
    <cellStyle name="Normal 9 2 4 2 7 3" xfId="21772" xr:uid="{EA58ED76-DD0A-4B61-A460-FB5C9D0A0742}"/>
    <cellStyle name="Normal 9 2 4 2 8" xfId="9114" xr:uid="{7CE8470E-6E3C-439A-80FB-ED715153D952}"/>
    <cellStyle name="Normal 9 2 4 2 9" xfId="17555" xr:uid="{E2B7E67A-5DC5-4AD6-AC86-ABEB195D465D}"/>
    <cellStyle name="Normal 9 2 4 3" xfId="991" xr:uid="{00000000-0005-0000-0000-0000711F0000}"/>
    <cellStyle name="Normal 9 2 4 3 2" xfId="3224" xr:uid="{00000000-0005-0000-0000-0000721F0000}"/>
    <cellStyle name="Normal 9 2 4 3 2 2" xfId="7447" xr:uid="{00000000-0005-0000-0000-0000731F0000}"/>
    <cellStyle name="Normal 9 2 4 3 2 2 2" xfId="15889" xr:uid="{A834C6FC-BB60-4895-B11A-1905B123D788}"/>
    <cellStyle name="Normal 9 2 4 3 2 2 3" xfId="24329" xr:uid="{50DFA0E3-AB3A-48E1-8B76-0EE3DEA05519}"/>
    <cellStyle name="Normal 9 2 4 3 2 3" xfId="11671" xr:uid="{91825FAD-A537-4DD2-838F-81FDB1F11D67}"/>
    <cellStyle name="Normal 9 2 4 3 2 4" xfId="20112" xr:uid="{DFAF9F9E-EB5B-4574-B14D-5B2354AD5846}"/>
    <cellStyle name="Normal 9 2 4 3 3" xfId="5302" xr:uid="{00000000-0005-0000-0000-0000741F0000}"/>
    <cellStyle name="Normal 9 2 4 3 3 2" xfId="13744" xr:uid="{BA3760E5-1639-41B3-A048-82F74FCE2BEB}"/>
    <cellStyle name="Normal 9 2 4 3 3 3" xfId="22184" xr:uid="{467A16F1-5D60-46D0-9C21-592AFF9B3486}"/>
    <cellStyle name="Normal 9 2 4 3 4" xfId="9526" xr:uid="{3A0376C7-CF99-48DF-A4EC-A2FA1B5C6A62}"/>
    <cellStyle name="Normal 9 2 4 3 5" xfId="17967" xr:uid="{BC870960-5EFB-48C8-B709-C0DF8EB7E8F2}"/>
    <cellStyle name="Normal 9 2 4 4" xfId="1407" xr:uid="{00000000-0005-0000-0000-0000751F0000}"/>
    <cellStyle name="Normal 9 2 4 4 2" xfId="3637" xr:uid="{00000000-0005-0000-0000-0000761F0000}"/>
    <cellStyle name="Normal 9 2 4 4 2 2" xfId="7860" xr:uid="{00000000-0005-0000-0000-0000771F0000}"/>
    <cellStyle name="Normal 9 2 4 4 2 2 2" xfId="16302" xr:uid="{55FEA103-F395-4ACB-A732-6339ED2D369D}"/>
    <cellStyle name="Normal 9 2 4 4 2 2 3" xfId="24742" xr:uid="{FF7390EE-4F67-483A-9597-6E0785A99573}"/>
    <cellStyle name="Normal 9 2 4 4 2 3" xfId="12084" xr:uid="{17FE7353-DB42-47EC-A95D-ACCDEC5C8D7C}"/>
    <cellStyle name="Normal 9 2 4 4 2 4" xfId="20525" xr:uid="{C4C4EE84-9A7A-4441-A676-56A3B90B537A}"/>
    <cellStyle name="Normal 9 2 4 4 3" xfId="5715" xr:uid="{00000000-0005-0000-0000-0000781F0000}"/>
    <cellStyle name="Normal 9 2 4 4 3 2" xfId="14157" xr:uid="{4AC9D957-AB52-455F-B2FA-585BECA1AC12}"/>
    <cellStyle name="Normal 9 2 4 4 3 3" xfId="22597" xr:uid="{DF0CBA87-4D49-4F18-80D7-DCE366F066F1}"/>
    <cellStyle name="Normal 9 2 4 4 4" xfId="9939" xr:uid="{D0AFDB17-E33C-4FC9-B158-18559C757128}"/>
    <cellStyle name="Normal 9 2 4 4 5" xfId="18380" xr:uid="{AF177C4C-7A75-4687-BF33-59E9EB21E824}"/>
    <cellStyle name="Normal 9 2 4 5" xfId="1820" xr:uid="{00000000-0005-0000-0000-0000791F0000}"/>
    <cellStyle name="Normal 9 2 4 5 2" xfId="4050" xr:uid="{00000000-0005-0000-0000-00007A1F0000}"/>
    <cellStyle name="Normal 9 2 4 5 2 2" xfId="8273" xr:uid="{00000000-0005-0000-0000-00007B1F0000}"/>
    <cellStyle name="Normal 9 2 4 5 2 2 2" xfId="16715" xr:uid="{3249C723-C148-4E7E-8126-1ECF32DCEF4A}"/>
    <cellStyle name="Normal 9 2 4 5 2 2 3" xfId="25155" xr:uid="{129EF145-D840-49AA-958E-B0A745113BA1}"/>
    <cellStyle name="Normal 9 2 4 5 2 3" xfId="12497" xr:uid="{1C2F5E53-B738-4465-B898-F8B64CFCDDD8}"/>
    <cellStyle name="Normal 9 2 4 5 2 4" xfId="20938" xr:uid="{196CED0C-463F-4FA2-95AD-6B444BCFC509}"/>
    <cellStyle name="Normal 9 2 4 5 3" xfId="6128" xr:uid="{00000000-0005-0000-0000-00007C1F0000}"/>
    <cellStyle name="Normal 9 2 4 5 3 2" xfId="14570" xr:uid="{5CBB9C37-AB77-47E1-B6C9-229425E8CB8E}"/>
    <cellStyle name="Normal 9 2 4 5 3 3" xfId="23010" xr:uid="{499A9BEE-9539-43EE-A996-0C3FFE5481C6}"/>
    <cellStyle name="Normal 9 2 4 5 4" xfId="10352" xr:uid="{A52BB7FD-F038-4136-B98D-C54350989359}"/>
    <cellStyle name="Normal 9 2 4 5 5" xfId="18793" xr:uid="{263C4585-2836-4393-A340-8466141B4B01}"/>
    <cellStyle name="Normal 9 2 4 6" xfId="2234" xr:uid="{00000000-0005-0000-0000-00007D1F0000}"/>
    <cellStyle name="Normal 9 2 4 6 2" xfId="4463" xr:uid="{00000000-0005-0000-0000-00007E1F0000}"/>
    <cellStyle name="Normal 9 2 4 6 2 2" xfId="8686" xr:uid="{00000000-0005-0000-0000-00007F1F0000}"/>
    <cellStyle name="Normal 9 2 4 6 2 2 2" xfId="17128" xr:uid="{326ACC83-F624-4348-94DC-2377F8BD132E}"/>
    <cellStyle name="Normal 9 2 4 6 2 2 3" xfId="25568" xr:uid="{A0742A4C-6D52-45EC-B7C0-2D2ADD7E5C89}"/>
    <cellStyle name="Normal 9 2 4 6 2 3" xfId="12910" xr:uid="{A9FDD66C-B083-4988-8ECA-AFA47515623C}"/>
    <cellStyle name="Normal 9 2 4 6 2 4" xfId="21351" xr:uid="{315FBEAB-DCB5-4BB1-93FC-A02F4E367C27}"/>
    <cellStyle name="Normal 9 2 4 6 3" xfId="6541" xr:uid="{00000000-0005-0000-0000-0000801F0000}"/>
    <cellStyle name="Normal 9 2 4 6 3 2" xfId="14983" xr:uid="{A53BD6C9-A7A1-44BF-B106-F10BF5C8B4BC}"/>
    <cellStyle name="Normal 9 2 4 6 3 3" xfId="23423" xr:uid="{BDA28CC3-45D0-4E11-9F27-3E4BAF543416}"/>
    <cellStyle name="Normal 9 2 4 6 4" xfId="10765" xr:uid="{6EDB8A43-702A-4F79-ADCB-88AC9D1D8CEE}"/>
    <cellStyle name="Normal 9 2 4 6 5" xfId="19206" xr:uid="{3A08A5A2-CCCF-4E0E-B494-8EBB24955E7C}"/>
    <cellStyle name="Normal 9 2 4 7" xfId="2670" xr:uid="{00000000-0005-0000-0000-0000811F0000}"/>
    <cellStyle name="Normal 9 2 4 7 2" xfId="6954" xr:uid="{00000000-0005-0000-0000-0000821F0000}"/>
    <cellStyle name="Normal 9 2 4 7 2 2" xfId="15396" xr:uid="{098F2837-E038-4EFA-8EE9-EC01C4FFD8A2}"/>
    <cellStyle name="Normal 9 2 4 7 2 3" xfId="23836" xr:uid="{B0550565-EB3A-468C-AF8C-38B9498F643D}"/>
    <cellStyle name="Normal 9 2 4 7 3" xfId="11178" xr:uid="{37FE6D72-5368-48A4-8F0B-0A5EACFA0546}"/>
    <cellStyle name="Normal 9 2 4 7 4" xfId="19619" xr:uid="{66B4723B-8ED8-4516-9931-CF788CB8CA75}"/>
    <cellStyle name="Normal 9 2 4 8" xfId="4889" xr:uid="{00000000-0005-0000-0000-0000831F0000}"/>
    <cellStyle name="Normal 9 2 4 8 2" xfId="13331" xr:uid="{56A31326-D2CA-4012-A321-ABD5C515517B}"/>
    <cellStyle name="Normal 9 2 4 8 3" xfId="21771" xr:uid="{B83B77A4-1A74-45F8-A5E0-C448F41AC6CD}"/>
    <cellStyle name="Normal 9 2 4 9" xfId="9113" xr:uid="{66FF2685-92B2-4860-BFB3-C7C9A51863F5}"/>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2 2 2" xfId="15891" xr:uid="{11312F12-51C4-4EC7-A8EF-066C7EE6B0FB}"/>
    <cellStyle name="Normal 9 2 5 2 2 2 3" xfId="24331" xr:uid="{9C93D258-7840-4703-A901-DFE9B378D4DB}"/>
    <cellStyle name="Normal 9 2 5 2 2 3" xfId="11673" xr:uid="{D58DF611-B275-45CF-9A68-3CC7BACEDEF0}"/>
    <cellStyle name="Normal 9 2 5 2 2 4" xfId="20114" xr:uid="{BAAA1E50-1439-42DB-9B04-D09D63370D84}"/>
    <cellStyle name="Normal 9 2 5 2 3" xfId="5304" xr:uid="{00000000-0005-0000-0000-0000881F0000}"/>
    <cellStyle name="Normal 9 2 5 2 3 2" xfId="13746" xr:uid="{3B4CFAE6-B029-4FC3-AED1-54B27724A0B0}"/>
    <cellStyle name="Normal 9 2 5 2 3 3" xfId="22186" xr:uid="{4A0E0218-75E4-455F-9C28-9E3763EB9EE2}"/>
    <cellStyle name="Normal 9 2 5 2 4" xfId="9528" xr:uid="{EDBF31AD-673A-4212-A00C-9E2152DC0CA5}"/>
    <cellStyle name="Normal 9 2 5 2 5" xfId="17969" xr:uid="{BEE3D642-B5FF-4F2F-885C-62DA5144CC55}"/>
    <cellStyle name="Normal 9 2 5 3" xfId="1409" xr:uid="{00000000-0005-0000-0000-0000891F0000}"/>
    <cellStyle name="Normal 9 2 5 3 2" xfId="3639" xr:uid="{00000000-0005-0000-0000-00008A1F0000}"/>
    <cellStyle name="Normal 9 2 5 3 2 2" xfId="7862" xr:uid="{00000000-0005-0000-0000-00008B1F0000}"/>
    <cellStyle name="Normal 9 2 5 3 2 2 2" xfId="16304" xr:uid="{89C13F9E-CB05-424E-8538-93C23EF66D0B}"/>
    <cellStyle name="Normal 9 2 5 3 2 2 3" xfId="24744" xr:uid="{153B8ED3-BDA1-4E7F-BE0F-724E6FD3DC47}"/>
    <cellStyle name="Normal 9 2 5 3 2 3" xfId="12086" xr:uid="{5E8F4365-4F8D-494F-818B-5B5FC277BAD2}"/>
    <cellStyle name="Normal 9 2 5 3 2 4" xfId="20527" xr:uid="{2B84DE95-4990-4AD1-B807-A1E2D0BBE0EE}"/>
    <cellStyle name="Normal 9 2 5 3 3" xfId="5717" xr:uid="{00000000-0005-0000-0000-00008C1F0000}"/>
    <cellStyle name="Normal 9 2 5 3 3 2" xfId="14159" xr:uid="{677E6660-F429-4907-BA76-FFDD8A67B355}"/>
    <cellStyle name="Normal 9 2 5 3 3 3" xfId="22599" xr:uid="{84CFF0AE-A177-4609-A63A-02D32D91A381}"/>
    <cellStyle name="Normal 9 2 5 3 4" xfId="9941" xr:uid="{96EEFF83-F23D-42CB-B847-25DE5CC8CCDC}"/>
    <cellStyle name="Normal 9 2 5 3 5" xfId="18382" xr:uid="{AA30BDF8-E0B8-433F-8ABE-78D8250EEB41}"/>
    <cellStyle name="Normal 9 2 5 4" xfId="1822" xr:uid="{00000000-0005-0000-0000-00008D1F0000}"/>
    <cellStyle name="Normal 9 2 5 4 2" xfId="4052" xr:uid="{00000000-0005-0000-0000-00008E1F0000}"/>
    <cellStyle name="Normal 9 2 5 4 2 2" xfId="8275" xr:uid="{00000000-0005-0000-0000-00008F1F0000}"/>
    <cellStyle name="Normal 9 2 5 4 2 2 2" xfId="16717" xr:uid="{EBEE73CC-E17D-4495-B97F-BA9F428AC1A6}"/>
    <cellStyle name="Normal 9 2 5 4 2 2 3" xfId="25157" xr:uid="{B6239947-E086-4F8D-8AC2-A5B0F54F8B53}"/>
    <cellStyle name="Normal 9 2 5 4 2 3" xfId="12499" xr:uid="{CE1F429F-6B2C-411E-B3E2-8734285A40FF}"/>
    <cellStyle name="Normal 9 2 5 4 2 4" xfId="20940" xr:uid="{C5725567-21CF-406E-AC30-B3BE80C2F375}"/>
    <cellStyle name="Normal 9 2 5 4 3" xfId="6130" xr:uid="{00000000-0005-0000-0000-0000901F0000}"/>
    <cellStyle name="Normal 9 2 5 4 3 2" xfId="14572" xr:uid="{89B3DCD2-6DD8-41DA-885C-81505877E7B3}"/>
    <cellStyle name="Normal 9 2 5 4 3 3" xfId="23012" xr:uid="{F7AD4BCD-E125-4CD3-82BC-7163F4568040}"/>
    <cellStyle name="Normal 9 2 5 4 4" xfId="10354" xr:uid="{75FECAC6-0714-4F70-9C0B-8CB0410BA2C1}"/>
    <cellStyle name="Normal 9 2 5 4 5" xfId="18795" xr:uid="{C5F67DF5-4961-4848-B521-20F56C3E4271}"/>
    <cellStyle name="Normal 9 2 5 5" xfId="2236" xr:uid="{00000000-0005-0000-0000-0000911F0000}"/>
    <cellStyle name="Normal 9 2 5 5 2" xfId="4465" xr:uid="{00000000-0005-0000-0000-0000921F0000}"/>
    <cellStyle name="Normal 9 2 5 5 2 2" xfId="8688" xr:uid="{00000000-0005-0000-0000-0000931F0000}"/>
    <cellStyle name="Normal 9 2 5 5 2 2 2" xfId="17130" xr:uid="{3D15299C-D82A-499C-8AFC-79B8F5BAD09F}"/>
    <cellStyle name="Normal 9 2 5 5 2 2 3" xfId="25570" xr:uid="{312D63EF-0A2D-40CD-A5CB-B8365C4FC1CD}"/>
    <cellStyle name="Normal 9 2 5 5 2 3" xfId="12912" xr:uid="{E79DF241-4CB9-4695-8077-6550C3C9E4D9}"/>
    <cellStyle name="Normal 9 2 5 5 2 4" xfId="21353" xr:uid="{DCEE432A-16A8-4432-A2E6-C9C4CB1C8A7A}"/>
    <cellStyle name="Normal 9 2 5 5 3" xfId="6543" xr:uid="{00000000-0005-0000-0000-0000941F0000}"/>
    <cellStyle name="Normal 9 2 5 5 3 2" xfId="14985" xr:uid="{FFB99F87-C341-49A2-8B68-E719E769BCBF}"/>
    <cellStyle name="Normal 9 2 5 5 3 3" xfId="23425" xr:uid="{0F80AC40-F8C6-4F29-9741-DC8965B726A3}"/>
    <cellStyle name="Normal 9 2 5 5 4" xfId="10767" xr:uid="{C61E1CF0-190D-4B61-9E97-B20D28A21EED}"/>
    <cellStyle name="Normal 9 2 5 5 5" xfId="19208" xr:uid="{35EDA8EF-0A2E-4533-ACA3-C162F0CA2D27}"/>
    <cellStyle name="Normal 9 2 5 6" xfId="2672" xr:uid="{00000000-0005-0000-0000-0000951F0000}"/>
    <cellStyle name="Normal 9 2 5 6 2" xfId="6956" xr:uid="{00000000-0005-0000-0000-0000961F0000}"/>
    <cellStyle name="Normal 9 2 5 6 2 2" xfId="15398" xr:uid="{B4CBBA01-1C9B-427C-8112-A09D580CC0FD}"/>
    <cellStyle name="Normal 9 2 5 6 2 3" xfId="23838" xr:uid="{88D863BF-7797-47B7-9D06-80466E218D68}"/>
    <cellStyle name="Normal 9 2 5 6 3" xfId="11180" xr:uid="{E2465D0B-846E-4D74-9D64-086D5AE22572}"/>
    <cellStyle name="Normal 9 2 5 6 4" xfId="19621" xr:uid="{7C5B29AA-6D58-4C5D-BAC7-88DA8B173FF1}"/>
    <cellStyle name="Normal 9 2 5 7" xfId="4891" xr:uid="{00000000-0005-0000-0000-0000971F0000}"/>
    <cellStyle name="Normal 9 2 5 7 2" xfId="13333" xr:uid="{A7E39043-ED7D-4210-8297-8149B21D65D1}"/>
    <cellStyle name="Normal 9 2 5 7 3" xfId="21773" xr:uid="{5D374194-D7D2-47F7-91F3-D5351525CAB3}"/>
    <cellStyle name="Normal 9 2 5 8" xfId="9115" xr:uid="{B59DDCDF-0C27-4C2D-AEC5-AB05BD1091E7}"/>
    <cellStyle name="Normal 9 2 5 9" xfId="17556" xr:uid="{1B3B51B7-96C6-4015-B4E2-41506B643DC9}"/>
    <cellStyle name="Normal 9 2 6" xfId="978" xr:uid="{00000000-0005-0000-0000-0000981F0000}"/>
    <cellStyle name="Normal 9 2 6 2" xfId="3211" xr:uid="{00000000-0005-0000-0000-0000991F0000}"/>
    <cellStyle name="Normal 9 2 6 2 2" xfId="7434" xr:uid="{00000000-0005-0000-0000-00009A1F0000}"/>
    <cellStyle name="Normal 9 2 6 2 2 2" xfId="15876" xr:uid="{F9969EA5-26FD-4101-88DA-F2FAD3877E2E}"/>
    <cellStyle name="Normal 9 2 6 2 2 3" xfId="24316" xr:uid="{5F7D9013-D31D-483A-8707-F628E5F042F6}"/>
    <cellStyle name="Normal 9 2 6 2 3" xfId="11658" xr:uid="{1901B4EC-45CD-44F0-967D-A0BAB433FB6A}"/>
    <cellStyle name="Normal 9 2 6 2 4" xfId="20099" xr:uid="{88797F78-0792-47FD-A909-6D2814A46F79}"/>
    <cellStyle name="Normal 9 2 6 3" xfId="5289" xr:uid="{00000000-0005-0000-0000-00009B1F0000}"/>
    <cellStyle name="Normal 9 2 6 3 2" xfId="13731" xr:uid="{DB2B8366-D0F3-416A-A13B-CA823CD47CCF}"/>
    <cellStyle name="Normal 9 2 6 3 3" xfId="22171" xr:uid="{8E671F7F-9C00-4F63-BD57-BE533166B1F2}"/>
    <cellStyle name="Normal 9 2 6 4" xfId="9513" xr:uid="{97D157AE-42CC-47C6-96F0-77DC082152C1}"/>
    <cellStyle name="Normal 9 2 6 5" xfId="17954" xr:uid="{18E4CF54-79A4-4201-A826-5E9641E0489D}"/>
    <cellStyle name="Normal 9 2 7" xfId="1394" xr:uid="{00000000-0005-0000-0000-00009C1F0000}"/>
    <cellStyle name="Normal 9 2 7 2" xfId="3624" xr:uid="{00000000-0005-0000-0000-00009D1F0000}"/>
    <cellStyle name="Normal 9 2 7 2 2" xfId="7847" xr:uid="{00000000-0005-0000-0000-00009E1F0000}"/>
    <cellStyle name="Normal 9 2 7 2 2 2" xfId="16289" xr:uid="{3AF08DEE-6AC1-433F-9971-4A5C547BEA9A}"/>
    <cellStyle name="Normal 9 2 7 2 2 3" xfId="24729" xr:uid="{0C0F133C-AE49-4F02-BED2-5A5656EABCF6}"/>
    <cellStyle name="Normal 9 2 7 2 3" xfId="12071" xr:uid="{B28955A0-83B1-458C-BA03-1B269982034F}"/>
    <cellStyle name="Normal 9 2 7 2 4" xfId="20512" xr:uid="{FA6E214A-AAAB-4749-A110-9CA8CA446517}"/>
    <cellStyle name="Normal 9 2 7 3" xfId="5702" xr:uid="{00000000-0005-0000-0000-00009F1F0000}"/>
    <cellStyle name="Normal 9 2 7 3 2" xfId="14144" xr:uid="{98718C14-51D3-4A77-A982-AC57B7FF2B40}"/>
    <cellStyle name="Normal 9 2 7 3 3" xfId="22584" xr:uid="{70B148BF-77A8-474E-AB48-7FD7398227CF}"/>
    <cellStyle name="Normal 9 2 7 4" xfId="9926" xr:uid="{8B2E75BA-2EBE-4DA4-B96C-FFEAA4967069}"/>
    <cellStyle name="Normal 9 2 7 5" xfId="18367" xr:uid="{386BD89E-29F6-4BA9-B8B5-0232B44A6245}"/>
    <cellStyle name="Normal 9 2 8" xfId="1807" xr:uid="{00000000-0005-0000-0000-0000A01F0000}"/>
    <cellStyle name="Normal 9 2 8 2" xfId="4037" xr:uid="{00000000-0005-0000-0000-0000A11F0000}"/>
    <cellStyle name="Normal 9 2 8 2 2" xfId="8260" xr:uid="{00000000-0005-0000-0000-0000A21F0000}"/>
    <cellStyle name="Normal 9 2 8 2 2 2" xfId="16702" xr:uid="{35095E7E-CAF4-44BF-BD67-B3A8FE655FCE}"/>
    <cellStyle name="Normal 9 2 8 2 2 3" xfId="25142" xr:uid="{770FE7A2-3BE0-4D33-A467-0E35F5C50AA7}"/>
    <cellStyle name="Normal 9 2 8 2 3" xfId="12484" xr:uid="{5A49572F-340D-46E1-957E-7ECB877889B0}"/>
    <cellStyle name="Normal 9 2 8 2 4" xfId="20925" xr:uid="{3E5F407B-20D5-4CEC-9A3C-76FB1DB3A8A8}"/>
    <cellStyle name="Normal 9 2 8 3" xfId="6115" xr:uid="{00000000-0005-0000-0000-0000A31F0000}"/>
    <cellStyle name="Normal 9 2 8 3 2" xfId="14557" xr:uid="{AB40E57E-64C5-4908-8F99-5182B456BEA2}"/>
    <cellStyle name="Normal 9 2 8 3 3" xfId="22997" xr:uid="{B2AF728C-B93A-487C-A607-19F02DFC6E03}"/>
    <cellStyle name="Normal 9 2 8 4" xfId="10339" xr:uid="{A2AA12B2-4B38-4A8B-8A20-0671D31736EA}"/>
    <cellStyle name="Normal 9 2 8 5" xfId="18780" xr:uid="{AE9FE643-6AB4-409F-94C9-6A17BEC7758B}"/>
    <cellStyle name="Normal 9 2 9" xfId="2221" xr:uid="{00000000-0005-0000-0000-0000A41F0000}"/>
    <cellStyle name="Normal 9 2 9 2" xfId="4450" xr:uid="{00000000-0005-0000-0000-0000A51F0000}"/>
    <cellStyle name="Normal 9 2 9 2 2" xfId="8673" xr:uid="{00000000-0005-0000-0000-0000A61F0000}"/>
    <cellStyle name="Normal 9 2 9 2 2 2" xfId="17115" xr:uid="{335E170A-4C4F-4C1C-9F92-3D1F690D00EE}"/>
    <cellStyle name="Normal 9 2 9 2 2 3" xfId="25555" xr:uid="{DCB27E0F-E1AC-4626-BD8B-D87DC44C0873}"/>
    <cellStyle name="Normal 9 2 9 2 3" xfId="12897" xr:uid="{F4ED956C-1B9E-43AD-8781-9F2048BFD192}"/>
    <cellStyle name="Normal 9 2 9 2 4" xfId="21338" xr:uid="{7223D287-6359-4822-BC4D-875A3D98B26A}"/>
    <cellStyle name="Normal 9 2 9 3" xfId="6528" xr:uid="{00000000-0005-0000-0000-0000A71F0000}"/>
    <cellStyle name="Normal 9 2 9 3 2" xfId="14970" xr:uid="{6550AB61-73F7-427F-AE6A-58691C062141}"/>
    <cellStyle name="Normal 9 2 9 3 3" xfId="23410" xr:uid="{59CEEE7C-146A-446C-BC95-9F8186947A1A}"/>
    <cellStyle name="Normal 9 2 9 4" xfId="10752" xr:uid="{BD7B7E04-72AD-465A-9A38-02682E6B6503}"/>
    <cellStyle name="Normal 9 2 9 5" xfId="19193" xr:uid="{E7917106-681C-4673-8E9E-D1411D4B6586}"/>
    <cellStyle name="Normal 9 3" xfId="527" xr:uid="{00000000-0005-0000-0000-0000A81F0000}"/>
    <cellStyle name="Normal 9 3 10" xfId="4892" xr:uid="{00000000-0005-0000-0000-0000A91F0000}"/>
    <cellStyle name="Normal 9 3 10 2" xfId="13334" xr:uid="{9C2E093D-DC4A-4C8A-8230-2E1F77DE0178}"/>
    <cellStyle name="Normal 9 3 10 3" xfId="21774" xr:uid="{56F70F43-BFA5-43D7-8708-090EF6D07A44}"/>
    <cellStyle name="Normal 9 3 11" xfId="9116" xr:uid="{9290813B-7456-47FD-B052-5E94AEA90255}"/>
    <cellStyle name="Normal 9 3 12" xfId="17557" xr:uid="{84CDC0DC-F783-414C-B546-7019C82706BA}"/>
    <cellStyle name="Normal 9 3 2" xfId="528" xr:uid="{00000000-0005-0000-0000-0000AA1F0000}"/>
    <cellStyle name="Normal 9 3 2 10" xfId="9117" xr:uid="{044F9EDE-08F2-461B-8B5C-76B58E776121}"/>
    <cellStyle name="Normal 9 3 2 11" xfId="17558" xr:uid="{C1BD67D4-AC38-4904-95CA-29504EAB6D53}"/>
    <cellStyle name="Normal 9 3 2 2" xfId="529" xr:uid="{00000000-0005-0000-0000-0000AB1F0000}"/>
    <cellStyle name="Normal 9 3 2 2 10" xfId="17559" xr:uid="{A038538C-B256-4480-BB8D-4976C99EC6B1}"/>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15895" xr:uid="{0BB3C2BA-69A8-4A73-82BE-10A5319E771D}"/>
    <cellStyle name="Normal 9 3 2 2 2 2 2 2 3" xfId="24335" xr:uid="{788AC393-0C79-4A1B-87DB-CB44E9D24F51}"/>
    <cellStyle name="Normal 9 3 2 2 2 2 2 3" xfId="11677" xr:uid="{DB5F32B6-DDD8-4DF6-BA39-08DDC4DE33AD}"/>
    <cellStyle name="Normal 9 3 2 2 2 2 2 4" xfId="20118" xr:uid="{41854554-32F3-4C43-9604-5359AD738CB5}"/>
    <cellStyle name="Normal 9 3 2 2 2 2 3" xfId="5308" xr:uid="{00000000-0005-0000-0000-0000B01F0000}"/>
    <cellStyle name="Normal 9 3 2 2 2 2 3 2" xfId="13750" xr:uid="{7234E240-CF08-4967-82F0-1E7E4AF4D9F3}"/>
    <cellStyle name="Normal 9 3 2 2 2 2 3 3" xfId="22190" xr:uid="{B50D8CBE-BA97-4820-9AC6-7589CEE97661}"/>
    <cellStyle name="Normal 9 3 2 2 2 2 4" xfId="9532" xr:uid="{321926CA-8F6F-4C82-B00F-22F5A19978B9}"/>
    <cellStyle name="Normal 9 3 2 2 2 2 5" xfId="17973" xr:uid="{38BC4234-C738-4FF9-AE21-ECF8BCBDD408}"/>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16308" xr:uid="{D7D97D7E-1871-49F2-A5B4-AA1877E85F85}"/>
    <cellStyle name="Normal 9 3 2 2 2 3 2 2 3" xfId="24748" xr:uid="{1BCA97BD-9C25-4B34-818D-29C6AB9F6A17}"/>
    <cellStyle name="Normal 9 3 2 2 2 3 2 3" xfId="12090" xr:uid="{E399CC9E-1D67-4B65-B894-34D2CF96340E}"/>
    <cellStyle name="Normal 9 3 2 2 2 3 2 4" xfId="20531" xr:uid="{2B767D82-7FF5-4A3A-8BAB-0809B4A48EAE}"/>
    <cellStyle name="Normal 9 3 2 2 2 3 3" xfId="5721" xr:uid="{00000000-0005-0000-0000-0000B41F0000}"/>
    <cellStyle name="Normal 9 3 2 2 2 3 3 2" xfId="14163" xr:uid="{C9D1FDB9-AB55-49AF-9E9F-0FD8F6F761DB}"/>
    <cellStyle name="Normal 9 3 2 2 2 3 3 3" xfId="22603" xr:uid="{05669C54-62E7-409A-80BC-A29DF60A20A7}"/>
    <cellStyle name="Normal 9 3 2 2 2 3 4" xfId="9945" xr:uid="{D070B9E0-4D91-4BD4-BED8-9D4C94E58C69}"/>
    <cellStyle name="Normal 9 3 2 2 2 3 5" xfId="18386" xr:uid="{12E302E3-5875-4FBE-8305-461E58C0D0A9}"/>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16721" xr:uid="{33265570-61AB-4AA1-AB6C-BA9A5FC0C173}"/>
    <cellStyle name="Normal 9 3 2 2 2 4 2 2 3" xfId="25161" xr:uid="{32E9C1DD-619B-441F-8657-095DFA2413C2}"/>
    <cellStyle name="Normal 9 3 2 2 2 4 2 3" xfId="12503" xr:uid="{0BA6FFA1-14C8-4471-8236-577A5C1089AC}"/>
    <cellStyle name="Normal 9 3 2 2 2 4 2 4" xfId="20944" xr:uid="{78A32A33-4A42-4AF6-ACDB-1A0F45F37640}"/>
    <cellStyle name="Normal 9 3 2 2 2 4 3" xfId="6134" xr:uid="{00000000-0005-0000-0000-0000B81F0000}"/>
    <cellStyle name="Normal 9 3 2 2 2 4 3 2" xfId="14576" xr:uid="{7BC7B4C3-9093-40A0-8D61-AB8896BFEAA6}"/>
    <cellStyle name="Normal 9 3 2 2 2 4 3 3" xfId="23016" xr:uid="{5DBF07AC-6061-45C8-8D21-CCE1948885BA}"/>
    <cellStyle name="Normal 9 3 2 2 2 4 4" xfId="10358" xr:uid="{9783E005-8CD8-4D04-B263-1A894D9637B2}"/>
    <cellStyle name="Normal 9 3 2 2 2 4 5" xfId="18799" xr:uid="{A745DAA6-A8AC-49B4-AE5C-577A581F65CF}"/>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17134" xr:uid="{615FB4AC-E419-4289-AD59-15D48032670E}"/>
    <cellStyle name="Normal 9 3 2 2 2 5 2 2 3" xfId="25574" xr:uid="{7F1B1C3E-B07E-4FAF-8DF0-86022A053663}"/>
    <cellStyle name="Normal 9 3 2 2 2 5 2 3" xfId="12916" xr:uid="{C3712B03-BC31-43EC-811D-C016704AAE54}"/>
    <cellStyle name="Normal 9 3 2 2 2 5 2 4" xfId="21357" xr:uid="{3B2B4430-5E8C-450D-938E-A23E2EDFBA24}"/>
    <cellStyle name="Normal 9 3 2 2 2 5 3" xfId="6547" xr:uid="{00000000-0005-0000-0000-0000BC1F0000}"/>
    <cellStyle name="Normal 9 3 2 2 2 5 3 2" xfId="14989" xr:uid="{5486631D-9DD6-4849-ADB7-2CC71175B63F}"/>
    <cellStyle name="Normal 9 3 2 2 2 5 3 3" xfId="23429" xr:uid="{B4C6635F-B173-4551-B049-055357AE0E6D}"/>
    <cellStyle name="Normal 9 3 2 2 2 5 4" xfId="10771" xr:uid="{F6FB41F8-BCA1-4AF3-B1F1-8E3B05711D47}"/>
    <cellStyle name="Normal 9 3 2 2 2 5 5" xfId="19212" xr:uid="{4AC93BAF-C043-4832-9C6B-B47A784493A0}"/>
    <cellStyle name="Normal 9 3 2 2 2 6" xfId="2676" xr:uid="{00000000-0005-0000-0000-0000BD1F0000}"/>
    <cellStyle name="Normal 9 3 2 2 2 6 2" xfId="6960" xr:uid="{00000000-0005-0000-0000-0000BE1F0000}"/>
    <cellStyle name="Normal 9 3 2 2 2 6 2 2" xfId="15402" xr:uid="{A91D841D-B85B-49BF-B959-3B4C1850259F}"/>
    <cellStyle name="Normal 9 3 2 2 2 6 2 3" xfId="23842" xr:uid="{59758731-30D4-419B-BDF8-AA8A114718F7}"/>
    <cellStyle name="Normal 9 3 2 2 2 6 3" xfId="11184" xr:uid="{CA14C80E-FDDD-4A73-A310-AEE43447F5B3}"/>
    <cellStyle name="Normal 9 3 2 2 2 6 4" xfId="19625" xr:uid="{C0494E4E-5717-4CE8-90AA-F8D7B3B1F15D}"/>
    <cellStyle name="Normal 9 3 2 2 2 7" xfId="4895" xr:uid="{00000000-0005-0000-0000-0000BF1F0000}"/>
    <cellStyle name="Normal 9 3 2 2 2 7 2" xfId="13337" xr:uid="{46E17DB9-83BB-4257-B64C-46A49D906737}"/>
    <cellStyle name="Normal 9 3 2 2 2 7 3" xfId="21777" xr:uid="{ABA26F53-0033-42FF-A516-152F9F866331}"/>
    <cellStyle name="Normal 9 3 2 2 2 8" xfId="9119" xr:uid="{F64E9CD7-0C29-4D3D-90FC-623F48B888BD}"/>
    <cellStyle name="Normal 9 3 2 2 2 9" xfId="17560" xr:uid="{F78759AE-5162-4CEF-AB80-7D520F052240}"/>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15894" xr:uid="{23788355-EEB1-4E59-9158-397F09AFABC8}"/>
    <cellStyle name="Normal 9 3 2 2 3 2 2 3" xfId="24334" xr:uid="{3B68CD31-95BE-40F8-B6F9-BF94CDEBB4A0}"/>
    <cellStyle name="Normal 9 3 2 2 3 2 3" xfId="11676" xr:uid="{0B05BA36-B7D1-442F-A35F-7B0CBB4D67C2}"/>
    <cellStyle name="Normal 9 3 2 2 3 2 4" xfId="20117" xr:uid="{54D78D2E-E9D6-4827-AB4F-C73034B338C0}"/>
    <cellStyle name="Normal 9 3 2 2 3 3" xfId="5307" xr:uid="{00000000-0005-0000-0000-0000C31F0000}"/>
    <cellStyle name="Normal 9 3 2 2 3 3 2" xfId="13749" xr:uid="{A4B4F1FE-CE5C-45DE-88D4-C5DDE5979C1B}"/>
    <cellStyle name="Normal 9 3 2 2 3 3 3" xfId="22189" xr:uid="{326326B1-6283-419C-AE42-27A4EB7E9015}"/>
    <cellStyle name="Normal 9 3 2 2 3 4" xfId="9531" xr:uid="{584547CB-2503-454F-B82B-8480DE205662}"/>
    <cellStyle name="Normal 9 3 2 2 3 5" xfId="17972" xr:uid="{350F5267-1642-4D15-8A39-DA2B701C3E33}"/>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16307" xr:uid="{4B18B514-EAB7-4F0D-A6AA-02E29028B099}"/>
    <cellStyle name="Normal 9 3 2 2 4 2 2 3" xfId="24747" xr:uid="{90612454-5E62-4B8B-A23D-8B05EDDBC78C}"/>
    <cellStyle name="Normal 9 3 2 2 4 2 3" xfId="12089" xr:uid="{DBC80213-5838-48BE-B812-06968231ACEA}"/>
    <cellStyle name="Normal 9 3 2 2 4 2 4" xfId="20530" xr:uid="{92F4B737-FF4C-471D-A13C-DD4764BC04D7}"/>
    <cellStyle name="Normal 9 3 2 2 4 3" xfId="5720" xr:uid="{00000000-0005-0000-0000-0000C71F0000}"/>
    <cellStyle name="Normal 9 3 2 2 4 3 2" xfId="14162" xr:uid="{02A2B2C2-16C0-42DF-969C-A8E2BD3DE40E}"/>
    <cellStyle name="Normal 9 3 2 2 4 3 3" xfId="22602" xr:uid="{28162D5D-889E-43D7-B2FA-0207CB2B8994}"/>
    <cellStyle name="Normal 9 3 2 2 4 4" xfId="9944" xr:uid="{21AA2940-10A0-41DD-AA65-2CC904741DB4}"/>
    <cellStyle name="Normal 9 3 2 2 4 5" xfId="18385" xr:uid="{3118AF75-7825-47D0-B008-AF2FF6D512B4}"/>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16720" xr:uid="{456B7F2A-33BE-47B6-B7EB-1A0B8BDF48F6}"/>
    <cellStyle name="Normal 9 3 2 2 5 2 2 3" xfId="25160" xr:uid="{CBE3C197-EE50-4512-AA9C-5D8B101E7B55}"/>
    <cellStyle name="Normal 9 3 2 2 5 2 3" xfId="12502" xr:uid="{5E0E0840-230B-4604-84C6-79C29748F011}"/>
    <cellStyle name="Normal 9 3 2 2 5 2 4" xfId="20943" xr:uid="{54BBF9C2-17F4-403F-9E67-A595CECDDF12}"/>
    <cellStyle name="Normal 9 3 2 2 5 3" xfId="6133" xr:uid="{00000000-0005-0000-0000-0000CB1F0000}"/>
    <cellStyle name="Normal 9 3 2 2 5 3 2" xfId="14575" xr:uid="{44349409-9767-412E-873C-C2727D1B2D9B}"/>
    <cellStyle name="Normal 9 3 2 2 5 3 3" xfId="23015" xr:uid="{7187518F-D5FD-4E13-9A99-24D112CECAA1}"/>
    <cellStyle name="Normal 9 3 2 2 5 4" xfId="10357" xr:uid="{9C100F13-DD9F-4773-98E5-703FF03086DE}"/>
    <cellStyle name="Normal 9 3 2 2 5 5" xfId="18798" xr:uid="{33D9A055-D0D5-4349-AD2C-71A6B556FCCF}"/>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17133" xr:uid="{1D3B7014-3476-4A0B-B611-9CA91D33D865}"/>
    <cellStyle name="Normal 9 3 2 2 6 2 2 3" xfId="25573" xr:uid="{96F28A71-030A-416B-B130-089CE2B1C52D}"/>
    <cellStyle name="Normal 9 3 2 2 6 2 3" xfId="12915" xr:uid="{95D32157-EA44-47FA-84F4-4DA9986A6235}"/>
    <cellStyle name="Normal 9 3 2 2 6 2 4" xfId="21356" xr:uid="{93DFE3FC-4561-4E48-B551-5D6D6B13B03C}"/>
    <cellStyle name="Normal 9 3 2 2 6 3" xfId="6546" xr:uid="{00000000-0005-0000-0000-0000CF1F0000}"/>
    <cellStyle name="Normal 9 3 2 2 6 3 2" xfId="14988" xr:uid="{62874370-2087-4369-82C7-151C02D17B0E}"/>
    <cellStyle name="Normal 9 3 2 2 6 3 3" xfId="23428" xr:uid="{D6DD2B62-D4EB-4044-869D-DBCDB2D33326}"/>
    <cellStyle name="Normal 9 3 2 2 6 4" xfId="10770" xr:uid="{2499A191-65BA-4B89-B54C-1174BC730A25}"/>
    <cellStyle name="Normal 9 3 2 2 6 5" xfId="19211" xr:uid="{C349D8BB-D4F1-41D9-9A1E-202D7F12517F}"/>
    <cellStyle name="Normal 9 3 2 2 7" xfId="2675" xr:uid="{00000000-0005-0000-0000-0000D01F0000}"/>
    <cellStyle name="Normal 9 3 2 2 7 2" xfId="6959" xr:uid="{00000000-0005-0000-0000-0000D11F0000}"/>
    <cellStyle name="Normal 9 3 2 2 7 2 2" xfId="15401" xr:uid="{94116601-B543-41D5-8994-48365DDA5073}"/>
    <cellStyle name="Normal 9 3 2 2 7 2 3" xfId="23841" xr:uid="{D3D16C6E-678F-4F19-8C6F-26F92F367CDD}"/>
    <cellStyle name="Normal 9 3 2 2 7 3" xfId="11183" xr:uid="{7D7D41FA-8984-455D-90B1-46EA7670DA07}"/>
    <cellStyle name="Normal 9 3 2 2 7 4" xfId="19624" xr:uid="{4241B6D5-52FE-422C-B072-FEEA6011F83E}"/>
    <cellStyle name="Normal 9 3 2 2 8" xfId="4894" xr:uid="{00000000-0005-0000-0000-0000D21F0000}"/>
    <cellStyle name="Normal 9 3 2 2 8 2" xfId="13336" xr:uid="{310F8B0E-EEE3-4AE2-8B41-B5B32EE66623}"/>
    <cellStyle name="Normal 9 3 2 2 8 3" xfId="21776" xr:uid="{C113F39B-9616-4BE4-8BB3-B7CDD157516B}"/>
    <cellStyle name="Normal 9 3 2 2 9" xfId="9118" xr:uid="{0D0AE122-771C-4347-B444-EFCE383FDAD9}"/>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15896" xr:uid="{FCB90141-CAFA-4672-A780-002C624B78F0}"/>
    <cellStyle name="Normal 9 3 2 3 2 2 2 3" xfId="24336" xr:uid="{422AEAA7-B86B-4992-8B16-6D02A3CB14C9}"/>
    <cellStyle name="Normal 9 3 2 3 2 2 3" xfId="11678" xr:uid="{8762F727-B62C-4306-9549-CC9582F69718}"/>
    <cellStyle name="Normal 9 3 2 3 2 2 4" xfId="20119" xr:uid="{CB7FA230-58EE-49A3-B53B-381BF52973B1}"/>
    <cellStyle name="Normal 9 3 2 3 2 3" xfId="5309" xr:uid="{00000000-0005-0000-0000-0000D71F0000}"/>
    <cellStyle name="Normal 9 3 2 3 2 3 2" xfId="13751" xr:uid="{9EF7C128-5044-4CFA-A0E6-CDD37E33A829}"/>
    <cellStyle name="Normal 9 3 2 3 2 3 3" xfId="22191" xr:uid="{2AC3DE3B-B914-45A4-8B85-436F500DE86F}"/>
    <cellStyle name="Normal 9 3 2 3 2 4" xfId="9533" xr:uid="{961D0E14-15D3-40CF-AF48-08D97A6888CC}"/>
    <cellStyle name="Normal 9 3 2 3 2 5" xfId="17974" xr:uid="{20DDE1F3-A200-4F9D-A38D-84D5EF0E6946}"/>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16309" xr:uid="{D8162A24-7ADF-471F-91E6-ABB6DA2DE240}"/>
    <cellStyle name="Normal 9 3 2 3 3 2 2 3" xfId="24749" xr:uid="{499718E3-CF18-4F31-B3F7-7B80B34DD265}"/>
    <cellStyle name="Normal 9 3 2 3 3 2 3" xfId="12091" xr:uid="{58DA669F-93A9-4CEC-93E1-8ECF07313104}"/>
    <cellStyle name="Normal 9 3 2 3 3 2 4" xfId="20532" xr:uid="{7AE79111-22AB-4AD0-9851-95485D4496D1}"/>
    <cellStyle name="Normal 9 3 2 3 3 3" xfId="5722" xr:uid="{00000000-0005-0000-0000-0000DB1F0000}"/>
    <cellStyle name="Normal 9 3 2 3 3 3 2" xfId="14164" xr:uid="{1B6E9CE9-0CC1-4466-9617-00B0CB4A868C}"/>
    <cellStyle name="Normal 9 3 2 3 3 3 3" xfId="22604" xr:uid="{759A81A5-380B-4793-BABD-428C756BF526}"/>
    <cellStyle name="Normal 9 3 2 3 3 4" xfId="9946" xr:uid="{C455AAA6-56B9-4811-AF68-E69BFD621AF2}"/>
    <cellStyle name="Normal 9 3 2 3 3 5" xfId="18387" xr:uid="{78FDE24C-AF66-446F-B09F-34F36F6FFFD3}"/>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16722" xr:uid="{5087DE54-0661-4BB1-87BA-8F7246019102}"/>
    <cellStyle name="Normal 9 3 2 3 4 2 2 3" xfId="25162" xr:uid="{DD2587BF-E731-431D-BD76-10D8D892EBFF}"/>
    <cellStyle name="Normal 9 3 2 3 4 2 3" xfId="12504" xr:uid="{41E08AE4-4772-4720-81CE-3F5FA8D6C13C}"/>
    <cellStyle name="Normal 9 3 2 3 4 2 4" xfId="20945" xr:uid="{9E80FA65-C77A-42DF-B385-969E0B37F540}"/>
    <cellStyle name="Normal 9 3 2 3 4 3" xfId="6135" xr:uid="{00000000-0005-0000-0000-0000DF1F0000}"/>
    <cellStyle name="Normal 9 3 2 3 4 3 2" xfId="14577" xr:uid="{91E54AC5-90A2-4825-8BBE-A12BA59B11A7}"/>
    <cellStyle name="Normal 9 3 2 3 4 3 3" xfId="23017" xr:uid="{A4F38BAC-DF48-4245-8E7A-145A87CF4DD1}"/>
    <cellStyle name="Normal 9 3 2 3 4 4" xfId="10359" xr:uid="{21E2B1C0-17CF-4E5C-900D-33D84E5F89D2}"/>
    <cellStyle name="Normal 9 3 2 3 4 5" xfId="18800" xr:uid="{9D2E48FF-89CF-4653-9A2A-89265AADC2C3}"/>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17135" xr:uid="{CDC17D77-CDC9-4A3A-B3B6-EC30733EA161}"/>
    <cellStyle name="Normal 9 3 2 3 5 2 2 3" xfId="25575" xr:uid="{E06F8BEF-89B2-48F2-9980-21A9FD733CF2}"/>
    <cellStyle name="Normal 9 3 2 3 5 2 3" xfId="12917" xr:uid="{1829A1C5-6ECC-4275-856B-7A5C852E4A76}"/>
    <cellStyle name="Normal 9 3 2 3 5 2 4" xfId="21358" xr:uid="{2864CAB1-6677-48B9-888B-8B9BECE348B7}"/>
    <cellStyle name="Normal 9 3 2 3 5 3" xfId="6548" xr:uid="{00000000-0005-0000-0000-0000E31F0000}"/>
    <cellStyle name="Normal 9 3 2 3 5 3 2" xfId="14990" xr:uid="{7E5CBDC6-D483-4F9F-85DF-B069646D1AF9}"/>
    <cellStyle name="Normal 9 3 2 3 5 3 3" xfId="23430" xr:uid="{665BE122-10D2-4281-9825-BB8DDD37681D}"/>
    <cellStyle name="Normal 9 3 2 3 5 4" xfId="10772" xr:uid="{EE844892-214C-444B-836D-EC39E06ACA09}"/>
    <cellStyle name="Normal 9 3 2 3 5 5" xfId="19213" xr:uid="{55948FF0-0952-47C1-B65E-E2C2E4D86581}"/>
    <cellStyle name="Normal 9 3 2 3 6" xfId="2677" xr:uid="{00000000-0005-0000-0000-0000E41F0000}"/>
    <cellStyle name="Normal 9 3 2 3 6 2" xfId="6961" xr:uid="{00000000-0005-0000-0000-0000E51F0000}"/>
    <cellStyle name="Normal 9 3 2 3 6 2 2" xfId="15403" xr:uid="{28E70411-A086-49A7-9549-6A4521B7E7D5}"/>
    <cellStyle name="Normal 9 3 2 3 6 2 3" xfId="23843" xr:uid="{EB53F506-C577-4443-8AE2-95BE19233B5F}"/>
    <cellStyle name="Normal 9 3 2 3 6 3" xfId="11185" xr:uid="{56774AA1-4F16-42AB-BCF4-7EF76845695B}"/>
    <cellStyle name="Normal 9 3 2 3 6 4" xfId="19626" xr:uid="{C67C1E09-8081-4C12-B383-030236F1D4D0}"/>
    <cellStyle name="Normal 9 3 2 3 7" xfId="4896" xr:uid="{00000000-0005-0000-0000-0000E61F0000}"/>
    <cellStyle name="Normal 9 3 2 3 7 2" xfId="13338" xr:uid="{D99D407B-27A1-434A-BE30-AF878371E56C}"/>
    <cellStyle name="Normal 9 3 2 3 7 3" xfId="21778" xr:uid="{0AD7A983-C918-4076-8CC9-BCC44B4A69D0}"/>
    <cellStyle name="Normal 9 3 2 3 8" xfId="9120" xr:uid="{157B078B-A0E8-46C0-8AE2-07969AB45268}"/>
    <cellStyle name="Normal 9 3 2 3 9" xfId="17561" xr:uid="{747CE6A8-19F8-42CF-A4A2-4F0AA148D497}"/>
    <cellStyle name="Normal 9 3 2 4" xfId="995" xr:uid="{00000000-0005-0000-0000-0000E71F0000}"/>
    <cellStyle name="Normal 9 3 2 4 2" xfId="3228" xr:uid="{00000000-0005-0000-0000-0000E81F0000}"/>
    <cellStyle name="Normal 9 3 2 4 2 2" xfId="7451" xr:uid="{00000000-0005-0000-0000-0000E91F0000}"/>
    <cellStyle name="Normal 9 3 2 4 2 2 2" xfId="15893" xr:uid="{B6AA413E-99AB-4683-9D03-C168B1AA89E9}"/>
    <cellStyle name="Normal 9 3 2 4 2 2 3" xfId="24333" xr:uid="{3E2B9F8A-A0FA-4ECD-AFC8-C771C547625A}"/>
    <cellStyle name="Normal 9 3 2 4 2 3" xfId="11675" xr:uid="{31F71027-3CF9-4718-8065-D77714F8477E}"/>
    <cellStyle name="Normal 9 3 2 4 2 4" xfId="20116" xr:uid="{E0594ACD-496B-4CB5-AA67-AB7C39FAA1CD}"/>
    <cellStyle name="Normal 9 3 2 4 3" xfId="5306" xr:uid="{00000000-0005-0000-0000-0000EA1F0000}"/>
    <cellStyle name="Normal 9 3 2 4 3 2" xfId="13748" xr:uid="{E87B44D4-B2E7-4437-889E-E453CE18F492}"/>
    <cellStyle name="Normal 9 3 2 4 3 3" xfId="22188" xr:uid="{BB339C14-A75B-49FD-B3C2-B8F13BDCCB95}"/>
    <cellStyle name="Normal 9 3 2 4 4" xfId="9530" xr:uid="{B166D1AD-1E3B-472D-AAAD-2F22073F1784}"/>
    <cellStyle name="Normal 9 3 2 4 5" xfId="17971" xr:uid="{53283ECB-127B-4A4E-B4F2-28CC0179435D}"/>
    <cellStyle name="Normal 9 3 2 5" xfId="1411" xr:uid="{00000000-0005-0000-0000-0000EB1F0000}"/>
    <cellStyle name="Normal 9 3 2 5 2" xfId="3641" xr:uid="{00000000-0005-0000-0000-0000EC1F0000}"/>
    <cellStyle name="Normal 9 3 2 5 2 2" xfId="7864" xr:uid="{00000000-0005-0000-0000-0000ED1F0000}"/>
    <cellStyle name="Normal 9 3 2 5 2 2 2" xfId="16306" xr:uid="{32095243-6CB4-4B32-818C-1947C4493241}"/>
    <cellStyle name="Normal 9 3 2 5 2 2 3" xfId="24746" xr:uid="{4CD60E7F-ADEA-4045-BC99-97618C5B8188}"/>
    <cellStyle name="Normal 9 3 2 5 2 3" xfId="12088" xr:uid="{12AC5B12-F0A4-4BE2-8E21-71EB76A404DA}"/>
    <cellStyle name="Normal 9 3 2 5 2 4" xfId="20529" xr:uid="{6D2FC82A-44D3-4A09-980D-DE4008A2E082}"/>
    <cellStyle name="Normal 9 3 2 5 3" xfId="5719" xr:uid="{00000000-0005-0000-0000-0000EE1F0000}"/>
    <cellStyle name="Normal 9 3 2 5 3 2" xfId="14161" xr:uid="{A4900CF1-C989-47C1-8599-C50766AC193C}"/>
    <cellStyle name="Normal 9 3 2 5 3 3" xfId="22601" xr:uid="{886FB16F-EED9-4293-8631-F43EF20B4578}"/>
    <cellStyle name="Normal 9 3 2 5 4" xfId="9943" xr:uid="{310AECCF-3861-48C4-96F2-91961ADE6F46}"/>
    <cellStyle name="Normal 9 3 2 5 5" xfId="18384" xr:uid="{094AED7B-6402-4E95-B581-CF32E172A1A6}"/>
    <cellStyle name="Normal 9 3 2 6" xfId="1824" xr:uid="{00000000-0005-0000-0000-0000EF1F0000}"/>
    <cellStyle name="Normal 9 3 2 6 2" xfId="4054" xr:uid="{00000000-0005-0000-0000-0000F01F0000}"/>
    <cellStyle name="Normal 9 3 2 6 2 2" xfId="8277" xr:uid="{00000000-0005-0000-0000-0000F11F0000}"/>
    <cellStyle name="Normal 9 3 2 6 2 2 2" xfId="16719" xr:uid="{7BB9989D-1835-4769-9D19-8E92680C6F25}"/>
    <cellStyle name="Normal 9 3 2 6 2 2 3" xfId="25159" xr:uid="{5B51F3FD-91F9-4C40-A9D9-F474D5731C18}"/>
    <cellStyle name="Normal 9 3 2 6 2 3" xfId="12501" xr:uid="{63E7901C-64CF-471A-A38A-4CF5B3857382}"/>
    <cellStyle name="Normal 9 3 2 6 2 4" xfId="20942" xr:uid="{6B2227B3-1B63-453D-85BD-A229F204B116}"/>
    <cellStyle name="Normal 9 3 2 6 3" xfId="6132" xr:uid="{00000000-0005-0000-0000-0000F21F0000}"/>
    <cellStyle name="Normal 9 3 2 6 3 2" xfId="14574" xr:uid="{0C08661B-7A0C-4815-B18B-674A10131BAE}"/>
    <cellStyle name="Normal 9 3 2 6 3 3" xfId="23014" xr:uid="{F9E5BF66-AA6D-4053-A3BB-916D51EDF33E}"/>
    <cellStyle name="Normal 9 3 2 6 4" xfId="10356" xr:uid="{1E335D07-2746-47BF-992F-4869D891039A}"/>
    <cellStyle name="Normal 9 3 2 6 5" xfId="18797" xr:uid="{986924D0-9263-4D4E-A0E6-28782A4E0DFB}"/>
    <cellStyle name="Normal 9 3 2 7" xfId="2238" xr:uid="{00000000-0005-0000-0000-0000F31F0000}"/>
    <cellStyle name="Normal 9 3 2 7 2" xfId="4467" xr:uid="{00000000-0005-0000-0000-0000F41F0000}"/>
    <cellStyle name="Normal 9 3 2 7 2 2" xfId="8690" xr:uid="{00000000-0005-0000-0000-0000F51F0000}"/>
    <cellStyle name="Normal 9 3 2 7 2 2 2" xfId="17132" xr:uid="{1FD88671-71D0-4569-AC34-9E9E5EE2650B}"/>
    <cellStyle name="Normal 9 3 2 7 2 2 3" xfId="25572" xr:uid="{1E1A3F8D-0AD3-46B3-8969-26A47A523F7E}"/>
    <cellStyle name="Normal 9 3 2 7 2 3" xfId="12914" xr:uid="{0FEA63FC-3278-4182-95ED-82B25400EBDE}"/>
    <cellStyle name="Normal 9 3 2 7 2 4" xfId="21355" xr:uid="{760C7159-27EE-4081-92A7-5E3055F50952}"/>
    <cellStyle name="Normal 9 3 2 7 3" xfId="6545" xr:uid="{00000000-0005-0000-0000-0000F61F0000}"/>
    <cellStyle name="Normal 9 3 2 7 3 2" xfId="14987" xr:uid="{9B3978FE-5C40-4EB3-8FDD-8CFF4210D399}"/>
    <cellStyle name="Normal 9 3 2 7 3 3" xfId="23427" xr:uid="{4A24AE7C-F482-4FF8-83E1-9A961D30C600}"/>
    <cellStyle name="Normal 9 3 2 7 4" xfId="10769" xr:uid="{F70981E7-80A2-42A2-9A8D-1A0DFA05BB06}"/>
    <cellStyle name="Normal 9 3 2 7 5" xfId="19210" xr:uid="{C61FBEFD-70A1-4D18-8010-2F2133469B81}"/>
    <cellStyle name="Normal 9 3 2 8" xfId="2674" xr:uid="{00000000-0005-0000-0000-0000F71F0000}"/>
    <cellStyle name="Normal 9 3 2 8 2" xfId="6958" xr:uid="{00000000-0005-0000-0000-0000F81F0000}"/>
    <cellStyle name="Normal 9 3 2 8 2 2" xfId="15400" xr:uid="{ED632D5D-CB56-4645-AE4F-4D1932AC2D10}"/>
    <cellStyle name="Normal 9 3 2 8 2 3" xfId="23840" xr:uid="{18AF8C99-A60E-48A4-97C5-65B3D2C49F32}"/>
    <cellStyle name="Normal 9 3 2 8 3" xfId="11182" xr:uid="{6EEDA1DC-97BE-43C5-A831-4A86D00A316C}"/>
    <cellStyle name="Normal 9 3 2 8 4" xfId="19623" xr:uid="{DE02FBE6-A7FE-4816-B4AF-F50FFE42B438}"/>
    <cellStyle name="Normal 9 3 2 9" xfId="4893" xr:uid="{00000000-0005-0000-0000-0000F91F0000}"/>
    <cellStyle name="Normal 9 3 2 9 2" xfId="13335" xr:uid="{A600FA6F-0DC0-430C-9673-AC1647931A59}"/>
    <cellStyle name="Normal 9 3 2 9 3" xfId="21775" xr:uid="{6E9792F9-C807-414A-AE0B-A50FF37B28CF}"/>
    <cellStyle name="Normal 9 3 3" xfId="532" xr:uid="{00000000-0005-0000-0000-0000FA1F0000}"/>
    <cellStyle name="Normal 9 3 3 10" xfId="17562" xr:uid="{E3A2D2DF-F15B-4330-8803-E92C8F8B8111}"/>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15898" xr:uid="{10F42421-B806-4720-9D9A-F14AE9D0392A}"/>
    <cellStyle name="Normal 9 3 3 2 2 2 2 3" xfId="24338" xr:uid="{8970A95D-AB38-4366-B994-E27B5AC14123}"/>
    <cellStyle name="Normal 9 3 3 2 2 2 3" xfId="11680" xr:uid="{285A30F8-A5DA-466F-87C0-50DED94B9E68}"/>
    <cellStyle name="Normal 9 3 3 2 2 2 4" xfId="20121" xr:uid="{927D5953-DD6C-45D5-847C-CECAB2AA7F3F}"/>
    <cellStyle name="Normal 9 3 3 2 2 3" xfId="5311" xr:uid="{00000000-0005-0000-0000-0000FF1F0000}"/>
    <cellStyle name="Normal 9 3 3 2 2 3 2" xfId="13753" xr:uid="{00568AB5-1592-4523-BF48-6952C6E1ED80}"/>
    <cellStyle name="Normal 9 3 3 2 2 3 3" xfId="22193" xr:uid="{BC7E578C-6196-4A9E-8D08-9D8C7F0086FE}"/>
    <cellStyle name="Normal 9 3 3 2 2 4" xfId="9535" xr:uid="{055BBEF6-3980-405E-98B4-DB85A306517D}"/>
    <cellStyle name="Normal 9 3 3 2 2 5" xfId="17976" xr:uid="{B5C6BF2E-95B5-421C-9C1A-0C886DD78712}"/>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16311" xr:uid="{1B4CD582-517A-4F7E-831C-528700AAF3A4}"/>
    <cellStyle name="Normal 9 3 3 2 3 2 2 3" xfId="24751" xr:uid="{B0A77BB2-55D7-46AA-8100-473ACD342CBA}"/>
    <cellStyle name="Normal 9 3 3 2 3 2 3" xfId="12093" xr:uid="{B123C724-A884-4C51-99F1-91A127A86BAE}"/>
    <cellStyle name="Normal 9 3 3 2 3 2 4" xfId="20534" xr:uid="{69469DBC-5FFE-4EBC-9636-334C6E05E289}"/>
    <cellStyle name="Normal 9 3 3 2 3 3" xfId="5724" xr:uid="{00000000-0005-0000-0000-000003200000}"/>
    <cellStyle name="Normal 9 3 3 2 3 3 2" xfId="14166" xr:uid="{504176DA-2DE0-4E50-BBD5-A5D4AF00D2D5}"/>
    <cellStyle name="Normal 9 3 3 2 3 3 3" xfId="22606" xr:uid="{BAEC4AAB-FAB4-4244-B6FA-46655C97BE06}"/>
    <cellStyle name="Normal 9 3 3 2 3 4" xfId="9948" xr:uid="{B703AB2F-0B16-4FFB-AF80-04CD971F8D58}"/>
    <cellStyle name="Normal 9 3 3 2 3 5" xfId="18389" xr:uid="{B4DF1864-625C-4591-A726-E9A05324792B}"/>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16724" xr:uid="{C2B17B58-8E03-4563-A81D-45E7B24FCC20}"/>
    <cellStyle name="Normal 9 3 3 2 4 2 2 3" xfId="25164" xr:uid="{372FB69F-A74B-45E0-9C49-C0BCBA39FBB8}"/>
    <cellStyle name="Normal 9 3 3 2 4 2 3" xfId="12506" xr:uid="{68803549-C1C7-4485-BA47-F7C4E04BB027}"/>
    <cellStyle name="Normal 9 3 3 2 4 2 4" xfId="20947" xr:uid="{CDF2CAF7-627C-4069-96D8-F065C927646E}"/>
    <cellStyle name="Normal 9 3 3 2 4 3" xfId="6137" xr:uid="{00000000-0005-0000-0000-000007200000}"/>
    <cellStyle name="Normal 9 3 3 2 4 3 2" xfId="14579" xr:uid="{F95D404D-0831-45D1-AF87-D4F4D259B899}"/>
    <cellStyle name="Normal 9 3 3 2 4 3 3" xfId="23019" xr:uid="{B42C68DB-363A-4E0E-B654-754472351478}"/>
    <cellStyle name="Normal 9 3 3 2 4 4" xfId="10361" xr:uid="{B825350A-82E1-41B8-A0E5-7BDE75A67BC9}"/>
    <cellStyle name="Normal 9 3 3 2 4 5" xfId="18802" xr:uid="{6C8E6FCE-22AC-4E36-96B7-576E186BBB90}"/>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17137" xr:uid="{EAC02436-C47F-41F7-9E43-FB4F7DE43B18}"/>
    <cellStyle name="Normal 9 3 3 2 5 2 2 3" xfId="25577" xr:uid="{6A12E8BD-D3F8-4014-9EA0-39CB4A772BF0}"/>
    <cellStyle name="Normal 9 3 3 2 5 2 3" xfId="12919" xr:uid="{5D5FC8CA-12AF-4CFE-BF77-348934702C53}"/>
    <cellStyle name="Normal 9 3 3 2 5 2 4" xfId="21360" xr:uid="{9D095B97-DDA9-42AF-8FCE-2540D7E5AF3B}"/>
    <cellStyle name="Normal 9 3 3 2 5 3" xfId="6550" xr:uid="{00000000-0005-0000-0000-00000B200000}"/>
    <cellStyle name="Normal 9 3 3 2 5 3 2" xfId="14992" xr:uid="{D89322DE-249C-4E15-9922-6CFDA99DB1F5}"/>
    <cellStyle name="Normal 9 3 3 2 5 3 3" xfId="23432" xr:uid="{65F2157C-A3DE-4BD8-AA54-58DF26E35320}"/>
    <cellStyle name="Normal 9 3 3 2 5 4" xfId="10774" xr:uid="{24018D6B-7D94-48B8-9D5C-A793A1E646FF}"/>
    <cellStyle name="Normal 9 3 3 2 5 5" xfId="19215" xr:uid="{5197ED98-B539-42D4-A6B8-C36B6A693E84}"/>
    <cellStyle name="Normal 9 3 3 2 6" xfId="2679" xr:uid="{00000000-0005-0000-0000-00000C200000}"/>
    <cellStyle name="Normal 9 3 3 2 6 2" xfId="6963" xr:uid="{00000000-0005-0000-0000-00000D200000}"/>
    <cellStyle name="Normal 9 3 3 2 6 2 2" xfId="15405" xr:uid="{83497899-3655-4F3D-BD33-C5BD49C6131C}"/>
    <cellStyle name="Normal 9 3 3 2 6 2 3" xfId="23845" xr:uid="{9139C35B-91A9-4A54-968C-278277478A0B}"/>
    <cellStyle name="Normal 9 3 3 2 6 3" xfId="11187" xr:uid="{DDDD6396-BA1E-4F98-97F2-865F0B616785}"/>
    <cellStyle name="Normal 9 3 3 2 6 4" xfId="19628" xr:uid="{F069CFDF-643B-46BE-9588-474813FD33E8}"/>
    <cellStyle name="Normal 9 3 3 2 7" xfId="4898" xr:uid="{00000000-0005-0000-0000-00000E200000}"/>
    <cellStyle name="Normal 9 3 3 2 7 2" xfId="13340" xr:uid="{8B442C6B-671B-496D-88E7-70C8160547A8}"/>
    <cellStyle name="Normal 9 3 3 2 7 3" xfId="21780" xr:uid="{8424D7E3-3371-402E-8214-A8DEE5636B1F}"/>
    <cellStyle name="Normal 9 3 3 2 8" xfId="9122" xr:uid="{042A2839-150E-44E5-8608-24A15811504B}"/>
    <cellStyle name="Normal 9 3 3 2 9" xfId="17563" xr:uid="{BACB0D38-CA6C-4A79-A8A7-37994FCE5F9E}"/>
    <cellStyle name="Normal 9 3 3 3" xfId="999" xr:uid="{00000000-0005-0000-0000-00000F200000}"/>
    <cellStyle name="Normal 9 3 3 3 2" xfId="3232" xr:uid="{00000000-0005-0000-0000-000010200000}"/>
    <cellStyle name="Normal 9 3 3 3 2 2" xfId="7455" xr:uid="{00000000-0005-0000-0000-000011200000}"/>
    <cellStyle name="Normal 9 3 3 3 2 2 2" xfId="15897" xr:uid="{6697A487-B804-4FE6-A44C-C393A3350368}"/>
    <cellStyle name="Normal 9 3 3 3 2 2 3" xfId="24337" xr:uid="{7809F6D8-CB4A-40B2-9063-28E5E1D4D69F}"/>
    <cellStyle name="Normal 9 3 3 3 2 3" xfId="11679" xr:uid="{B3CFAEDB-C324-4DD4-91B4-35FC4DFBDEF5}"/>
    <cellStyle name="Normal 9 3 3 3 2 4" xfId="20120" xr:uid="{5BDE6345-A47D-4469-BC7E-48A674F8C5F7}"/>
    <cellStyle name="Normal 9 3 3 3 3" xfId="5310" xr:uid="{00000000-0005-0000-0000-000012200000}"/>
    <cellStyle name="Normal 9 3 3 3 3 2" xfId="13752" xr:uid="{C4E7D85E-767D-4131-A85B-727573EE3B91}"/>
    <cellStyle name="Normal 9 3 3 3 3 3" xfId="22192" xr:uid="{BA09D016-112B-4704-9DD5-263534B5AB3A}"/>
    <cellStyle name="Normal 9 3 3 3 4" xfId="9534" xr:uid="{769B2125-0BBA-49AB-8F74-9CA06608E2FB}"/>
    <cellStyle name="Normal 9 3 3 3 5" xfId="17975" xr:uid="{BA50E9E4-84A5-45BF-B97A-D1901FF9413F}"/>
    <cellStyle name="Normal 9 3 3 4" xfId="1415" xr:uid="{00000000-0005-0000-0000-000013200000}"/>
    <cellStyle name="Normal 9 3 3 4 2" xfId="3645" xr:uid="{00000000-0005-0000-0000-000014200000}"/>
    <cellStyle name="Normal 9 3 3 4 2 2" xfId="7868" xr:uid="{00000000-0005-0000-0000-000015200000}"/>
    <cellStyle name="Normal 9 3 3 4 2 2 2" xfId="16310" xr:uid="{4FFE29C3-7589-48E2-9F19-9C88795091FB}"/>
    <cellStyle name="Normal 9 3 3 4 2 2 3" xfId="24750" xr:uid="{3D566779-BFDD-470B-863D-8DB55611D047}"/>
    <cellStyle name="Normal 9 3 3 4 2 3" xfId="12092" xr:uid="{2A284AB9-01DC-4E13-B6CA-7C373FFEAA18}"/>
    <cellStyle name="Normal 9 3 3 4 2 4" xfId="20533" xr:uid="{0419F8ED-00AC-441F-9849-D84B97F16F1A}"/>
    <cellStyle name="Normal 9 3 3 4 3" xfId="5723" xr:uid="{00000000-0005-0000-0000-000016200000}"/>
    <cellStyle name="Normal 9 3 3 4 3 2" xfId="14165" xr:uid="{C91C97C9-FC22-40EF-B2B7-5557BFC12129}"/>
    <cellStyle name="Normal 9 3 3 4 3 3" xfId="22605" xr:uid="{BE1D2B3C-8994-4625-B238-F018219C5A66}"/>
    <cellStyle name="Normal 9 3 3 4 4" xfId="9947" xr:uid="{7A1F0F93-6474-47C9-B799-C9932774B690}"/>
    <cellStyle name="Normal 9 3 3 4 5" xfId="18388" xr:uid="{27944B44-D562-4FE6-BF5C-E73AF61D9C15}"/>
    <cellStyle name="Normal 9 3 3 5" xfId="1828" xr:uid="{00000000-0005-0000-0000-000017200000}"/>
    <cellStyle name="Normal 9 3 3 5 2" xfId="4058" xr:uid="{00000000-0005-0000-0000-000018200000}"/>
    <cellStyle name="Normal 9 3 3 5 2 2" xfId="8281" xr:uid="{00000000-0005-0000-0000-000019200000}"/>
    <cellStyle name="Normal 9 3 3 5 2 2 2" xfId="16723" xr:uid="{D2D3D197-5F8D-4A25-AD28-A98D0967A0CF}"/>
    <cellStyle name="Normal 9 3 3 5 2 2 3" xfId="25163" xr:uid="{F1D91550-C30E-4F51-9783-EE87FCCF2E9D}"/>
    <cellStyle name="Normal 9 3 3 5 2 3" xfId="12505" xr:uid="{5663D2C9-7567-47FE-B00B-446D81D509C4}"/>
    <cellStyle name="Normal 9 3 3 5 2 4" xfId="20946" xr:uid="{98962ABF-A561-4590-A853-F93FB9BB30BF}"/>
    <cellStyle name="Normal 9 3 3 5 3" xfId="6136" xr:uid="{00000000-0005-0000-0000-00001A200000}"/>
    <cellStyle name="Normal 9 3 3 5 3 2" xfId="14578" xr:uid="{DBCCFC5A-0261-4986-B2E8-148F50AC8BD4}"/>
    <cellStyle name="Normal 9 3 3 5 3 3" xfId="23018" xr:uid="{89BCC337-663F-4730-BD80-2924B869C797}"/>
    <cellStyle name="Normal 9 3 3 5 4" xfId="10360" xr:uid="{BD9CF763-1B13-4EC6-9483-86B6B53D724F}"/>
    <cellStyle name="Normal 9 3 3 5 5" xfId="18801" xr:uid="{93DB0BDC-C86B-4C37-84DC-D436075670D5}"/>
    <cellStyle name="Normal 9 3 3 6" xfId="2242" xr:uid="{00000000-0005-0000-0000-00001B200000}"/>
    <cellStyle name="Normal 9 3 3 6 2" xfId="4471" xr:uid="{00000000-0005-0000-0000-00001C200000}"/>
    <cellStyle name="Normal 9 3 3 6 2 2" xfId="8694" xr:uid="{00000000-0005-0000-0000-00001D200000}"/>
    <cellStyle name="Normal 9 3 3 6 2 2 2" xfId="17136" xr:uid="{DCB8FEA6-210C-4878-B551-B00C4F1326C4}"/>
    <cellStyle name="Normal 9 3 3 6 2 2 3" xfId="25576" xr:uid="{EB558126-94D1-444A-A30F-FDB08CC136AA}"/>
    <cellStyle name="Normal 9 3 3 6 2 3" xfId="12918" xr:uid="{96D5D3F9-3340-463E-AD57-55CC7A76E177}"/>
    <cellStyle name="Normal 9 3 3 6 2 4" xfId="21359" xr:uid="{21D10154-E2EE-4617-AEAD-F7E6C9B620FC}"/>
    <cellStyle name="Normal 9 3 3 6 3" xfId="6549" xr:uid="{00000000-0005-0000-0000-00001E200000}"/>
    <cellStyle name="Normal 9 3 3 6 3 2" xfId="14991" xr:uid="{0C7C0793-017D-4D70-99D5-1B169366D582}"/>
    <cellStyle name="Normal 9 3 3 6 3 3" xfId="23431" xr:uid="{D301CC42-18BE-4BF8-9C16-7393BB1A78EA}"/>
    <cellStyle name="Normal 9 3 3 6 4" xfId="10773" xr:uid="{F22305F0-D466-4CDA-91FC-8281731130EF}"/>
    <cellStyle name="Normal 9 3 3 6 5" xfId="19214" xr:uid="{09812B8D-BE6D-49DD-A1D0-7C0F0899F899}"/>
    <cellStyle name="Normal 9 3 3 7" xfId="2678" xr:uid="{00000000-0005-0000-0000-00001F200000}"/>
    <cellStyle name="Normal 9 3 3 7 2" xfId="6962" xr:uid="{00000000-0005-0000-0000-000020200000}"/>
    <cellStyle name="Normal 9 3 3 7 2 2" xfId="15404" xr:uid="{319DD47D-1069-4AF3-B292-15316F57B7F5}"/>
    <cellStyle name="Normal 9 3 3 7 2 3" xfId="23844" xr:uid="{89F70983-B984-45C5-AA0E-056537795EB5}"/>
    <cellStyle name="Normal 9 3 3 7 3" xfId="11186" xr:uid="{0A1E2720-ECAE-4128-8E2F-6D948AAAE87C}"/>
    <cellStyle name="Normal 9 3 3 7 4" xfId="19627" xr:uid="{671B308B-D93F-4D69-9FC6-918605C54C8B}"/>
    <cellStyle name="Normal 9 3 3 8" xfId="4897" xr:uid="{00000000-0005-0000-0000-000021200000}"/>
    <cellStyle name="Normal 9 3 3 8 2" xfId="13339" xr:uid="{18168220-2F93-4BDB-942E-65758B527F92}"/>
    <cellStyle name="Normal 9 3 3 8 3" xfId="21779" xr:uid="{21CE5217-5AF8-400D-B670-5C60ACBE6B8E}"/>
    <cellStyle name="Normal 9 3 3 9" xfId="9121" xr:uid="{510CF5C5-56F3-4A94-B961-D838FB3B4246}"/>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2 2 2" xfId="15899" xr:uid="{77B60CFB-A77D-4C26-BF28-7EDDE82C4BE7}"/>
    <cellStyle name="Normal 9 3 4 2 2 2 3" xfId="24339" xr:uid="{6E1276B3-E735-4DD1-A15B-A1CE5BD39A96}"/>
    <cellStyle name="Normal 9 3 4 2 2 3" xfId="11681" xr:uid="{8482CCCE-BD77-4BE8-BA3A-7AB30E418256}"/>
    <cellStyle name="Normal 9 3 4 2 2 4" xfId="20122" xr:uid="{4B0394C8-A6BC-4F69-B7F1-5FCDE4961BE3}"/>
    <cellStyle name="Normal 9 3 4 2 3" xfId="5312" xr:uid="{00000000-0005-0000-0000-000026200000}"/>
    <cellStyle name="Normal 9 3 4 2 3 2" xfId="13754" xr:uid="{ADB79202-4CE9-4A38-A29B-6BD24A547F22}"/>
    <cellStyle name="Normal 9 3 4 2 3 3" xfId="22194" xr:uid="{F6F21AB9-EAAA-40DD-8C74-0910FB9EA8B7}"/>
    <cellStyle name="Normal 9 3 4 2 4" xfId="9536" xr:uid="{DA1FE9DA-9108-4C35-89E0-C1B03D3E9931}"/>
    <cellStyle name="Normal 9 3 4 2 5" xfId="17977" xr:uid="{82F21F88-C884-4BF0-A4B6-936479813A60}"/>
    <cellStyle name="Normal 9 3 4 3" xfId="1417" xr:uid="{00000000-0005-0000-0000-000027200000}"/>
    <cellStyle name="Normal 9 3 4 3 2" xfId="3647" xr:uid="{00000000-0005-0000-0000-000028200000}"/>
    <cellStyle name="Normal 9 3 4 3 2 2" xfId="7870" xr:uid="{00000000-0005-0000-0000-000029200000}"/>
    <cellStyle name="Normal 9 3 4 3 2 2 2" xfId="16312" xr:uid="{5359CFC9-7A16-4E14-9A83-CE2D0F8BD730}"/>
    <cellStyle name="Normal 9 3 4 3 2 2 3" xfId="24752" xr:uid="{E3D602DB-6A8F-4A0C-A93A-E773487010D0}"/>
    <cellStyle name="Normal 9 3 4 3 2 3" xfId="12094" xr:uid="{40209C74-1E63-4FC5-A863-B3C6CED44F0F}"/>
    <cellStyle name="Normal 9 3 4 3 2 4" xfId="20535" xr:uid="{A19229C7-931D-4645-8E5B-A8CAB8C65CEF}"/>
    <cellStyle name="Normal 9 3 4 3 3" xfId="5725" xr:uid="{00000000-0005-0000-0000-00002A200000}"/>
    <cellStyle name="Normal 9 3 4 3 3 2" xfId="14167" xr:uid="{3DA78DC0-B568-44B4-9B00-F4AD69ECA871}"/>
    <cellStyle name="Normal 9 3 4 3 3 3" xfId="22607" xr:uid="{130E280F-3119-454A-8BE0-777CD0CCD029}"/>
    <cellStyle name="Normal 9 3 4 3 4" xfId="9949" xr:uid="{93733A19-F1FC-46FB-A9C7-5CB73E28235E}"/>
    <cellStyle name="Normal 9 3 4 3 5" xfId="18390" xr:uid="{69434F18-79BD-4A28-BED1-495C498C37FB}"/>
    <cellStyle name="Normal 9 3 4 4" xfId="1830" xr:uid="{00000000-0005-0000-0000-00002B200000}"/>
    <cellStyle name="Normal 9 3 4 4 2" xfId="4060" xr:uid="{00000000-0005-0000-0000-00002C200000}"/>
    <cellStyle name="Normal 9 3 4 4 2 2" xfId="8283" xr:uid="{00000000-0005-0000-0000-00002D200000}"/>
    <cellStyle name="Normal 9 3 4 4 2 2 2" xfId="16725" xr:uid="{EED11285-D3DA-47A4-AFA6-606E4DE2C760}"/>
    <cellStyle name="Normal 9 3 4 4 2 2 3" xfId="25165" xr:uid="{DE8D7DC3-0AED-46BA-999C-817517B24FFD}"/>
    <cellStyle name="Normal 9 3 4 4 2 3" xfId="12507" xr:uid="{067FA013-0E5A-4E7B-8559-C4D9B1F67480}"/>
    <cellStyle name="Normal 9 3 4 4 2 4" xfId="20948" xr:uid="{9449AAC0-0824-494E-9B73-AFF948091A0F}"/>
    <cellStyle name="Normal 9 3 4 4 3" xfId="6138" xr:uid="{00000000-0005-0000-0000-00002E200000}"/>
    <cellStyle name="Normal 9 3 4 4 3 2" xfId="14580" xr:uid="{962B3A16-8567-44EB-8342-1F6270E8A88A}"/>
    <cellStyle name="Normal 9 3 4 4 3 3" xfId="23020" xr:uid="{5E5C5FB0-6B74-4ED4-83A3-49EB2B23EFA2}"/>
    <cellStyle name="Normal 9 3 4 4 4" xfId="10362" xr:uid="{ED76A81E-CB53-4437-8FFA-1828F68E43C6}"/>
    <cellStyle name="Normal 9 3 4 4 5" xfId="18803" xr:uid="{EE2FC9DE-E027-4F4C-B3F8-80A2F02F1138}"/>
    <cellStyle name="Normal 9 3 4 5" xfId="2244" xr:uid="{00000000-0005-0000-0000-00002F200000}"/>
    <cellStyle name="Normal 9 3 4 5 2" xfId="4473" xr:uid="{00000000-0005-0000-0000-000030200000}"/>
    <cellStyle name="Normal 9 3 4 5 2 2" xfId="8696" xr:uid="{00000000-0005-0000-0000-000031200000}"/>
    <cellStyle name="Normal 9 3 4 5 2 2 2" xfId="17138" xr:uid="{4FFDF688-B8DD-49BB-877A-B929536249CC}"/>
    <cellStyle name="Normal 9 3 4 5 2 2 3" xfId="25578" xr:uid="{D83EE0D8-14AC-4890-9C04-17C0C12903BB}"/>
    <cellStyle name="Normal 9 3 4 5 2 3" xfId="12920" xr:uid="{02BC4C73-BE1B-4971-8145-557F771F1DC9}"/>
    <cellStyle name="Normal 9 3 4 5 2 4" xfId="21361" xr:uid="{68AC93D2-659E-4FB0-9E27-1CEF0A562D2B}"/>
    <cellStyle name="Normal 9 3 4 5 3" xfId="6551" xr:uid="{00000000-0005-0000-0000-000032200000}"/>
    <cellStyle name="Normal 9 3 4 5 3 2" xfId="14993" xr:uid="{E90B240B-B60F-4D9D-B4CC-D22100367965}"/>
    <cellStyle name="Normal 9 3 4 5 3 3" xfId="23433" xr:uid="{78E95CAF-7D48-484E-B366-E670A7F55993}"/>
    <cellStyle name="Normal 9 3 4 5 4" xfId="10775" xr:uid="{FCA12938-0444-44C2-9E92-1597710223CA}"/>
    <cellStyle name="Normal 9 3 4 5 5" xfId="19216" xr:uid="{1D9B2DD5-AC25-4CD9-8135-661F8721265C}"/>
    <cellStyle name="Normal 9 3 4 6" xfId="2680" xr:uid="{00000000-0005-0000-0000-000033200000}"/>
    <cellStyle name="Normal 9 3 4 6 2" xfId="6964" xr:uid="{00000000-0005-0000-0000-000034200000}"/>
    <cellStyle name="Normal 9 3 4 6 2 2" xfId="15406" xr:uid="{8C4EDBE2-8A22-4199-A650-78FE1F9284EC}"/>
    <cellStyle name="Normal 9 3 4 6 2 3" xfId="23846" xr:uid="{0E988042-D49A-4B72-B3CA-00D9B2C50565}"/>
    <cellStyle name="Normal 9 3 4 6 3" xfId="11188" xr:uid="{E459F06D-743C-46BC-A4F5-B7661FA724A3}"/>
    <cellStyle name="Normal 9 3 4 6 4" xfId="19629" xr:uid="{5556BFCE-EF1A-437E-82BA-E1226952F4B8}"/>
    <cellStyle name="Normal 9 3 4 7" xfId="4899" xr:uid="{00000000-0005-0000-0000-000035200000}"/>
    <cellStyle name="Normal 9 3 4 7 2" xfId="13341" xr:uid="{C0AD3939-22F3-4719-87FE-7BDCEB314244}"/>
    <cellStyle name="Normal 9 3 4 7 3" xfId="21781" xr:uid="{742AA479-3123-4836-AD0B-3229975ABBFD}"/>
    <cellStyle name="Normal 9 3 4 8" xfId="9123" xr:uid="{5E723390-BBD7-4B05-83E4-0647A4137FAD}"/>
    <cellStyle name="Normal 9 3 4 9" xfId="17564" xr:uid="{BE1A75AC-EB1F-4A49-AEE8-8E6A99FD9936}"/>
    <cellStyle name="Normal 9 3 5" xfId="994" xr:uid="{00000000-0005-0000-0000-000036200000}"/>
    <cellStyle name="Normal 9 3 5 2" xfId="3227" xr:uid="{00000000-0005-0000-0000-000037200000}"/>
    <cellStyle name="Normal 9 3 5 2 2" xfId="7450" xr:uid="{00000000-0005-0000-0000-000038200000}"/>
    <cellStyle name="Normal 9 3 5 2 2 2" xfId="15892" xr:uid="{A94A4A39-71A8-4091-BACD-DEE29A9B198F}"/>
    <cellStyle name="Normal 9 3 5 2 2 3" xfId="24332" xr:uid="{529BF06D-38BB-4E08-9F6B-6F10D36EAC90}"/>
    <cellStyle name="Normal 9 3 5 2 3" xfId="11674" xr:uid="{12751D98-20E2-4007-BFD9-3E3BA9F1A9C9}"/>
    <cellStyle name="Normal 9 3 5 2 4" xfId="20115" xr:uid="{CAF4E8CC-7E2F-4248-AB06-531663157E6F}"/>
    <cellStyle name="Normal 9 3 5 3" xfId="5305" xr:uid="{00000000-0005-0000-0000-000039200000}"/>
    <cellStyle name="Normal 9 3 5 3 2" xfId="13747" xr:uid="{BBD713D5-5AEA-42FA-8C7A-8B33B0D22E81}"/>
    <cellStyle name="Normal 9 3 5 3 3" xfId="22187" xr:uid="{D77197CF-EAC5-4A33-A854-8C336F54DA1A}"/>
    <cellStyle name="Normal 9 3 5 4" xfId="9529" xr:uid="{95F3D544-A18E-46BB-B065-CD699603CC59}"/>
    <cellStyle name="Normal 9 3 5 5" xfId="17970" xr:uid="{E9C4C85E-D60F-44F5-8B60-026AC4C79F17}"/>
    <cellStyle name="Normal 9 3 6" xfId="1410" xr:uid="{00000000-0005-0000-0000-00003A200000}"/>
    <cellStyle name="Normal 9 3 6 2" xfId="3640" xr:uid="{00000000-0005-0000-0000-00003B200000}"/>
    <cellStyle name="Normal 9 3 6 2 2" xfId="7863" xr:uid="{00000000-0005-0000-0000-00003C200000}"/>
    <cellStyle name="Normal 9 3 6 2 2 2" xfId="16305" xr:uid="{AE822429-26D3-4FEB-9E2C-ACF830F25F9E}"/>
    <cellStyle name="Normal 9 3 6 2 2 3" xfId="24745" xr:uid="{BFB63BC9-3524-4D1E-8470-313E62C49573}"/>
    <cellStyle name="Normal 9 3 6 2 3" xfId="12087" xr:uid="{C61DB5E8-42A6-478A-BC10-D018D836ECD4}"/>
    <cellStyle name="Normal 9 3 6 2 4" xfId="20528" xr:uid="{B476859C-AA7A-420E-8A0C-63F121F2135B}"/>
    <cellStyle name="Normal 9 3 6 3" xfId="5718" xr:uid="{00000000-0005-0000-0000-00003D200000}"/>
    <cellStyle name="Normal 9 3 6 3 2" xfId="14160" xr:uid="{686D828D-75ED-48E6-9CBC-3DE41583E61D}"/>
    <cellStyle name="Normal 9 3 6 3 3" xfId="22600" xr:uid="{DA8F24F3-C32A-49CE-A7C6-3D0D3C1E287F}"/>
    <cellStyle name="Normal 9 3 6 4" xfId="9942" xr:uid="{6A647112-D188-40AE-B621-08C6B417CFD5}"/>
    <cellStyle name="Normal 9 3 6 5" xfId="18383" xr:uid="{7DE43D1A-9880-4C06-93CE-2C8A62460C1C}"/>
    <cellStyle name="Normal 9 3 7" xfId="1823" xr:uid="{00000000-0005-0000-0000-00003E200000}"/>
    <cellStyle name="Normal 9 3 7 2" xfId="4053" xr:uid="{00000000-0005-0000-0000-00003F200000}"/>
    <cellStyle name="Normal 9 3 7 2 2" xfId="8276" xr:uid="{00000000-0005-0000-0000-000040200000}"/>
    <cellStyle name="Normal 9 3 7 2 2 2" xfId="16718" xr:uid="{B7673CCA-F85C-4D3A-A11C-77102530CA22}"/>
    <cellStyle name="Normal 9 3 7 2 2 3" xfId="25158" xr:uid="{88348D97-04B9-4290-80C2-C9672A1BC316}"/>
    <cellStyle name="Normal 9 3 7 2 3" xfId="12500" xr:uid="{00600F43-7AEB-4205-8244-86E1815C45F9}"/>
    <cellStyle name="Normal 9 3 7 2 4" xfId="20941" xr:uid="{90EAEEA8-0020-4158-BB17-3B6B37DF8358}"/>
    <cellStyle name="Normal 9 3 7 3" xfId="6131" xr:uid="{00000000-0005-0000-0000-000041200000}"/>
    <cellStyle name="Normal 9 3 7 3 2" xfId="14573" xr:uid="{3FC9F7CB-6A63-4764-8B34-A4A6DCB21407}"/>
    <cellStyle name="Normal 9 3 7 3 3" xfId="23013" xr:uid="{FDC05835-89C8-49B0-A163-3B74208DC4B2}"/>
    <cellStyle name="Normal 9 3 7 4" xfId="10355" xr:uid="{AB3E75EA-EBA0-4FFC-BD1E-40DA15066ECF}"/>
    <cellStyle name="Normal 9 3 7 5" xfId="18796" xr:uid="{D570A229-0787-4919-817C-1FB60E56BFF4}"/>
    <cellStyle name="Normal 9 3 8" xfId="2237" xr:uid="{00000000-0005-0000-0000-000042200000}"/>
    <cellStyle name="Normal 9 3 8 2" xfId="4466" xr:uid="{00000000-0005-0000-0000-000043200000}"/>
    <cellStyle name="Normal 9 3 8 2 2" xfId="8689" xr:uid="{00000000-0005-0000-0000-000044200000}"/>
    <cellStyle name="Normal 9 3 8 2 2 2" xfId="17131" xr:uid="{E4D3DD1E-E326-4CC2-BE5D-E8B4C34D12C7}"/>
    <cellStyle name="Normal 9 3 8 2 2 3" xfId="25571" xr:uid="{69AF6193-26CA-4181-A3FC-4A986CCDE3CB}"/>
    <cellStyle name="Normal 9 3 8 2 3" xfId="12913" xr:uid="{E7D45AB7-26C5-47CE-96E5-DF54CA535539}"/>
    <cellStyle name="Normal 9 3 8 2 4" xfId="21354" xr:uid="{E89567C9-EAAF-414D-9D6A-C68A83790908}"/>
    <cellStyle name="Normal 9 3 8 3" xfId="6544" xr:uid="{00000000-0005-0000-0000-000045200000}"/>
    <cellStyle name="Normal 9 3 8 3 2" xfId="14986" xr:uid="{C06D147D-1860-4B23-939E-D1542605C16B}"/>
    <cellStyle name="Normal 9 3 8 3 3" xfId="23426" xr:uid="{2D077D42-21BA-4603-9CEF-F584CCB3F0F0}"/>
    <cellStyle name="Normal 9 3 8 4" xfId="10768" xr:uid="{30F131A4-2CE1-472D-8308-F513E9CA9697}"/>
    <cellStyle name="Normal 9 3 8 5" xfId="19209" xr:uid="{68EECEA6-AE68-4D6E-AE76-1C91636AD019}"/>
    <cellStyle name="Normal 9 3 9" xfId="2673" xr:uid="{00000000-0005-0000-0000-000046200000}"/>
    <cellStyle name="Normal 9 3 9 2" xfId="6957" xr:uid="{00000000-0005-0000-0000-000047200000}"/>
    <cellStyle name="Normal 9 3 9 2 2" xfId="15399" xr:uid="{AFB993D3-A180-49DB-A316-A37556857457}"/>
    <cellStyle name="Normal 9 3 9 2 3" xfId="23839" xr:uid="{822B6C03-7A75-4EEE-A079-2989B35B234A}"/>
    <cellStyle name="Normal 9 3 9 3" xfId="11181" xr:uid="{2639C826-7619-41DF-9D0B-813ED7C0ED76}"/>
    <cellStyle name="Normal 9 3 9 4" xfId="19622" xr:uid="{23DF9FCD-E381-41D5-AEE4-2DA54399D1BC}"/>
    <cellStyle name="Normal 9 4" xfId="535" xr:uid="{00000000-0005-0000-0000-000048200000}"/>
    <cellStyle name="Normal 9 4 2" xfId="1002" xr:uid="{00000000-0005-0000-0000-000049200000}"/>
    <cellStyle name="Normal 9 5" xfId="536" xr:uid="{00000000-0005-0000-0000-00004A200000}"/>
    <cellStyle name="Normal 9 5 10" xfId="17565" xr:uid="{B2A99F7B-4566-4C9D-ACB3-186F6AABDEF4}"/>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2 2 2" xfId="15901" xr:uid="{62E9EDB5-89AB-476A-A2D6-10875F62F087}"/>
    <cellStyle name="Normal 9 5 2 2 2 2 3" xfId="24341" xr:uid="{074C661B-4CC1-4F59-ABEE-324C812F2E00}"/>
    <cellStyle name="Normal 9 5 2 2 2 3" xfId="11683" xr:uid="{E0D0135E-B013-436E-8480-3567B8210AB2}"/>
    <cellStyle name="Normal 9 5 2 2 2 4" xfId="20124" xr:uid="{D70CC2BE-B1F5-49EA-9EE5-1F1688B2C99B}"/>
    <cellStyle name="Normal 9 5 2 2 3" xfId="5314" xr:uid="{00000000-0005-0000-0000-00004F200000}"/>
    <cellStyle name="Normal 9 5 2 2 3 2" xfId="13756" xr:uid="{A77AEA2E-2C0C-40F0-951F-86B1407BBED1}"/>
    <cellStyle name="Normal 9 5 2 2 3 3" xfId="22196" xr:uid="{85D44CCF-036E-480C-B21E-261CFEA63235}"/>
    <cellStyle name="Normal 9 5 2 2 4" xfId="9538" xr:uid="{32EFAB4E-C38A-40C7-B7C0-C17226EBC2E4}"/>
    <cellStyle name="Normal 9 5 2 2 5" xfId="17979" xr:uid="{F0E85FEE-F91D-4852-B74B-54B416D55D1C}"/>
    <cellStyle name="Normal 9 5 2 3" xfId="1419" xr:uid="{00000000-0005-0000-0000-000050200000}"/>
    <cellStyle name="Normal 9 5 2 3 2" xfId="3649" xr:uid="{00000000-0005-0000-0000-000051200000}"/>
    <cellStyle name="Normal 9 5 2 3 2 2" xfId="7872" xr:uid="{00000000-0005-0000-0000-000052200000}"/>
    <cellStyle name="Normal 9 5 2 3 2 2 2" xfId="16314" xr:uid="{EC216BA6-A736-4424-B051-E33CFB81167F}"/>
    <cellStyle name="Normal 9 5 2 3 2 2 3" xfId="24754" xr:uid="{0C543015-8890-4284-9C7B-52F81E1A9888}"/>
    <cellStyle name="Normal 9 5 2 3 2 3" xfId="12096" xr:uid="{6711F43B-8A7C-490A-A085-1B566897C70F}"/>
    <cellStyle name="Normal 9 5 2 3 2 4" xfId="20537" xr:uid="{99A24E38-2537-4A3B-9D85-E38FC319618E}"/>
    <cellStyle name="Normal 9 5 2 3 3" xfId="5727" xr:uid="{00000000-0005-0000-0000-000053200000}"/>
    <cellStyle name="Normal 9 5 2 3 3 2" xfId="14169" xr:uid="{9600F6C1-B0FD-47B8-9022-C68DD06313A5}"/>
    <cellStyle name="Normal 9 5 2 3 3 3" xfId="22609" xr:uid="{323A3B50-E429-4464-A896-95270F5677D4}"/>
    <cellStyle name="Normal 9 5 2 3 4" xfId="9951" xr:uid="{C6068865-80D6-48FC-8B17-59197C36D065}"/>
    <cellStyle name="Normal 9 5 2 3 5" xfId="18392" xr:uid="{DF73AEA0-A2CF-43A9-9573-BB6E3679BA89}"/>
    <cellStyle name="Normal 9 5 2 4" xfId="1832" xr:uid="{00000000-0005-0000-0000-000054200000}"/>
    <cellStyle name="Normal 9 5 2 4 2" xfId="4062" xr:uid="{00000000-0005-0000-0000-000055200000}"/>
    <cellStyle name="Normal 9 5 2 4 2 2" xfId="8285" xr:uid="{00000000-0005-0000-0000-000056200000}"/>
    <cellStyle name="Normal 9 5 2 4 2 2 2" xfId="16727" xr:uid="{87B4EE86-8986-4926-B861-2C1EC9044616}"/>
    <cellStyle name="Normal 9 5 2 4 2 2 3" xfId="25167" xr:uid="{180F2F62-FD1F-44C0-A12A-1616ED39C2EE}"/>
    <cellStyle name="Normal 9 5 2 4 2 3" xfId="12509" xr:uid="{DC52CC1A-BEBC-4A8C-9ADC-6F9DE87C2794}"/>
    <cellStyle name="Normal 9 5 2 4 2 4" xfId="20950" xr:uid="{22411DAF-76CF-498B-A49F-AA281329AE6E}"/>
    <cellStyle name="Normal 9 5 2 4 3" xfId="6140" xr:uid="{00000000-0005-0000-0000-000057200000}"/>
    <cellStyle name="Normal 9 5 2 4 3 2" xfId="14582" xr:uid="{C12C279B-BE2B-4258-8C4B-0AFA6C53EEB8}"/>
    <cellStyle name="Normal 9 5 2 4 3 3" xfId="23022" xr:uid="{BD525CDD-7E80-4F86-BC63-4C5735CC9871}"/>
    <cellStyle name="Normal 9 5 2 4 4" xfId="10364" xr:uid="{DDD04F0A-7A7E-43A8-A3C2-4C880E9C628A}"/>
    <cellStyle name="Normal 9 5 2 4 5" xfId="18805" xr:uid="{A37C91BC-A9CE-45CB-9339-821BDC5A53FE}"/>
    <cellStyle name="Normal 9 5 2 5" xfId="2246" xr:uid="{00000000-0005-0000-0000-000058200000}"/>
    <cellStyle name="Normal 9 5 2 5 2" xfId="4475" xr:uid="{00000000-0005-0000-0000-000059200000}"/>
    <cellStyle name="Normal 9 5 2 5 2 2" xfId="8698" xr:uid="{00000000-0005-0000-0000-00005A200000}"/>
    <cellStyle name="Normal 9 5 2 5 2 2 2" xfId="17140" xr:uid="{E86D6824-84B9-4A5C-BBB9-64F2205BEE73}"/>
    <cellStyle name="Normal 9 5 2 5 2 2 3" xfId="25580" xr:uid="{383B1BD2-9DEF-4857-A184-8E8E8399A219}"/>
    <cellStyle name="Normal 9 5 2 5 2 3" xfId="12922" xr:uid="{E3E5FB4E-C3DA-41B1-B034-188B04097562}"/>
    <cellStyle name="Normal 9 5 2 5 2 4" xfId="21363" xr:uid="{8F5BC621-296E-4B34-BF08-A6CA7B4E89C9}"/>
    <cellStyle name="Normal 9 5 2 5 3" xfId="6553" xr:uid="{00000000-0005-0000-0000-00005B200000}"/>
    <cellStyle name="Normal 9 5 2 5 3 2" xfId="14995" xr:uid="{A1E8B236-B661-4A14-B7AE-9D18C759ED7D}"/>
    <cellStyle name="Normal 9 5 2 5 3 3" xfId="23435" xr:uid="{CE920D26-5B17-49C0-A624-3B560356C0D4}"/>
    <cellStyle name="Normal 9 5 2 5 4" xfId="10777" xr:uid="{1B00A8DE-AD8E-4381-8DFF-CFCB1E3F2778}"/>
    <cellStyle name="Normal 9 5 2 5 5" xfId="19218" xr:uid="{9B7168C5-1834-4EFA-A2D0-1981400E372E}"/>
    <cellStyle name="Normal 9 5 2 6" xfId="2682" xr:uid="{00000000-0005-0000-0000-00005C200000}"/>
    <cellStyle name="Normal 9 5 2 6 2" xfId="6966" xr:uid="{00000000-0005-0000-0000-00005D200000}"/>
    <cellStyle name="Normal 9 5 2 6 2 2" xfId="15408" xr:uid="{1511709F-D2EE-4CE3-80DD-65B80DA575D5}"/>
    <cellStyle name="Normal 9 5 2 6 2 3" xfId="23848" xr:uid="{67293BAF-D7C0-47EA-81E0-A96B9C44964F}"/>
    <cellStyle name="Normal 9 5 2 6 3" xfId="11190" xr:uid="{8CBA9BA6-14DF-4D30-B377-24B92DECFC51}"/>
    <cellStyle name="Normal 9 5 2 6 4" xfId="19631" xr:uid="{B460B134-9203-4618-89B5-7F2E8A3C2473}"/>
    <cellStyle name="Normal 9 5 2 7" xfId="4901" xr:uid="{00000000-0005-0000-0000-00005E200000}"/>
    <cellStyle name="Normal 9 5 2 7 2" xfId="13343" xr:uid="{C4D319A0-37F7-4A77-A959-2D1C4EE2DF84}"/>
    <cellStyle name="Normal 9 5 2 7 3" xfId="21783" xr:uid="{63978E60-DAA7-4B9A-AC9A-0626905B1C6C}"/>
    <cellStyle name="Normal 9 5 2 8" xfId="9125" xr:uid="{A2681572-2A4F-4920-91E9-CBA37F3946EE}"/>
    <cellStyle name="Normal 9 5 2 9" xfId="17566" xr:uid="{2AAE916C-E2CE-4FB4-BE1A-238C48C00320}"/>
    <cellStyle name="Normal 9 5 3" xfId="1003" xr:uid="{00000000-0005-0000-0000-00005F200000}"/>
    <cellStyle name="Normal 9 5 3 2" xfId="3235" xr:uid="{00000000-0005-0000-0000-000060200000}"/>
    <cellStyle name="Normal 9 5 3 2 2" xfId="7458" xr:uid="{00000000-0005-0000-0000-000061200000}"/>
    <cellStyle name="Normal 9 5 3 2 2 2" xfId="15900" xr:uid="{52CC41D2-4BEF-44FA-913B-6231BCA4FDE0}"/>
    <cellStyle name="Normal 9 5 3 2 2 3" xfId="24340" xr:uid="{457DBB4C-339C-4792-9980-2FCB5E3411FC}"/>
    <cellStyle name="Normal 9 5 3 2 3" xfId="11682" xr:uid="{0CD21624-76F4-49FB-88BB-C15653E98B3F}"/>
    <cellStyle name="Normal 9 5 3 2 4" xfId="20123" xr:uid="{B2DF7B62-7AA9-45E6-964E-C8FEE3DF744B}"/>
    <cellStyle name="Normal 9 5 3 3" xfId="5313" xr:uid="{00000000-0005-0000-0000-000062200000}"/>
    <cellStyle name="Normal 9 5 3 3 2" xfId="13755" xr:uid="{151BE956-EA63-494F-BC22-644C45DCAFE5}"/>
    <cellStyle name="Normal 9 5 3 3 3" xfId="22195" xr:uid="{01A37792-9E14-4150-A64A-9805A28829F1}"/>
    <cellStyle name="Normal 9 5 3 4" xfId="9537" xr:uid="{FE761610-FA00-413D-BEB4-AB342097656E}"/>
    <cellStyle name="Normal 9 5 3 5" xfId="17978" xr:uid="{36EC3968-5FA2-416A-877F-8446DC961E3B}"/>
    <cellStyle name="Normal 9 5 4" xfId="1418" xr:uid="{00000000-0005-0000-0000-000063200000}"/>
    <cellStyle name="Normal 9 5 4 2" xfId="3648" xr:uid="{00000000-0005-0000-0000-000064200000}"/>
    <cellStyle name="Normal 9 5 4 2 2" xfId="7871" xr:uid="{00000000-0005-0000-0000-000065200000}"/>
    <cellStyle name="Normal 9 5 4 2 2 2" xfId="16313" xr:uid="{41EB9C55-1EEE-4AA1-9160-08A0916FD94F}"/>
    <cellStyle name="Normal 9 5 4 2 2 3" xfId="24753" xr:uid="{576545A8-A6B0-4B60-93A8-B7462F2F38C7}"/>
    <cellStyle name="Normal 9 5 4 2 3" xfId="12095" xr:uid="{D365F2FD-5D2C-439C-AFD7-3A6BF20D5240}"/>
    <cellStyle name="Normal 9 5 4 2 4" xfId="20536" xr:uid="{FAAA29AA-1A81-47D5-B8DF-28AE4F335549}"/>
    <cellStyle name="Normal 9 5 4 3" xfId="5726" xr:uid="{00000000-0005-0000-0000-000066200000}"/>
    <cellStyle name="Normal 9 5 4 3 2" xfId="14168" xr:uid="{858A723D-A649-4DBB-8211-C0E94C3C2361}"/>
    <cellStyle name="Normal 9 5 4 3 3" xfId="22608" xr:uid="{A6E324DD-DB14-4685-9F06-08EA8F6FD803}"/>
    <cellStyle name="Normal 9 5 4 4" xfId="9950" xr:uid="{511B6602-9AC2-4A66-B33E-7CB0899C9904}"/>
    <cellStyle name="Normal 9 5 4 5" xfId="18391" xr:uid="{08AA7F66-6CF5-4B67-A5F3-A3DC238E2856}"/>
    <cellStyle name="Normal 9 5 5" xfId="1831" xr:uid="{00000000-0005-0000-0000-000067200000}"/>
    <cellStyle name="Normal 9 5 5 2" xfId="4061" xr:uid="{00000000-0005-0000-0000-000068200000}"/>
    <cellStyle name="Normal 9 5 5 2 2" xfId="8284" xr:uid="{00000000-0005-0000-0000-000069200000}"/>
    <cellStyle name="Normal 9 5 5 2 2 2" xfId="16726" xr:uid="{FAD29ACE-74F8-41F0-ACC6-C51FFD5B528C}"/>
    <cellStyle name="Normal 9 5 5 2 2 3" xfId="25166" xr:uid="{0EA7F643-1A56-48A6-8C37-B4154C28F55E}"/>
    <cellStyle name="Normal 9 5 5 2 3" xfId="12508" xr:uid="{9E7C8321-8A9B-405A-896B-CCF540EFD10B}"/>
    <cellStyle name="Normal 9 5 5 2 4" xfId="20949" xr:uid="{3C8F1679-0A0C-4BEE-8C02-01D097DD3A1F}"/>
    <cellStyle name="Normal 9 5 5 3" xfId="6139" xr:uid="{00000000-0005-0000-0000-00006A200000}"/>
    <cellStyle name="Normal 9 5 5 3 2" xfId="14581" xr:uid="{A2DCC606-C4BC-4759-8882-30E2BCD18176}"/>
    <cellStyle name="Normal 9 5 5 3 3" xfId="23021" xr:uid="{2992602E-9F65-4496-9818-EBAC4DA108CE}"/>
    <cellStyle name="Normal 9 5 5 4" xfId="10363" xr:uid="{5024A1DF-A4BA-4D56-BF79-D09949B63E98}"/>
    <cellStyle name="Normal 9 5 5 5" xfId="18804" xr:uid="{CB40BD44-3F4E-41AC-9902-D8F8D54CA021}"/>
    <cellStyle name="Normal 9 5 6" xfId="2245" xr:uid="{00000000-0005-0000-0000-00006B200000}"/>
    <cellStyle name="Normal 9 5 6 2" xfId="4474" xr:uid="{00000000-0005-0000-0000-00006C200000}"/>
    <cellStyle name="Normal 9 5 6 2 2" xfId="8697" xr:uid="{00000000-0005-0000-0000-00006D200000}"/>
    <cellStyle name="Normal 9 5 6 2 2 2" xfId="17139" xr:uid="{709133B3-2954-4B97-9657-EA02D6F65C66}"/>
    <cellStyle name="Normal 9 5 6 2 2 3" xfId="25579" xr:uid="{83C2C88F-09B5-4934-9CC1-93082A4861A2}"/>
    <cellStyle name="Normal 9 5 6 2 3" xfId="12921" xr:uid="{91C3BED9-3B64-42DB-9553-06441FC8CFE7}"/>
    <cellStyle name="Normal 9 5 6 2 4" xfId="21362" xr:uid="{39320F17-7347-4C60-913F-6102D2FD5F58}"/>
    <cellStyle name="Normal 9 5 6 3" xfId="6552" xr:uid="{00000000-0005-0000-0000-00006E200000}"/>
    <cellStyle name="Normal 9 5 6 3 2" xfId="14994" xr:uid="{8B9BDC8B-3B8F-45F8-890A-CE3DAD34B53F}"/>
    <cellStyle name="Normal 9 5 6 3 3" xfId="23434" xr:uid="{ACEEB1BA-EEEB-4BF2-AFF8-F7EECD68835B}"/>
    <cellStyle name="Normal 9 5 6 4" xfId="10776" xr:uid="{317CA429-5169-4110-9645-E53C4586381F}"/>
    <cellStyle name="Normal 9 5 6 5" xfId="19217" xr:uid="{888C5CAE-AD10-4373-BAA4-0EBA2DB8BB4C}"/>
    <cellStyle name="Normal 9 5 7" xfId="2681" xr:uid="{00000000-0005-0000-0000-00006F200000}"/>
    <cellStyle name="Normal 9 5 7 2" xfId="6965" xr:uid="{00000000-0005-0000-0000-000070200000}"/>
    <cellStyle name="Normal 9 5 7 2 2" xfId="15407" xr:uid="{FAC76423-960B-4039-B5F3-291A906B95F1}"/>
    <cellStyle name="Normal 9 5 7 2 3" xfId="23847" xr:uid="{150E0B99-D85E-4087-BED7-A552A32D431B}"/>
    <cellStyle name="Normal 9 5 7 3" xfId="11189" xr:uid="{981F445E-B9C0-468E-BD15-6FDB92FDB99A}"/>
    <cellStyle name="Normal 9 5 7 4" xfId="19630" xr:uid="{EBAF629E-E012-4DDB-998D-42C6835F3174}"/>
    <cellStyle name="Normal 9 5 8" xfId="4900" xr:uid="{00000000-0005-0000-0000-000071200000}"/>
    <cellStyle name="Normal 9 5 8 2" xfId="13342" xr:uid="{24C6D68F-5DC3-4BF1-A075-8C4CE510D875}"/>
    <cellStyle name="Normal 9 5 8 3" xfId="21782" xr:uid="{1EAC9556-3057-4655-AB26-E39E85B381A0}"/>
    <cellStyle name="Normal 9 5 9" xfId="9124" xr:uid="{590C441F-B046-4560-A207-355195AF39AC}"/>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2 2 2" xfId="15902" xr:uid="{5B3AB672-50B5-445C-951D-183B5E114529}"/>
    <cellStyle name="Normal 9 6 2 2 2 3" xfId="24342" xr:uid="{A357619B-0098-48B0-8760-8103C11E7CB5}"/>
    <cellStyle name="Normal 9 6 2 2 3" xfId="11684" xr:uid="{A18F1CF5-BCC1-4AC4-8F9B-CE217C31C9C2}"/>
    <cellStyle name="Normal 9 6 2 2 4" xfId="20125" xr:uid="{548C21F2-C675-4418-9AEC-2532C1AB9FCF}"/>
    <cellStyle name="Normal 9 6 2 3" xfId="5315" xr:uid="{00000000-0005-0000-0000-000076200000}"/>
    <cellStyle name="Normal 9 6 2 3 2" xfId="13757" xr:uid="{264142B6-71B7-4AEC-8C09-20753C979B4E}"/>
    <cellStyle name="Normal 9 6 2 3 3" xfId="22197" xr:uid="{82C483CB-5D6D-4A2B-8F36-EE2B2429D6FC}"/>
    <cellStyle name="Normal 9 6 2 4" xfId="9539" xr:uid="{98560EA1-7833-4150-807B-559A0169E025}"/>
    <cellStyle name="Normal 9 6 2 5" xfId="17980" xr:uid="{9916D137-8759-42EF-90A2-F8FEC6E31928}"/>
    <cellStyle name="Normal 9 6 3" xfId="1420" xr:uid="{00000000-0005-0000-0000-000077200000}"/>
    <cellStyle name="Normal 9 6 3 2" xfId="3650" xr:uid="{00000000-0005-0000-0000-000078200000}"/>
    <cellStyle name="Normal 9 6 3 2 2" xfId="7873" xr:uid="{00000000-0005-0000-0000-000079200000}"/>
    <cellStyle name="Normal 9 6 3 2 2 2" xfId="16315" xr:uid="{31EA9618-E2D1-4505-BAA5-26B66B7FC5B5}"/>
    <cellStyle name="Normal 9 6 3 2 2 3" xfId="24755" xr:uid="{43879A02-0F7C-4E24-BFA6-4FA50CFD7372}"/>
    <cellStyle name="Normal 9 6 3 2 3" xfId="12097" xr:uid="{33B780BA-85C9-42A8-9C67-54502C22E384}"/>
    <cellStyle name="Normal 9 6 3 2 4" xfId="20538" xr:uid="{707754F6-6E44-48C3-9914-C31D00BE9F0C}"/>
    <cellStyle name="Normal 9 6 3 3" xfId="5728" xr:uid="{00000000-0005-0000-0000-00007A200000}"/>
    <cellStyle name="Normal 9 6 3 3 2" xfId="14170" xr:uid="{307A6AD1-4E2D-4A2C-97A5-E6D90D86B1F0}"/>
    <cellStyle name="Normal 9 6 3 3 3" xfId="22610" xr:uid="{DE0DC752-D9CB-4832-A351-9662202677ED}"/>
    <cellStyle name="Normal 9 6 3 4" xfId="9952" xr:uid="{335591BB-0F78-4126-A278-A050784837A1}"/>
    <cellStyle name="Normal 9 6 3 5" xfId="18393" xr:uid="{11C2FE2C-97EF-42D2-9910-684751DD8625}"/>
    <cellStyle name="Normal 9 6 4" xfId="1833" xr:uid="{00000000-0005-0000-0000-00007B200000}"/>
    <cellStyle name="Normal 9 6 4 2" xfId="4063" xr:uid="{00000000-0005-0000-0000-00007C200000}"/>
    <cellStyle name="Normal 9 6 4 2 2" xfId="8286" xr:uid="{00000000-0005-0000-0000-00007D200000}"/>
    <cellStyle name="Normal 9 6 4 2 2 2" xfId="16728" xr:uid="{47CB65BF-42C8-4D3D-9920-98A6CC7BC3F5}"/>
    <cellStyle name="Normal 9 6 4 2 2 3" xfId="25168" xr:uid="{B9B8601A-ED09-4DD5-AED6-2A9C0EEEDFD0}"/>
    <cellStyle name="Normal 9 6 4 2 3" xfId="12510" xr:uid="{9F01932D-2C76-4854-A42E-FA9FE2B74B89}"/>
    <cellStyle name="Normal 9 6 4 2 4" xfId="20951" xr:uid="{8F5C7BC6-FF54-4076-AD6C-51958DFC8B74}"/>
    <cellStyle name="Normal 9 6 4 3" xfId="6141" xr:uid="{00000000-0005-0000-0000-00007E200000}"/>
    <cellStyle name="Normal 9 6 4 3 2" xfId="14583" xr:uid="{F8CFF69D-113E-4E62-BF32-D37C108CD608}"/>
    <cellStyle name="Normal 9 6 4 3 3" xfId="23023" xr:uid="{B7B258D4-D03F-448C-ADAD-8C7A408B5880}"/>
    <cellStyle name="Normal 9 6 4 4" xfId="10365" xr:uid="{C86D5B0F-52B1-4C2C-9CA7-C629EBFBFE1F}"/>
    <cellStyle name="Normal 9 6 4 5" xfId="18806" xr:uid="{203DB989-07B9-4FF5-B492-7EEEC0982165}"/>
    <cellStyle name="Normal 9 6 5" xfId="2247" xr:uid="{00000000-0005-0000-0000-00007F200000}"/>
    <cellStyle name="Normal 9 6 5 2" xfId="4476" xr:uid="{00000000-0005-0000-0000-000080200000}"/>
    <cellStyle name="Normal 9 6 5 2 2" xfId="8699" xr:uid="{00000000-0005-0000-0000-000081200000}"/>
    <cellStyle name="Normal 9 6 5 2 2 2" xfId="17141" xr:uid="{AAB62497-06F3-4E91-86E9-93ACCD6BBCB0}"/>
    <cellStyle name="Normal 9 6 5 2 2 3" xfId="25581" xr:uid="{9FD6DF38-6C28-424D-B4F2-FD60D1B2E686}"/>
    <cellStyle name="Normal 9 6 5 2 3" xfId="12923" xr:uid="{8348EFFD-23BD-40B2-9E21-E7B4D9BCC8B2}"/>
    <cellStyle name="Normal 9 6 5 2 4" xfId="21364" xr:uid="{2F9F039C-5A17-4A7D-ADD2-46163C424AE4}"/>
    <cellStyle name="Normal 9 6 5 3" xfId="6554" xr:uid="{00000000-0005-0000-0000-000082200000}"/>
    <cellStyle name="Normal 9 6 5 3 2" xfId="14996" xr:uid="{3B88DE2D-5F04-4778-B29C-5059317373CC}"/>
    <cellStyle name="Normal 9 6 5 3 3" xfId="23436" xr:uid="{1A627AA8-A99A-46C1-BF43-2C9027964D49}"/>
    <cellStyle name="Normal 9 6 5 4" xfId="10778" xr:uid="{F2CBBB02-F4EC-4324-B34A-F40C707AE702}"/>
    <cellStyle name="Normal 9 6 5 5" xfId="19219" xr:uid="{00A7B48B-DA19-4C4B-A2BA-C19C7A2F95F1}"/>
    <cellStyle name="Normal 9 6 6" xfId="2683" xr:uid="{00000000-0005-0000-0000-000083200000}"/>
    <cellStyle name="Normal 9 6 6 2" xfId="6967" xr:uid="{00000000-0005-0000-0000-000084200000}"/>
    <cellStyle name="Normal 9 6 6 2 2" xfId="15409" xr:uid="{0D51CB00-8D81-4A96-A91C-D2A459769638}"/>
    <cellStyle name="Normal 9 6 6 2 3" xfId="23849" xr:uid="{3CC21007-690D-4483-9250-4D7F9C5DD6F3}"/>
    <cellStyle name="Normal 9 6 6 3" xfId="11191" xr:uid="{89DE012B-DC2E-4211-B3EB-8DF5255C16B5}"/>
    <cellStyle name="Normal 9 6 6 4" xfId="19632" xr:uid="{A74320D2-BACC-4F0E-AEC3-5DA1F98C81BC}"/>
    <cellStyle name="Normal 9 6 7" xfId="4902" xr:uid="{00000000-0005-0000-0000-000085200000}"/>
    <cellStyle name="Normal 9 6 7 2" xfId="13344" xr:uid="{821AC1D9-F0AB-4A9F-9DCD-2C0B5822D0EA}"/>
    <cellStyle name="Normal 9 6 7 3" xfId="21784" xr:uid="{9C652221-B0AD-4B56-914B-F080D90E68A6}"/>
    <cellStyle name="Normal 9 6 8" xfId="9126" xr:uid="{6A5AFBF2-E6BD-43E7-8CBF-D4910BB36E9E}"/>
    <cellStyle name="Normal 9 6 9" xfId="17567" xr:uid="{DD2703FA-FEC3-4466-B3A0-60970678D4F7}"/>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15490" xr:uid="{65525B52-4CBB-4E6C-B127-99ABCCA444F3}"/>
    <cellStyle name="Note 2 2 10 2 3" xfId="23930" xr:uid="{106F70BC-06BA-46BF-835E-9B3EC3A1C95E}"/>
    <cellStyle name="Note 2 2 10 3" xfId="11272" xr:uid="{0D7CC1D1-6C9E-4BDB-A6B9-7D03147184D0}"/>
    <cellStyle name="Note 2 2 10 4" xfId="19713" xr:uid="{86144500-0B8D-429F-A879-1971A6F966A0}"/>
    <cellStyle name="Note 2 2 11" xfId="4903" xr:uid="{00000000-0005-0000-0000-000094200000}"/>
    <cellStyle name="Note 2 2 11 2" xfId="13345" xr:uid="{115F3615-7AF1-4743-9701-D6231F56E5FD}"/>
    <cellStyle name="Note 2 2 11 3" xfId="21785" xr:uid="{DF385056-9442-4449-A865-74E7C517279C}"/>
    <cellStyle name="Note 2 2 12" xfId="9127" xr:uid="{38A4D24A-8B7C-472E-A65F-7C7517949427}"/>
    <cellStyle name="Note 2 2 13" xfId="17568" xr:uid="{46E9217A-752B-47F1-880C-423F722E2D91}"/>
    <cellStyle name="Note 2 2 2" xfId="546" xr:uid="{00000000-0005-0000-0000-000095200000}"/>
    <cellStyle name="Note 2 2 2 10" xfId="4904" xr:uid="{00000000-0005-0000-0000-000096200000}"/>
    <cellStyle name="Note 2 2 2 10 2" xfId="13346" xr:uid="{911A8D8B-86FA-4D64-B6FF-E503682FB83E}"/>
    <cellStyle name="Note 2 2 2 10 3" xfId="21786" xr:uid="{40064A48-CB04-4333-A533-E5B269912D26}"/>
    <cellStyle name="Note 2 2 2 11" xfId="9128" xr:uid="{D9B98540-B556-4BCE-A173-2453E351D2E5}"/>
    <cellStyle name="Note 2 2 2 12" xfId="17569" xr:uid="{E7B90EC5-A1B0-4C43-B682-A539DC651CC9}"/>
    <cellStyle name="Note 2 2 2 2" xfId="547" xr:uid="{00000000-0005-0000-0000-000097200000}"/>
    <cellStyle name="Note 2 2 2 2 10" xfId="9129" xr:uid="{F2BE56A4-4F89-41F7-BD3B-1F18663E6CE3}"/>
    <cellStyle name="Note 2 2 2 2 11" xfId="17570" xr:uid="{23311C78-D33D-4F55-9017-07AB98D073B2}"/>
    <cellStyle name="Note 2 2 2 2 2" xfId="1008" xr:uid="{00000000-0005-0000-0000-000098200000}"/>
    <cellStyle name="Note 2 2 2 2 2 2" xfId="3240" xr:uid="{00000000-0005-0000-0000-000099200000}"/>
    <cellStyle name="Note 2 2 2 2 2 2 2" xfId="7463" xr:uid="{00000000-0005-0000-0000-00009A200000}"/>
    <cellStyle name="Note 2 2 2 2 2 2 2 2" xfId="15905" xr:uid="{0F111489-87B1-4007-BEBE-BD6BD4AF048C}"/>
    <cellStyle name="Note 2 2 2 2 2 2 2 3" xfId="24345" xr:uid="{A1C6BBC7-93C3-4398-8D28-8B7C9FE568B7}"/>
    <cellStyle name="Note 2 2 2 2 2 2 3" xfId="11687" xr:uid="{9D11C434-EAC0-4F96-8735-0D074EB65499}"/>
    <cellStyle name="Note 2 2 2 2 2 2 4" xfId="20128" xr:uid="{663D5795-F37F-4077-93EA-509CCB370493}"/>
    <cellStyle name="Note 2 2 2 2 2 3" xfId="5318" xr:uid="{00000000-0005-0000-0000-00009B200000}"/>
    <cellStyle name="Note 2 2 2 2 2 3 2" xfId="13760" xr:uid="{8B9D1497-C87A-41D3-9177-AA7EF9445FFB}"/>
    <cellStyle name="Note 2 2 2 2 2 3 3" xfId="22200" xr:uid="{EB10F168-07C1-4C8D-BD73-228C3250802A}"/>
    <cellStyle name="Note 2 2 2 2 2 4" xfId="9542" xr:uid="{C03F1D2D-2605-43E5-AF16-1DCF60FEE1F2}"/>
    <cellStyle name="Note 2 2 2 2 2 5" xfId="17983" xr:uid="{13E112F6-8110-4128-8FA3-B3F4FAF1666E}"/>
    <cellStyle name="Note 2 2 2 2 3" xfId="1423" xr:uid="{00000000-0005-0000-0000-00009C200000}"/>
    <cellStyle name="Note 2 2 2 2 3 2" xfId="3653" xr:uid="{00000000-0005-0000-0000-00009D200000}"/>
    <cellStyle name="Note 2 2 2 2 3 2 2" xfId="7876" xr:uid="{00000000-0005-0000-0000-00009E200000}"/>
    <cellStyle name="Note 2 2 2 2 3 2 2 2" xfId="16318" xr:uid="{045DBEB5-98B2-4636-99E5-C10D6797C353}"/>
    <cellStyle name="Note 2 2 2 2 3 2 2 3" xfId="24758" xr:uid="{5E7DE2D3-9DFE-4019-BF19-5C56DC4F8C39}"/>
    <cellStyle name="Note 2 2 2 2 3 2 3" xfId="12100" xr:uid="{3479E567-054B-489B-A0CA-3C587E806090}"/>
    <cellStyle name="Note 2 2 2 2 3 2 4" xfId="20541" xr:uid="{FEB3B97A-7236-4982-8B9F-BEE9D85CB16F}"/>
    <cellStyle name="Note 2 2 2 2 3 3" xfId="5731" xr:uid="{00000000-0005-0000-0000-00009F200000}"/>
    <cellStyle name="Note 2 2 2 2 3 3 2" xfId="14173" xr:uid="{ED62F861-29CB-409B-85AD-1B9F0D7B4C83}"/>
    <cellStyle name="Note 2 2 2 2 3 3 3" xfId="22613" xr:uid="{42791004-28B5-42CB-8CEA-F5A6138135D8}"/>
    <cellStyle name="Note 2 2 2 2 3 4" xfId="9955" xr:uid="{5CB2FA87-FFD9-461A-8F0D-D3930A6475AF}"/>
    <cellStyle name="Note 2 2 2 2 3 5" xfId="18396" xr:uid="{B3DD24C1-AB8C-4645-A84B-4612449F55BE}"/>
    <cellStyle name="Note 2 2 2 2 4" xfId="1837" xr:uid="{00000000-0005-0000-0000-0000A0200000}"/>
    <cellStyle name="Note 2 2 2 2 4 2" xfId="4066" xr:uid="{00000000-0005-0000-0000-0000A1200000}"/>
    <cellStyle name="Note 2 2 2 2 4 2 2" xfId="8289" xr:uid="{00000000-0005-0000-0000-0000A2200000}"/>
    <cellStyle name="Note 2 2 2 2 4 2 2 2" xfId="16731" xr:uid="{DFA2FD9D-8048-4FDC-A690-926E9A4974C8}"/>
    <cellStyle name="Note 2 2 2 2 4 2 2 3" xfId="25171" xr:uid="{83CBD910-C472-40C7-A1CB-864083CC18B4}"/>
    <cellStyle name="Note 2 2 2 2 4 2 3" xfId="12513" xr:uid="{AF2F4706-1D21-4C6A-BD3E-D16BD8E24BFC}"/>
    <cellStyle name="Note 2 2 2 2 4 2 4" xfId="20954" xr:uid="{103E02EB-DDE5-4834-80B0-762A2A988D3B}"/>
    <cellStyle name="Note 2 2 2 2 4 3" xfId="6144" xr:uid="{00000000-0005-0000-0000-0000A3200000}"/>
    <cellStyle name="Note 2 2 2 2 4 3 2" xfId="14586" xr:uid="{0F2FB8BD-5342-45DD-A971-DD300F139B3C}"/>
    <cellStyle name="Note 2 2 2 2 4 3 3" xfId="23026" xr:uid="{6E366B2D-1E4E-4FD3-BC05-248F4D7C1B13}"/>
    <cellStyle name="Note 2 2 2 2 4 4" xfId="10368" xr:uid="{2D97EC48-AA77-4928-A46D-FC6E85AA2012}"/>
    <cellStyle name="Note 2 2 2 2 4 5" xfId="18809" xr:uid="{5C16B2AC-3CEF-462B-B9E0-359A07F281CE}"/>
    <cellStyle name="Note 2 2 2 2 5" xfId="2250" xr:uid="{00000000-0005-0000-0000-0000A4200000}"/>
    <cellStyle name="Note 2 2 2 2 5 2" xfId="4479" xr:uid="{00000000-0005-0000-0000-0000A5200000}"/>
    <cellStyle name="Note 2 2 2 2 5 2 2" xfId="8702" xr:uid="{00000000-0005-0000-0000-0000A6200000}"/>
    <cellStyle name="Note 2 2 2 2 5 2 2 2" xfId="17144" xr:uid="{B832F188-6E46-45E4-9809-0331F9A366D8}"/>
    <cellStyle name="Note 2 2 2 2 5 2 2 3" xfId="25584" xr:uid="{8A0AC244-5388-48BB-8BF9-6E55B5862922}"/>
    <cellStyle name="Note 2 2 2 2 5 2 3" xfId="12926" xr:uid="{A40F5DCE-AB83-43E6-9379-0B3578D5A58C}"/>
    <cellStyle name="Note 2 2 2 2 5 2 4" xfId="21367" xr:uid="{5D076E81-B5B8-45A2-978B-C565599E1CC5}"/>
    <cellStyle name="Note 2 2 2 2 5 3" xfId="6557" xr:uid="{00000000-0005-0000-0000-0000A7200000}"/>
    <cellStyle name="Note 2 2 2 2 5 3 2" xfId="14999" xr:uid="{9330AE09-20A1-42E9-940D-EEF86AC012DE}"/>
    <cellStyle name="Note 2 2 2 2 5 3 3" xfId="23439" xr:uid="{C33E6A1F-1072-4A19-A280-AB8B911E9C73}"/>
    <cellStyle name="Note 2 2 2 2 5 4" xfId="10781" xr:uid="{CF9CD651-1F69-4573-97F4-6B1A8D7A5F85}"/>
    <cellStyle name="Note 2 2 2 2 5 5" xfId="19222" xr:uid="{C9DB5A83-77C2-4F24-9FA6-0139202BFF83}"/>
    <cellStyle name="Note 2 2 2 2 6" xfId="2686" xr:uid="{00000000-0005-0000-0000-0000A8200000}"/>
    <cellStyle name="Note 2 2 2 2 6 2" xfId="6970" xr:uid="{00000000-0005-0000-0000-0000A9200000}"/>
    <cellStyle name="Note 2 2 2 2 6 2 2" xfId="15412" xr:uid="{C725E1DF-5DC8-4EC3-A31C-B9645C62D5A6}"/>
    <cellStyle name="Note 2 2 2 2 6 2 3" xfId="23852" xr:uid="{B1BF300C-165D-4D79-B102-E34E51A73D15}"/>
    <cellStyle name="Note 2 2 2 2 6 3" xfId="11194" xr:uid="{7AF9BCEF-2D11-4532-8CE3-115C3FB25B5F}"/>
    <cellStyle name="Note 2 2 2 2 6 4" xfId="19635" xr:uid="{56B110BB-C218-40B6-B41B-8D47FD23B7CD}"/>
    <cellStyle name="Note 2 2 2 2 7" xfId="2745" xr:uid="{00000000-0005-0000-0000-0000AA200000}"/>
    <cellStyle name="Note 2 2 2 2 8" xfId="2826" xr:uid="{00000000-0005-0000-0000-0000AB200000}"/>
    <cellStyle name="Note 2 2 2 2 8 2" xfId="7050" xr:uid="{00000000-0005-0000-0000-0000AC200000}"/>
    <cellStyle name="Note 2 2 2 2 8 2 2" xfId="15492" xr:uid="{AF3FC9A3-5059-49FD-877E-5D5A83DA952B}"/>
    <cellStyle name="Note 2 2 2 2 8 2 3" xfId="23932" xr:uid="{42A1B8E9-A4B6-4FEF-A38D-9AF13613B109}"/>
    <cellStyle name="Note 2 2 2 2 8 3" xfId="11274" xr:uid="{4C7D8462-76B6-436E-A3DA-2F06F2BCE578}"/>
    <cellStyle name="Note 2 2 2 2 8 4" xfId="19715" xr:uid="{22E3A752-B994-4167-83C3-369F2E017C61}"/>
    <cellStyle name="Note 2 2 2 2 9" xfId="4905" xr:uid="{00000000-0005-0000-0000-0000AD200000}"/>
    <cellStyle name="Note 2 2 2 2 9 2" xfId="13347" xr:uid="{BEC57B25-FC23-4C50-B807-AB767C466368}"/>
    <cellStyle name="Note 2 2 2 2 9 3" xfId="21787" xr:uid="{A31D9312-665A-4B37-BEAB-695330917410}"/>
    <cellStyle name="Note 2 2 2 3" xfId="1007" xr:uid="{00000000-0005-0000-0000-0000AE200000}"/>
    <cellStyle name="Note 2 2 2 3 2" xfId="3239" xr:uid="{00000000-0005-0000-0000-0000AF200000}"/>
    <cellStyle name="Note 2 2 2 3 2 2" xfId="7462" xr:uid="{00000000-0005-0000-0000-0000B0200000}"/>
    <cellStyle name="Note 2 2 2 3 2 2 2" xfId="15904" xr:uid="{799270D0-9C4A-4ADB-8AF2-6C53917595EE}"/>
    <cellStyle name="Note 2 2 2 3 2 2 3" xfId="24344" xr:uid="{895D4861-C112-4A67-BC2F-016B0E0296BC}"/>
    <cellStyle name="Note 2 2 2 3 2 3" xfId="11686" xr:uid="{5066070E-A515-48A7-8543-2DB93F737BCB}"/>
    <cellStyle name="Note 2 2 2 3 2 4" xfId="20127" xr:uid="{B0064EFE-676C-403E-AE55-218644DBD95A}"/>
    <cellStyle name="Note 2 2 2 3 3" xfId="5317" xr:uid="{00000000-0005-0000-0000-0000B1200000}"/>
    <cellStyle name="Note 2 2 2 3 3 2" xfId="13759" xr:uid="{471DE961-3E78-4EDA-9566-866336F94F91}"/>
    <cellStyle name="Note 2 2 2 3 3 3" xfId="22199" xr:uid="{83062274-AACF-402F-93E7-F531DCC282E7}"/>
    <cellStyle name="Note 2 2 2 3 4" xfId="9541" xr:uid="{0E7E9724-B26C-4002-9EC6-B2EA9AEE0E5E}"/>
    <cellStyle name="Note 2 2 2 3 5" xfId="17982" xr:uid="{AA012847-6250-4246-8385-0FDFB016C914}"/>
    <cellStyle name="Note 2 2 2 4" xfId="1422" xr:uid="{00000000-0005-0000-0000-0000B2200000}"/>
    <cellStyle name="Note 2 2 2 4 2" xfId="3652" xr:uid="{00000000-0005-0000-0000-0000B3200000}"/>
    <cellStyle name="Note 2 2 2 4 2 2" xfId="7875" xr:uid="{00000000-0005-0000-0000-0000B4200000}"/>
    <cellStyle name="Note 2 2 2 4 2 2 2" xfId="16317" xr:uid="{9497E365-2DAC-4B66-A14E-853C1C79E6C2}"/>
    <cellStyle name="Note 2 2 2 4 2 2 3" xfId="24757" xr:uid="{6ABFC17B-0582-4B7A-BF7A-7BAF06C72324}"/>
    <cellStyle name="Note 2 2 2 4 2 3" xfId="12099" xr:uid="{FC32AE8E-CDE2-40AF-AF9D-B9E3AFEE44F2}"/>
    <cellStyle name="Note 2 2 2 4 2 4" xfId="20540" xr:uid="{307BDC1D-A074-43A3-8128-45CAD9B97E73}"/>
    <cellStyle name="Note 2 2 2 4 3" xfId="5730" xr:uid="{00000000-0005-0000-0000-0000B5200000}"/>
    <cellStyle name="Note 2 2 2 4 3 2" xfId="14172" xr:uid="{81966511-45E9-42C8-BA8A-75A9DE0EAB26}"/>
    <cellStyle name="Note 2 2 2 4 3 3" xfId="22612" xr:uid="{B24085EC-3CF7-405E-A51A-CEF509335C43}"/>
    <cellStyle name="Note 2 2 2 4 4" xfId="9954" xr:uid="{7B2A030D-8605-41CB-9E92-FB50592A563B}"/>
    <cellStyle name="Note 2 2 2 4 5" xfId="18395" xr:uid="{28CCADB4-BF54-47A2-B06D-E6A53C3D1531}"/>
    <cellStyle name="Note 2 2 2 5" xfId="1836" xr:uid="{00000000-0005-0000-0000-0000B6200000}"/>
    <cellStyle name="Note 2 2 2 5 2" xfId="4065" xr:uid="{00000000-0005-0000-0000-0000B7200000}"/>
    <cellStyle name="Note 2 2 2 5 2 2" xfId="8288" xr:uid="{00000000-0005-0000-0000-0000B8200000}"/>
    <cellStyle name="Note 2 2 2 5 2 2 2" xfId="16730" xr:uid="{209E40D2-6D09-484A-A79C-BE21FA307D4D}"/>
    <cellStyle name="Note 2 2 2 5 2 2 3" xfId="25170" xr:uid="{556342F0-C017-442E-A6F4-0324C955F1F9}"/>
    <cellStyle name="Note 2 2 2 5 2 3" xfId="12512" xr:uid="{1DA21C01-68E6-4659-8412-E4426B6BDAAB}"/>
    <cellStyle name="Note 2 2 2 5 2 4" xfId="20953" xr:uid="{CF6FBD96-9160-4F4D-A11A-FEFFC6BA32C6}"/>
    <cellStyle name="Note 2 2 2 5 3" xfId="6143" xr:uid="{00000000-0005-0000-0000-0000B9200000}"/>
    <cellStyle name="Note 2 2 2 5 3 2" xfId="14585" xr:uid="{2F1443CF-0A13-4FB0-8FF2-744B24AFF200}"/>
    <cellStyle name="Note 2 2 2 5 3 3" xfId="23025" xr:uid="{2A703FFD-6A10-41FC-9612-1258B7F22B70}"/>
    <cellStyle name="Note 2 2 2 5 4" xfId="10367" xr:uid="{1EADEBE4-3E77-4E80-A850-7553D6B8C433}"/>
    <cellStyle name="Note 2 2 2 5 5" xfId="18808" xr:uid="{62862979-6494-4B6F-82B9-CEBC076D7B25}"/>
    <cellStyle name="Note 2 2 2 6" xfId="2249" xr:uid="{00000000-0005-0000-0000-0000BA200000}"/>
    <cellStyle name="Note 2 2 2 6 2" xfId="4478" xr:uid="{00000000-0005-0000-0000-0000BB200000}"/>
    <cellStyle name="Note 2 2 2 6 2 2" xfId="8701" xr:uid="{00000000-0005-0000-0000-0000BC200000}"/>
    <cellStyle name="Note 2 2 2 6 2 2 2" xfId="17143" xr:uid="{C71FC9B5-67D5-4CE3-B1A5-0E8CFD865CEB}"/>
    <cellStyle name="Note 2 2 2 6 2 2 3" xfId="25583" xr:uid="{906264F9-D629-4B3F-B7B3-05B89432E133}"/>
    <cellStyle name="Note 2 2 2 6 2 3" xfId="12925" xr:uid="{A069DBF6-FE3A-4E0F-AF0A-45CC412B8EA4}"/>
    <cellStyle name="Note 2 2 2 6 2 4" xfId="21366" xr:uid="{56DD6A94-B7AD-4EB5-B176-82596B19D8DD}"/>
    <cellStyle name="Note 2 2 2 6 3" xfId="6556" xr:uid="{00000000-0005-0000-0000-0000BD200000}"/>
    <cellStyle name="Note 2 2 2 6 3 2" xfId="14998" xr:uid="{6500915F-5288-4261-A856-26DFFE742FC3}"/>
    <cellStyle name="Note 2 2 2 6 3 3" xfId="23438" xr:uid="{574CE16F-48E7-4CF3-A8B6-CB78981EB8D1}"/>
    <cellStyle name="Note 2 2 2 6 4" xfId="10780" xr:uid="{600F6269-13F0-4F5C-9BC6-80768AC596DE}"/>
    <cellStyle name="Note 2 2 2 6 5" xfId="19221" xr:uid="{DB40D32A-8AF2-4F29-9C6D-90870865F177}"/>
    <cellStyle name="Note 2 2 2 7" xfId="2685" xr:uid="{00000000-0005-0000-0000-0000BE200000}"/>
    <cellStyle name="Note 2 2 2 7 2" xfId="6969" xr:uid="{00000000-0005-0000-0000-0000BF200000}"/>
    <cellStyle name="Note 2 2 2 7 2 2" xfId="15411" xr:uid="{0BD08D35-DF35-40A7-99DC-545CB60EDA1C}"/>
    <cellStyle name="Note 2 2 2 7 2 3" xfId="23851" xr:uid="{0001A471-BF38-448C-9A09-F7FDD087D970}"/>
    <cellStyle name="Note 2 2 2 7 3" xfId="11193" xr:uid="{34CCA2A0-9148-4D96-9D74-43BFF5607F69}"/>
    <cellStyle name="Note 2 2 2 7 4" xfId="19634" xr:uid="{BEB7C3D5-3D2A-49F2-A67F-84371EFA80DD}"/>
    <cellStyle name="Note 2 2 2 8" xfId="2744" xr:uid="{00000000-0005-0000-0000-0000C0200000}"/>
    <cellStyle name="Note 2 2 2 9" xfId="2825" xr:uid="{00000000-0005-0000-0000-0000C1200000}"/>
    <cellStyle name="Note 2 2 2 9 2" xfId="7049" xr:uid="{00000000-0005-0000-0000-0000C2200000}"/>
    <cellStyle name="Note 2 2 2 9 2 2" xfId="15491" xr:uid="{C97E77D9-9B81-439C-9395-8829CAB8B124}"/>
    <cellStyle name="Note 2 2 2 9 2 3" xfId="23931" xr:uid="{176D9D35-0C63-467F-8D6F-9390EE62F409}"/>
    <cellStyle name="Note 2 2 2 9 3" xfId="11273" xr:uid="{01438599-06E4-4C68-BC50-0227577AD196}"/>
    <cellStyle name="Note 2 2 2 9 4" xfId="19714" xr:uid="{D93E93F2-FFF9-47DD-8828-E6B98CAA9B14}"/>
    <cellStyle name="Note 2 2 3" xfId="548" xr:uid="{00000000-0005-0000-0000-0000C3200000}"/>
    <cellStyle name="Note 2 2 3 10" xfId="9130" xr:uid="{1042B534-B52E-4830-98BE-413097E91A68}"/>
    <cellStyle name="Note 2 2 3 11" xfId="17571" xr:uid="{8885A255-0918-434F-8580-B99810B00E0B}"/>
    <cellStyle name="Note 2 2 3 2" xfId="1009" xr:uid="{00000000-0005-0000-0000-0000C4200000}"/>
    <cellStyle name="Note 2 2 3 2 2" xfId="3241" xr:uid="{00000000-0005-0000-0000-0000C5200000}"/>
    <cellStyle name="Note 2 2 3 2 2 2" xfId="7464" xr:uid="{00000000-0005-0000-0000-0000C6200000}"/>
    <cellStyle name="Note 2 2 3 2 2 2 2" xfId="15906" xr:uid="{859023B5-AFA8-490F-9FC7-76CA3F07B509}"/>
    <cellStyle name="Note 2 2 3 2 2 2 3" xfId="24346" xr:uid="{B0D9AE7D-CD93-4DC1-A437-621125AA9A0E}"/>
    <cellStyle name="Note 2 2 3 2 2 3" xfId="11688" xr:uid="{565263CA-9403-44B0-8845-C27398F70CBB}"/>
    <cellStyle name="Note 2 2 3 2 2 4" xfId="20129" xr:uid="{6895E318-7211-4F70-BAEB-7EF69CAE3D48}"/>
    <cellStyle name="Note 2 2 3 2 3" xfId="5319" xr:uid="{00000000-0005-0000-0000-0000C7200000}"/>
    <cellStyle name="Note 2 2 3 2 3 2" xfId="13761" xr:uid="{11EA53DD-2445-49DC-B53D-A654387B26AA}"/>
    <cellStyle name="Note 2 2 3 2 3 3" xfId="22201" xr:uid="{4AB57624-B805-4989-97A8-BA59A281284B}"/>
    <cellStyle name="Note 2 2 3 2 4" xfId="9543" xr:uid="{DD6C4E2B-4C1A-4CC1-A772-5999A1D71BDD}"/>
    <cellStyle name="Note 2 2 3 2 5" xfId="17984" xr:uid="{3EE3DC17-BDAC-4E9E-86A4-CB75E7CD8C74}"/>
    <cellStyle name="Note 2 2 3 3" xfId="1424" xr:uid="{00000000-0005-0000-0000-0000C8200000}"/>
    <cellStyle name="Note 2 2 3 3 2" xfId="3654" xr:uid="{00000000-0005-0000-0000-0000C9200000}"/>
    <cellStyle name="Note 2 2 3 3 2 2" xfId="7877" xr:uid="{00000000-0005-0000-0000-0000CA200000}"/>
    <cellStyle name="Note 2 2 3 3 2 2 2" xfId="16319" xr:uid="{5D11BFB8-055F-4EBE-95BE-51416A7563DA}"/>
    <cellStyle name="Note 2 2 3 3 2 2 3" xfId="24759" xr:uid="{18C815FB-A40F-4632-961F-60F7423B1190}"/>
    <cellStyle name="Note 2 2 3 3 2 3" xfId="12101" xr:uid="{D74854FD-7D1F-4CDA-BF68-ECE9C2820AB4}"/>
    <cellStyle name="Note 2 2 3 3 2 4" xfId="20542" xr:uid="{3C7A6CDE-58E3-4591-A5F5-2B02E86C528C}"/>
    <cellStyle name="Note 2 2 3 3 3" xfId="5732" xr:uid="{00000000-0005-0000-0000-0000CB200000}"/>
    <cellStyle name="Note 2 2 3 3 3 2" xfId="14174" xr:uid="{FEEC0667-E782-45BB-932B-827FE7CD9EDE}"/>
    <cellStyle name="Note 2 2 3 3 3 3" xfId="22614" xr:uid="{1F74CB86-08D1-464A-952E-219F081ABEF4}"/>
    <cellStyle name="Note 2 2 3 3 4" xfId="9956" xr:uid="{575F6FB3-D722-4EE2-AE21-FC60F93D725E}"/>
    <cellStyle name="Note 2 2 3 3 5" xfId="18397" xr:uid="{1891CA94-6D66-4EFE-99B3-30751D2A817B}"/>
    <cellStyle name="Note 2 2 3 4" xfId="1838" xr:uid="{00000000-0005-0000-0000-0000CC200000}"/>
    <cellStyle name="Note 2 2 3 4 2" xfId="4067" xr:uid="{00000000-0005-0000-0000-0000CD200000}"/>
    <cellStyle name="Note 2 2 3 4 2 2" xfId="8290" xr:uid="{00000000-0005-0000-0000-0000CE200000}"/>
    <cellStyle name="Note 2 2 3 4 2 2 2" xfId="16732" xr:uid="{5AF7D5E5-7B56-407D-8064-4502B64A49CB}"/>
    <cellStyle name="Note 2 2 3 4 2 2 3" xfId="25172" xr:uid="{AACAAD0D-43CB-4026-B58D-4E13775B238C}"/>
    <cellStyle name="Note 2 2 3 4 2 3" xfId="12514" xr:uid="{B903C262-517D-44EB-98F4-8D463502AB8E}"/>
    <cellStyle name="Note 2 2 3 4 2 4" xfId="20955" xr:uid="{A7C4361E-7F69-4EC9-823F-B06785DCEE53}"/>
    <cellStyle name="Note 2 2 3 4 3" xfId="6145" xr:uid="{00000000-0005-0000-0000-0000CF200000}"/>
    <cellStyle name="Note 2 2 3 4 3 2" xfId="14587" xr:uid="{6C11DC63-1CFE-417C-99CB-65F026845947}"/>
    <cellStyle name="Note 2 2 3 4 3 3" xfId="23027" xr:uid="{BA182D27-6BBC-4BD7-8E16-DDF77EA30B88}"/>
    <cellStyle name="Note 2 2 3 4 4" xfId="10369" xr:uid="{F82114CE-4131-4450-A902-8CC15C39518E}"/>
    <cellStyle name="Note 2 2 3 4 5" xfId="18810" xr:uid="{D0CB68BC-C957-4A39-AC5E-E139B63F4AA4}"/>
    <cellStyle name="Note 2 2 3 5" xfId="2251" xr:uid="{00000000-0005-0000-0000-0000D0200000}"/>
    <cellStyle name="Note 2 2 3 5 2" xfId="4480" xr:uid="{00000000-0005-0000-0000-0000D1200000}"/>
    <cellStyle name="Note 2 2 3 5 2 2" xfId="8703" xr:uid="{00000000-0005-0000-0000-0000D2200000}"/>
    <cellStyle name="Note 2 2 3 5 2 2 2" xfId="17145" xr:uid="{C2300F84-1889-4D72-A37E-BDD1561E51D3}"/>
    <cellStyle name="Note 2 2 3 5 2 2 3" xfId="25585" xr:uid="{A47774CC-B77A-484B-A84D-25D679DCD89A}"/>
    <cellStyle name="Note 2 2 3 5 2 3" xfId="12927" xr:uid="{339F6F45-E743-450A-96AF-362D88E5EB73}"/>
    <cellStyle name="Note 2 2 3 5 2 4" xfId="21368" xr:uid="{FF69135D-3B4A-45FA-9D3A-030BA922D54F}"/>
    <cellStyle name="Note 2 2 3 5 3" xfId="6558" xr:uid="{00000000-0005-0000-0000-0000D3200000}"/>
    <cellStyle name="Note 2 2 3 5 3 2" xfId="15000" xr:uid="{E806B1C0-5D2F-4036-9162-AA8781FB87AA}"/>
    <cellStyle name="Note 2 2 3 5 3 3" xfId="23440" xr:uid="{937341B1-D31E-4F39-A07E-20FA60267B58}"/>
    <cellStyle name="Note 2 2 3 5 4" xfId="10782" xr:uid="{A0A820C5-0A28-44ED-8507-BD8A48E9E2D6}"/>
    <cellStyle name="Note 2 2 3 5 5" xfId="19223" xr:uid="{45C684A9-73A9-4942-B0F3-75FED97AE6B6}"/>
    <cellStyle name="Note 2 2 3 6" xfId="2687" xr:uid="{00000000-0005-0000-0000-0000D4200000}"/>
    <cellStyle name="Note 2 2 3 6 2" xfId="6971" xr:uid="{00000000-0005-0000-0000-0000D5200000}"/>
    <cellStyle name="Note 2 2 3 6 2 2" xfId="15413" xr:uid="{42515F2C-3166-46F4-9C93-330C4008C6EF}"/>
    <cellStyle name="Note 2 2 3 6 2 3" xfId="23853" xr:uid="{217433AF-8C2D-454C-B3D5-AB3105BF848D}"/>
    <cellStyle name="Note 2 2 3 6 3" xfId="11195" xr:uid="{31681455-4960-4E28-9A76-636A2A8D56D0}"/>
    <cellStyle name="Note 2 2 3 6 4" xfId="19636" xr:uid="{7CE82918-D8F9-43D3-8FAD-4A12E6F2E7C9}"/>
    <cellStyle name="Note 2 2 3 7" xfId="2746" xr:uid="{00000000-0005-0000-0000-0000D6200000}"/>
    <cellStyle name="Note 2 2 3 8" xfId="2827" xr:uid="{00000000-0005-0000-0000-0000D7200000}"/>
    <cellStyle name="Note 2 2 3 8 2" xfId="7051" xr:uid="{00000000-0005-0000-0000-0000D8200000}"/>
    <cellStyle name="Note 2 2 3 8 2 2" xfId="15493" xr:uid="{6280BB2B-E5E3-4993-8835-01EB6FAC6B4B}"/>
    <cellStyle name="Note 2 2 3 8 2 3" xfId="23933" xr:uid="{72A94956-19DF-49A0-BE7F-AECAA80C16FF}"/>
    <cellStyle name="Note 2 2 3 8 3" xfId="11275" xr:uid="{73181241-BEF3-4695-8BF1-C1A1FB12D7E2}"/>
    <cellStyle name="Note 2 2 3 8 4" xfId="19716" xr:uid="{F89B8520-6508-41E9-9B64-3D968DE00DDA}"/>
    <cellStyle name="Note 2 2 3 9" xfId="4906" xr:uid="{00000000-0005-0000-0000-0000D9200000}"/>
    <cellStyle name="Note 2 2 3 9 2" xfId="13348" xr:uid="{577A2A28-0B9D-4CAF-9A13-18D7BF210174}"/>
    <cellStyle name="Note 2 2 3 9 3" xfId="21788" xr:uid="{7F306164-E44F-426D-A2AE-450789952007}"/>
    <cellStyle name="Note 2 2 4" xfId="1006" xr:uid="{00000000-0005-0000-0000-0000DA200000}"/>
    <cellStyle name="Note 2 2 4 2" xfId="3238" xr:uid="{00000000-0005-0000-0000-0000DB200000}"/>
    <cellStyle name="Note 2 2 4 2 2" xfId="7461" xr:uid="{00000000-0005-0000-0000-0000DC200000}"/>
    <cellStyle name="Note 2 2 4 2 2 2" xfId="15903" xr:uid="{34A56DCA-1F5C-4100-833D-1680E8C6B636}"/>
    <cellStyle name="Note 2 2 4 2 2 3" xfId="24343" xr:uid="{A13F5B8F-0EF8-4AAD-8A66-F27911969823}"/>
    <cellStyle name="Note 2 2 4 2 3" xfId="11685" xr:uid="{34D92D2A-31F5-4F14-ABEB-83C0A137EB9D}"/>
    <cellStyle name="Note 2 2 4 2 4" xfId="20126" xr:uid="{474B9C4A-4283-4EF7-955E-48AD4E143EB2}"/>
    <cellStyle name="Note 2 2 4 3" xfId="5316" xr:uid="{00000000-0005-0000-0000-0000DD200000}"/>
    <cellStyle name="Note 2 2 4 3 2" xfId="13758" xr:uid="{D5403D20-FF45-4E34-9691-82779348822A}"/>
    <cellStyle name="Note 2 2 4 3 3" xfId="22198" xr:uid="{9BB3E3C0-CB26-426D-A854-3C46A0A46C87}"/>
    <cellStyle name="Note 2 2 4 4" xfId="9540" xr:uid="{E5976D62-F5F9-4C16-884A-0906AB8970C4}"/>
    <cellStyle name="Note 2 2 4 5" xfId="17981" xr:uid="{93157D9C-4430-4E7D-9618-EB25EBE38DB7}"/>
    <cellStyle name="Note 2 2 5" xfId="1421" xr:uid="{00000000-0005-0000-0000-0000DE200000}"/>
    <cellStyle name="Note 2 2 5 2" xfId="3651" xr:uid="{00000000-0005-0000-0000-0000DF200000}"/>
    <cellStyle name="Note 2 2 5 2 2" xfId="7874" xr:uid="{00000000-0005-0000-0000-0000E0200000}"/>
    <cellStyle name="Note 2 2 5 2 2 2" xfId="16316" xr:uid="{6730C00E-E0A9-45D5-AC01-ABA274B7C5E2}"/>
    <cellStyle name="Note 2 2 5 2 2 3" xfId="24756" xr:uid="{B3011EFD-6166-419C-AAFF-9AC7B60BE8F7}"/>
    <cellStyle name="Note 2 2 5 2 3" xfId="12098" xr:uid="{2C3A8B65-82E9-4FCF-8D90-6BFFA6C54D4B}"/>
    <cellStyle name="Note 2 2 5 2 4" xfId="20539" xr:uid="{F5A78DA2-06E9-426F-A1E1-91A16CF4C645}"/>
    <cellStyle name="Note 2 2 5 3" xfId="5729" xr:uid="{00000000-0005-0000-0000-0000E1200000}"/>
    <cellStyle name="Note 2 2 5 3 2" xfId="14171" xr:uid="{9E43DE3E-EF39-4C20-AA45-03B725CDE738}"/>
    <cellStyle name="Note 2 2 5 3 3" xfId="22611" xr:uid="{D11A8506-A2E7-444E-A508-497EFD638D53}"/>
    <cellStyle name="Note 2 2 5 4" xfId="9953" xr:uid="{CEDAFBE1-A20B-4DEB-ACB6-A4F339BEF80D}"/>
    <cellStyle name="Note 2 2 5 5" xfId="18394" xr:uid="{892CA144-0BA6-4925-BCD7-8DB4817BEB2A}"/>
    <cellStyle name="Note 2 2 6" xfId="1835" xr:uid="{00000000-0005-0000-0000-0000E2200000}"/>
    <cellStyle name="Note 2 2 6 2" xfId="4064" xr:uid="{00000000-0005-0000-0000-0000E3200000}"/>
    <cellStyle name="Note 2 2 6 2 2" xfId="8287" xr:uid="{00000000-0005-0000-0000-0000E4200000}"/>
    <cellStyle name="Note 2 2 6 2 2 2" xfId="16729" xr:uid="{189273E1-9F3A-443F-B58C-E077A0C0B07B}"/>
    <cellStyle name="Note 2 2 6 2 2 3" xfId="25169" xr:uid="{A83605A1-502F-4D07-9B26-8E9B4EDE05DB}"/>
    <cellStyle name="Note 2 2 6 2 3" xfId="12511" xr:uid="{E110A207-CEA1-4BF2-8838-29A6ADDDFB0F}"/>
    <cellStyle name="Note 2 2 6 2 4" xfId="20952" xr:uid="{EA2B41AE-CA2D-4635-9708-7190534C1712}"/>
    <cellStyle name="Note 2 2 6 3" xfId="6142" xr:uid="{00000000-0005-0000-0000-0000E5200000}"/>
    <cellStyle name="Note 2 2 6 3 2" xfId="14584" xr:uid="{CE984889-30B4-4456-989D-D20F4055C653}"/>
    <cellStyle name="Note 2 2 6 3 3" xfId="23024" xr:uid="{5AE976DA-1550-4623-8744-7818DDCFF3E4}"/>
    <cellStyle name="Note 2 2 6 4" xfId="10366" xr:uid="{6A171551-8992-4317-8F28-CC21DA7CDCF5}"/>
    <cellStyle name="Note 2 2 6 5" xfId="18807" xr:uid="{64E955D2-C5A5-4AE5-9144-D305EB1A22E5}"/>
    <cellStyle name="Note 2 2 7" xfId="2248" xr:uid="{00000000-0005-0000-0000-0000E6200000}"/>
    <cellStyle name="Note 2 2 7 2" xfId="4477" xr:uid="{00000000-0005-0000-0000-0000E7200000}"/>
    <cellStyle name="Note 2 2 7 2 2" xfId="8700" xr:uid="{00000000-0005-0000-0000-0000E8200000}"/>
    <cellStyle name="Note 2 2 7 2 2 2" xfId="17142" xr:uid="{DEA07879-3554-4379-8F76-05504DA745F0}"/>
    <cellStyle name="Note 2 2 7 2 2 3" xfId="25582" xr:uid="{2C5A0E6A-FF86-4072-8A93-165C34326D29}"/>
    <cellStyle name="Note 2 2 7 2 3" xfId="12924" xr:uid="{F9ED6C7A-B764-4868-9931-C4ED01C4E037}"/>
    <cellStyle name="Note 2 2 7 2 4" xfId="21365" xr:uid="{FC64E0A1-1538-476C-BE61-AF320C2DA6FB}"/>
    <cellStyle name="Note 2 2 7 3" xfId="6555" xr:uid="{00000000-0005-0000-0000-0000E9200000}"/>
    <cellStyle name="Note 2 2 7 3 2" xfId="14997" xr:uid="{341FE44E-CC47-4D1B-97DD-E99CF26D8EB2}"/>
    <cellStyle name="Note 2 2 7 3 3" xfId="23437" xr:uid="{C4ED4338-1567-4665-8349-75543B9872CC}"/>
    <cellStyle name="Note 2 2 7 4" xfId="10779" xr:uid="{3BD2509E-CAB8-4BB2-99A6-0E63B1D5C3C4}"/>
    <cellStyle name="Note 2 2 7 5" xfId="19220" xr:uid="{D5ACA7FA-EAE3-46FA-9F27-C9DA2259657E}"/>
    <cellStyle name="Note 2 2 8" xfId="2684" xr:uid="{00000000-0005-0000-0000-0000EA200000}"/>
    <cellStyle name="Note 2 2 8 2" xfId="6968" xr:uid="{00000000-0005-0000-0000-0000EB200000}"/>
    <cellStyle name="Note 2 2 8 2 2" xfId="15410" xr:uid="{97C9EECF-8EC3-439E-A28D-B1F998BC8443}"/>
    <cellStyle name="Note 2 2 8 2 3" xfId="23850" xr:uid="{2FDF5B4D-8E60-4E2F-B9CA-0AB9A17EA840}"/>
    <cellStyle name="Note 2 2 8 3" xfId="11192" xr:uid="{1CECFA5A-A331-43F0-AB76-BA7B755A5B9D}"/>
    <cellStyle name="Note 2 2 8 4" xfId="19633" xr:uid="{00F28F8F-E0D4-4409-8719-9D124A0F46A0}"/>
    <cellStyle name="Note 2 2 9" xfId="2743" xr:uid="{00000000-0005-0000-0000-0000EC200000}"/>
    <cellStyle name="Note 2 3" xfId="549" xr:uid="{00000000-0005-0000-0000-0000ED200000}"/>
    <cellStyle name="Note 2 3 10" xfId="4907" xr:uid="{00000000-0005-0000-0000-0000EE200000}"/>
    <cellStyle name="Note 2 3 10 2" xfId="13349" xr:uid="{D0B35664-6BC9-47F6-A38B-AB42CC20BE92}"/>
    <cellStyle name="Note 2 3 10 3" xfId="21789" xr:uid="{6A9A625E-02AA-4708-83E3-9B99DBABE06C}"/>
    <cellStyle name="Note 2 3 11" xfId="9131" xr:uid="{82949060-B343-439A-8460-D73EAD75DEB3}"/>
    <cellStyle name="Note 2 3 12" xfId="17572" xr:uid="{830D287E-D495-41DA-B1E6-C0C413D964B7}"/>
    <cellStyle name="Note 2 3 2" xfId="550" xr:uid="{00000000-0005-0000-0000-0000EF200000}"/>
    <cellStyle name="Note 2 3 2 10" xfId="9132" xr:uid="{72C0835A-2B09-4D3F-BFC4-915ECF25CF22}"/>
    <cellStyle name="Note 2 3 2 11" xfId="17573" xr:uid="{F8ED5DBD-5DD7-464B-9695-FAD4271995E8}"/>
    <cellStyle name="Note 2 3 2 2" xfId="1011" xr:uid="{00000000-0005-0000-0000-0000F0200000}"/>
    <cellStyle name="Note 2 3 2 2 2" xfId="3243" xr:uid="{00000000-0005-0000-0000-0000F1200000}"/>
    <cellStyle name="Note 2 3 2 2 2 2" xfId="7466" xr:uid="{00000000-0005-0000-0000-0000F2200000}"/>
    <cellStyle name="Note 2 3 2 2 2 2 2" xfId="15908" xr:uid="{E00FFBF1-50BA-41EF-9608-0D4BC5899F52}"/>
    <cellStyle name="Note 2 3 2 2 2 2 3" xfId="24348" xr:uid="{720D0CB9-8B9D-4555-8A3F-130D2B1473E9}"/>
    <cellStyle name="Note 2 3 2 2 2 3" xfId="11690" xr:uid="{573541C9-D2E4-4550-9C30-ABF3B3C8E914}"/>
    <cellStyle name="Note 2 3 2 2 2 4" xfId="20131" xr:uid="{38798735-0B9F-4689-9CCB-9FB419E5DECB}"/>
    <cellStyle name="Note 2 3 2 2 3" xfId="5321" xr:uid="{00000000-0005-0000-0000-0000F3200000}"/>
    <cellStyle name="Note 2 3 2 2 3 2" xfId="13763" xr:uid="{F73B0058-956F-4851-AD0D-52E3131D8A95}"/>
    <cellStyle name="Note 2 3 2 2 3 3" xfId="22203" xr:uid="{2828C229-9D45-417C-A210-580D340D449C}"/>
    <cellStyle name="Note 2 3 2 2 4" xfId="9545" xr:uid="{3F31CC0A-BD68-40E0-96F5-6A7AF0B9AE56}"/>
    <cellStyle name="Note 2 3 2 2 5" xfId="17986" xr:uid="{B498A7F2-8A4D-4F77-ADA4-1CBCD7E98202}"/>
    <cellStyle name="Note 2 3 2 3" xfId="1426" xr:uid="{00000000-0005-0000-0000-0000F4200000}"/>
    <cellStyle name="Note 2 3 2 3 2" xfId="3656" xr:uid="{00000000-0005-0000-0000-0000F5200000}"/>
    <cellStyle name="Note 2 3 2 3 2 2" xfId="7879" xr:uid="{00000000-0005-0000-0000-0000F6200000}"/>
    <cellStyle name="Note 2 3 2 3 2 2 2" xfId="16321" xr:uid="{0D461567-47B2-4179-B761-A803012D33E6}"/>
    <cellStyle name="Note 2 3 2 3 2 2 3" xfId="24761" xr:uid="{63A3BB47-01F9-4694-88DB-8F79FB9875ED}"/>
    <cellStyle name="Note 2 3 2 3 2 3" xfId="12103" xr:uid="{24B7BC7C-5501-43BD-B184-DFE0972AB031}"/>
    <cellStyle name="Note 2 3 2 3 2 4" xfId="20544" xr:uid="{A76611FA-7723-463B-A422-AE8930C50938}"/>
    <cellStyle name="Note 2 3 2 3 3" xfId="5734" xr:uid="{00000000-0005-0000-0000-0000F7200000}"/>
    <cellStyle name="Note 2 3 2 3 3 2" xfId="14176" xr:uid="{DD620423-2749-4B65-BFBA-36FBB4A6F872}"/>
    <cellStyle name="Note 2 3 2 3 3 3" xfId="22616" xr:uid="{F3EF0E6B-195B-4A0E-8E74-5A0DF76550A1}"/>
    <cellStyle name="Note 2 3 2 3 4" xfId="9958" xr:uid="{925A3DBC-C5F3-49A0-80D4-D96AFB247B32}"/>
    <cellStyle name="Note 2 3 2 3 5" xfId="18399" xr:uid="{273FF714-38D3-4A95-814E-CB540478597D}"/>
    <cellStyle name="Note 2 3 2 4" xfId="1840" xr:uid="{00000000-0005-0000-0000-0000F8200000}"/>
    <cellStyle name="Note 2 3 2 4 2" xfId="4069" xr:uid="{00000000-0005-0000-0000-0000F9200000}"/>
    <cellStyle name="Note 2 3 2 4 2 2" xfId="8292" xr:uid="{00000000-0005-0000-0000-0000FA200000}"/>
    <cellStyle name="Note 2 3 2 4 2 2 2" xfId="16734" xr:uid="{F32AA145-9959-4DA9-828F-AA010DCDDF3F}"/>
    <cellStyle name="Note 2 3 2 4 2 2 3" xfId="25174" xr:uid="{DB6152D1-9918-4498-9318-80DC6A8792F1}"/>
    <cellStyle name="Note 2 3 2 4 2 3" xfId="12516" xr:uid="{1670760D-40C2-418D-AE01-7B08E8B9C95B}"/>
    <cellStyle name="Note 2 3 2 4 2 4" xfId="20957" xr:uid="{1C7BF072-A33F-491E-AACF-3BF30812766D}"/>
    <cellStyle name="Note 2 3 2 4 3" xfId="6147" xr:uid="{00000000-0005-0000-0000-0000FB200000}"/>
    <cellStyle name="Note 2 3 2 4 3 2" xfId="14589" xr:uid="{A706CB96-680A-4743-A91E-E16BE1127AA4}"/>
    <cellStyle name="Note 2 3 2 4 3 3" xfId="23029" xr:uid="{6FB5C89C-0B73-41BC-BC80-209E90C118F4}"/>
    <cellStyle name="Note 2 3 2 4 4" xfId="10371" xr:uid="{9C230D6A-E295-4430-B282-75540F7F8C55}"/>
    <cellStyle name="Note 2 3 2 4 5" xfId="18812" xr:uid="{F6B7EA1F-316A-4007-B742-CE6869525F31}"/>
    <cellStyle name="Note 2 3 2 5" xfId="2253" xr:uid="{00000000-0005-0000-0000-0000FC200000}"/>
    <cellStyle name="Note 2 3 2 5 2" xfId="4482" xr:uid="{00000000-0005-0000-0000-0000FD200000}"/>
    <cellStyle name="Note 2 3 2 5 2 2" xfId="8705" xr:uid="{00000000-0005-0000-0000-0000FE200000}"/>
    <cellStyle name="Note 2 3 2 5 2 2 2" xfId="17147" xr:uid="{41A1B3DC-22FE-461C-9497-A75E115864A8}"/>
    <cellStyle name="Note 2 3 2 5 2 2 3" xfId="25587" xr:uid="{5A6F61DF-5536-4084-AB0D-726DE6AEA3BB}"/>
    <cellStyle name="Note 2 3 2 5 2 3" xfId="12929" xr:uid="{8DC6EB7C-D276-4890-B54A-9FF60F885119}"/>
    <cellStyle name="Note 2 3 2 5 2 4" xfId="21370" xr:uid="{FB452F1E-9549-4B4A-87E5-E30266F6ACB4}"/>
    <cellStyle name="Note 2 3 2 5 3" xfId="6560" xr:uid="{00000000-0005-0000-0000-0000FF200000}"/>
    <cellStyle name="Note 2 3 2 5 3 2" xfId="15002" xr:uid="{2CA1D25C-9BD1-47E6-A082-13F778E6AF9A}"/>
    <cellStyle name="Note 2 3 2 5 3 3" xfId="23442" xr:uid="{9DE151B4-3044-48DB-ABD2-CB1262E053FE}"/>
    <cellStyle name="Note 2 3 2 5 4" xfId="10784" xr:uid="{A6D96799-DC3D-4FAF-A677-87A2E1D900F8}"/>
    <cellStyle name="Note 2 3 2 5 5" xfId="19225" xr:uid="{723EC117-92CE-4CB0-8286-03DE6399B48B}"/>
    <cellStyle name="Note 2 3 2 6" xfId="2689" xr:uid="{00000000-0005-0000-0000-000000210000}"/>
    <cellStyle name="Note 2 3 2 6 2" xfId="6973" xr:uid="{00000000-0005-0000-0000-000001210000}"/>
    <cellStyle name="Note 2 3 2 6 2 2" xfId="15415" xr:uid="{2FEF3EC1-6E26-4B85-86A0-3DA9D5ECF451}"/>
    <cellStyle name="Note 2 3 2 6 2 3" xfId="23855" xr:uid="{749BC345-95AA-4804-9633-0AFF8E5037E6}"/>
    <cellStyle name="Note 2 3 2 6 3" xfId="11197" xr:uid="{C1C65D5A-36B9-497A-A3DD-43D6AE85813C}"/>
    <cellStyle name="Note 2 3 2 6 4" xfId="19638" xr:uid="{460FE0BB-0ECA-40F3-97F6-95FFE88CCD4A}"/>
    <cellStyle name="Note 2 3 2 7" xfId="2748" xr:uid="{00000000-0005-0000-0000-000002210000}"/>
    <cellStyle name="Note 2 3 2 8" xfId="2829" xr:uid="{00000000-0005-0000-0000-000003210000}"/>
    <cellStyle name="Note 2 3 2 8 2" xfId="7053" xr:uid="{00000000-0005-0000-0000-000004210000}"/>
    <cellStyle name="Note 2 3 2 8 2 2" xfId="15495" xr:uid="{0304A225-19E3-4D73-B2AD-2F1766208363}"/>
    <cellStyle name="Note 2 3 2 8 2 3" xfId="23935" xr:uid="{68BF9396-EFE5-4ED5-B608-9BFF12396DFF}"/>
    <cellStyle name="Note 2 3 2 8 3" xfId="11277" xr:uid="{B4B5009A-3C8B-4114-80C1-D7A296C3C9FC}"/>
    <cellStyle name="Note 2 3 2 8 4" xfId="19718" xr:uid="{CD44C18E-15BF-45F3-B6A0-1855FCCA730A}"/>
    <cellStyle name="Note 2 3 2 9" xfId="4908" xr:uid="{00000000-0005-0000-0000-000005210000}"/>
    <cellStyle name="Note 2 3 2 9 2" xfId="13350" xr:uid="{58032D15-FF1E-4A93-8622-ACA9B98FECC8}"/>
    <cellStyle name="Note 2 3 2 9 3" xfId="21790" xr:uid="{024E29F5-86C9-47A2-B1FC-5E0410A1BB15}"/>
    <cellStyle name="Note 2 3 3" xfId="1010" xr:uid="{00000000-0005-0000-0000-000006210000}"/>
    <cellStyle name="Note 2 3 3 2" xfId="3242" xr:uid="{00000000-0005-0000-0000-000007210000}"/>
    <cellStyle name="Note 2 3 3 2 2" xfId="7465" xr:uid="{00000000-0005-0000-0000-000008210000}"/>
    <cellStyle name="Note 2 3 3 2 2 2" xfId="15907" xr:uid="{931D147E-0E1C-4F4D-8B11-67A8339833A0}"/>
    <cellStyle name="Note 2 3 3 2 2 3" xfId="24347" xr:uid="{5332B4F0-142F-464C-8AED-81F688A2D3F5}"/>
    <cellStyle name="Note 2 3 3 2 3" xfId="11689" xr:uid="{D4B2D9CA-52D2-4205-A3CA-3E8E03597517}"/>
    <cellStyle name="Note 2 3 3 2 4" xfId="20130" xr:uid="{26A09A8F-7D3A-47BD-93E4-38AD6683173E}"/>
    <cellStyle name="Note 2 3 3 3" xfId="5320" xr:uid="{00000000-0005-0000-0000-000009210000}"/>
    <cellStyle name="Note 2 3 3 3 2" xfId="13762" xr:uid="{20A4B850-194C-4A68-BBBC-7DBAAE7955D5}"/>
    <cellStyle name="Note 2 3 3 3 3" xfId="22202" xr:uid="{A39ECCF6-CB42-4DDB-BAE4-D792B48AF395}"/>
    <cellStyle name="Note 2 3 3 4" xfId="9544" xr:uid="{60CA2B7E-A674-49D7-96CC-6B94F50B7F76}"/>
    <cellStyle name="Note 2 3 3 5" xfId="17985" xr:uid="{763F93BE-B0D1-4B4E-9435-CCD273C8C75D}"/>
    <cellStyle name="Note 2 3 4" xfId="1425" xr:uid="{00000000-0005-0000-0000-00000A210000}"/>
    <cellStyle name="Note 2 3 4 2" xfId="3655" xr:uid="{00000000-0005-0000-0000-00000B210000}"/>
    <cellStyle name="Note 2 3 4 2 2" xfId="7878" xr:uid="{00000000-0005-0000-0000-00000C210000}"/>
    <cellStyle name="Note 2 3 4 2 2 2" xfId="16320" xr:uid="{4A65F141-3226-4D63-B463-ED831F127DF4}"/>
    <cellStyle name="Note 2 3 4 2 2 3" xfId="24760" xr:uid="{271886D4-0050-4702-B747-0FB48F1363BC}"/>
    <cellStyle name="Note 2 3 4 2 3" xfId="12102" xr:uid="{4E9E5431-BDAF-445A-A863-83E078DB1520}"/>
    <cellStyle name="Note 2 3 4 2 4" xfId="20543" xr:uid="{7D752377-4FA1-45EF-862A-8BCEB7B93815}"/>
    <cellStyle name="Note 2 3 4 3" xfId="5733" xr:uid="{00000000-0005-0000-0000-00000D210000}"/>
    <cellStyle name="Note 2 3 4 3 2" xfId="14175" xr:uid="{284D5D0A-7506-4746-A401-A35078075856}"/>
    <cellStyle name="Note 2 3 4 3 3" xfId="22615" xr:uid="{273FAFC2-6046-43BF-99C0-B85C8DA4B579}"/>
    <cellStyle name="Note 2 3 4 4" xfId="9957" xr:uid="{C6AA8C27-32EB-497F-A935-3DA6B3BE0668}"/>
    <cellStyle name="Note 2 3 4 5" xfId="18398" xr:uid="{7A6F9B1C-03E9-4840-B3A6-4B4A7AB5B8C5}"/>
    <cellStyle name="Note 2 3 5" xfId="1839" xr:uid="{00000000-0005-0000-0000-00000E210000}"/>
    <cellStyle name="Note 2 3 5 2" xfId="4068" xr:uid="{00000000-0005-0000-0000-00000F210000}"/>
    <cellStyle name="Note 2 3 5 2 2" xfId="8291" xr:uid="{00000000-0005-0000-0000-000010210000}"/>
    <cellStyle name="Note 2 3 5 2 2 2" xfId="16733" xr:uid="{19B11DD3-A9E7-464B-852C-D25476A763C2}"/>
    <cellStyle name="Note 2 3 5 2 2 3" xfId="25173" xr:uid="{0CA59557-9F9E-488E-86A7-D4A5D55A81A1}"/>
    <cellStyle name="Note 2 3 5 2 3" xfId="12515" xr:uid="{03EB1B10-6A17-45B4-A89C-ECA066364D3E}"/>
    <cellStyle name="Note 2 3 5 2 4" xfId="20956" xr:uid="{9C40B0C3-7409-4E79-ACAF-E3165C59FE6C}"/>
    <cellStyle name="Note 2 3 5 3" xfId="6146" xr:uid="{00000000-0005-0000-0000-000011210000}"/>
    <cellStyle name="Note 2 3 5 3 2" xfId="14588" xr:uid="{07E4DED6-69D6-4C68-A49A-B098582E857D}"/>
    <cellStyle name="Note 2 3 5 3 3" xfId="23028" xr:uid="{76BF868C-2572-4938-B20C-E37F75421C01}"/>
    <cellStyle name="Note 2 3 5 4" xfId="10370" xr:uid="{7DEB3841-914E-4F79-B6B9-B3C9694C86AB}"/>
    <cellStyle name="Note 2 3 5 5" xfId="18811" xr:uid="{89E439B8-515F-414E-9B5B-FC5DA8A4EC1D}"/>
    <cellStyle name="Note 2 3 6" xfId="2252" xr:uid="{00000000-0005-0000-0000-000012210000}"/>
    <cellStyle name="Note 2 3 6 2" xfId="4481" xr:uid="{00000000-0005-0000-0000-000013210000}"/>
    <cellStyle name="Note 2 3 6 2 2" xfId="8704" xr:uid="{00000000-0005-0000-0000-000014210000}"/>
    <cellStyle name="Note 2 3 6 2 2 2" xfId="17146" xr:uid="{CAC98922-6D69-4AE9-8CE2-3228D71A8C23}"/>
    <cellStyle name="Note 2 3 6 2 2 3" xfId="25586" xr:uid="{2BBC20BF-D0F8-402A-A86D-BAA944D62CF3}"/>
    <cellStyle name="Note 2 3 6 2 3" xfId="12928" xr:uid="{27CDA990-690D-44DC-8559-9A815AEC6FF0}"/>
    <cellStyle name="Note 2 3 6 2 4" xfId="21369" xr:uid="{130D84CA-858D-40BF-8B35-A3BB5E256B18}"/>
    <cellStyle name="Note 2 3 6 3" xfId="6559" xr:uid="{00000000-0005-0000-0000-000015210000}"/>
    <cellStyle name="Note 2 3 6 3 2" xfId="15001" xr:uid="{098CF096-B4FB-4DDD-89BC-7D07EBE137A6}"/>
    <cellStyle name="Note 2 3 6 3 3" xfId="23441" xr:uid="{19DE0442-70B9-4194-B513-053F75E77BB6}"/>
    <cellStyle name="Note 2 3 6 4" xfId="10783" xr:uid="{BBA00971-C1C3-43C0-B54C-6182F761BA61}"/>
    <cellStyle name="Note 2 3 6 5" xfId="19224" xr:uid="{03192DFB-8E6E-4CDD-B9A1-5E6BAD20BE7E}"/>
    <cellStyle name="Note 2 3 7" xfId="2688" xr:uid="{00000000-0005-0000-0000-000016210000}"/>
    <cellStyle name="Note 2 3 7 2" xfId="6972" xr:uid="{00000000-0005-0000-0000-000017210000}"/>
    <cellStyle name="Note 2 3 7 2 2" xfId="15414" xr:uid="{0EAED9E3-61D1-443C-988B-76354995EB67}"/>
    <cellStyle name="Note 2 3 7 2 3" xfId="23854" xr:uid="{5D0C3663-F20E-4DD4-A7EB-B87883111B10}"/>
    <cellStyle name="Note 2 3 7 3" xfId="11196" xr:uid="{47017CDC-6B6A-44E0-8B27-B9ECB2E7F399}"/>
    <cellStyle name="Note 2 3 7 4" xfId="19637" xr:uid="{B8141824-DDFA-4D1D-B647-E4604D927723}"/>
    <cellStyle name="Note 2 3 8" xfId="2747" xr:uid="{00000000-0005-0000-0000-000018210000}"/>
    <cellStyle name="Note 2 3 9" xfId="2828" xr:uid="{00000000-0005-0000-0000-000019210000}"/>
    <cellStyle name="Note 2 3 9 2" xfId="7052" xr:uid="{00000000-0005-0000-0000-00001A210000}"/>
    <cellStyle name="Note 2 3 9 2 2" xfId="15494" xr:uid="{37641BEB-3980-4D71-BDF9-76CDB736EF73}"/>
    <cellStyle name="Note 2 3 9 2 3" xfId="23934" xr:uid="{34089A8F-26FA-4F91-A87D-83E2F5EFF980}"/>
    <cellStyle name="Note 2 3 9 3" xfId="11276" xr:uid="{224B21D9-4120-4DF9-883E-11482C4A024B}"/>
    <cellStyle name="Note 2 3 9 4" xfId="19717" xr:uid="{135F092D-6CF6-43D7-9F03-44C05EC8BA14}"/>
    <cellStyle name="Note 2 4" xfId="551" xr:uid="{00000000-0005-0000-0000-00001B210000}"/>
    <cellStyle name="Note 2 4 10" xfId="9133" xr:uid="{50AEB827-8461-473A-BEAB-531B44E0ACB0}"/>
    <cellStyle name="Note 2 4 11" xfId="17574" xr:uid="{1F342364-E465-4ACB-A2EE-115AA850A182}"/>
    <cellStyle name="Note 2 4 2" xfId="1012" xr:uid="{00000000-0005-0000-0000-00001C210000}"/>
    <cellStyle name="Note 2 4 2 2" xfId="3244" xr:uid="{00000000-0005-0000-0000-00001D210000}"/>
    <cellStyle name="Note 2 4 2 2 2" xfId="7467" xr:uid="{00000000-0005-0000-0000-00001E210000}"/>
    <cellStyle name="Note 2 4 2 2 2 2" xfId="15909" xr:uid="{5231B27F-7915-4A86-A114-86073DBF1E98}"/>
    <cellStyle name="Note 2 4 2 2 2 3" xfId="24349" xr:uid="{7D15A919-8082-4467-8ADA-510AFD5543C0}"/>
    <cellStyle name="Note 2 4 2 2 3" xfId="11691" xr:uid="{05887515-0164-4A63-B1ED-97F62E2430BD}"/>
    <cellStyle name="Note 2 4 2 2 4" xfId="20132" xr:uid="{5FF214C4-78CE-45E9-ADA5-0D91C528CB5F}"/>
    <cellStyle name="Note 2 4 2 3" xfId="5322" xr:uid="{00000000-0005-0000-0000-00001F210000}"/>
    <cellStyle name="Note 2 4 2 3 2" xfId="13764" xr:uid="{FCEB4495-3BAA-43B9-8ABB-8C51EAB9D1DF}"/>
    <cellStyle name="Note 2 4 2 3 3" xfId="22204" xr:uid="{59902E03-908B-45C6-894A-9C32516A4D34}"/>
    <cellStyle name="Note 2 4 2 4" xfId="9546" xr:uid="{D333B437-DEA9-42BA-8877-43B72406AFB8}"/>
    <cellStyle name="Note 2 4 2 5" xfId="17987" xr:uid="{C5B2285C-881C-415D-AD9C-0FF6A57A2453}"/>
    <cellStyle name="Note 2 4 3" xfId="1427" xr:uid="{00000000-0005-0000-0000-000020210000}"/>
    <cellStyle name="Note 2 4 3 2" xfId="3657" xr:uid="{00000000-0005-0000-0000-000021210000}"/>
    <cellStyle name="Note 2 4 3 2 2" xfId="7880" xr:uid="{00000000-0005-0000-0000-000022210000}"/>
    <cellStyle name="Note 2 4 3 2 2 2" xfId="16322" xr:uid="{4F90CA6E-FEAB-4225-9C0B-0DFA7B7D4138}"/>
    <cellStyle name="Note 2 4 3 2 2 3" xfId="24762" xr:uid="{2749D20E-A2E9-4909-877F-EB78757468FA}"/>
    <cellStyle name="Note 2 4 3 2 3" xfId="12104" xr:uid="{74CB030F-0C33-4FFC-AF4B-D8C3775646FF}"/>
    <cellStyle name="Note 2 4 3 2 4" xfId="20545" xr:uid="{4F17C94E-5B05-42DA-B8F2-268790969022}"/>
    <cellStyle name="Note 2 4 3 3" xfId="5735" xr:uid="{00000000-0005-0000-0000-000023210000}"/>
    <cellStyle name="Note 2 4 3 3 2" xfId="14177" xr:uid="{AEC96B96-E886-420E-92AF-089526B0EA8E}"/>
    <cellStyle name="Note 2 4 3 3 3" xfId="22617" xr:uid="{5A51D8B2-C6A7-4D76-AEB9-7867B3F33961}"/>
    <cellStyle name="Note 2 4 3 4" xfId="9959" xr:uid="{52C0A1AD-5C2D-4BFF-A37A-118A3C1388B5}"/>
    <cellStyle name="Note 2 4 3 5" xfId="18400" xr:uid="{B54E0DD7-4C50-4C49-A8BC-E4B4B2EECDC3}"/>
    <cellStyle name="Note 2 4 4" xfId="1841" xr:uid="{00000000-0005-0000-0000-000024210000}"/>
    <cellStyle name="Note 2 4 4 2" xfId="4070" xr:uid="{00000000-0005-0000-0000-000025210000}"/>
    <cellStyle name="Note 2 4 4 2 2" xfId="8293" xr:uid="{00000000-0005-0000-0000-000026210000}"/>
    <cellStyle name="Note 2 4 4 2 2 2" xfId="16735" xr:uid="{73ECC6AE-A70C-40E5-B7BF-920BDC7E1399}"/>
    <cellStyle name="Note 2 4 4 2 2 3" xfId="25175" xr:uid="{32FEF837-6FD5-48EB-8A65-15D19EC23072}"/>
    <cellStyle name="Note 2 4 4 2 3" xfId="12517" xr:uid="{EEF5572B-E076-4AC2-95ED-43E94E3590A3}"/>
    <cellStyle name="Note 2 4 4 2 4" xfId="20958" xr:uid="{3F0E0630-EE3E-4938-AE63-52D107E58E0F}"/>
    <cellStyle name="Note 2 4 4 3" xfId="6148" xr:uid="{00000000-0005-0000-0000-000027210000}"/>
    <cellStyle name="Note 2 4 4 3 2" xfId="14590" xr:uid="{C0046699-90BE-4FE9-9344-6A4F2B3B9E65}"/>
    <cellStyle name="Note 2 4 4 3 3" xfId="23030" xr:uid="{A6C35DAD-D58C-4E30-9E8E-DEC727A83D59}"/>
    <cellStyle name="Note 2 4 4 4" xfId="10372" xr:uid="{44AB4C3A-0CAB-424C-8030-75E1BBF784E5}"/>
    <cellStyle name="Note 2 4 4 5" xfId="18813" xr:uid="{AB0702AA-F27A-40A6-80DA-5E47C7C89690}"/>
    <cellStyle name="Note 2 4 5" xfId="2254" xr:uid="{00000000-0005-0000-0000-000028210000}"/>
    <cellStyle name="Note 2 4 5 2" xfId="4483" xr:uid="{00000000-0005-0000-0000-000029210000}"/>
    <cellStyle name="Note 2 4 5 2 2" xfId="8706" xr:uid="{00000000-0005-0000-0000-00002A210000}"/>
    <cellStyle name="Note 2 4 5 2 2 2" xfId="17148" xr:uid="{F179663F-D051-47B2-9464-28065B6C293B}"/>
    <cellStyle name="Note 2 4 5 2 2 3" xfId="25588" xr:uid="{864971CE-69C8-4C86-9BED-E7061D1FFC2A}"/>
    <cellStyle name="Note 2 4 5 2 3" xfId="12930" xr:uid="{8898E2EE-B4FB-4559-94CC-567DF38457DC}"/>
    <cellStyle name="Note 2 4 5 2 4" xfId="21371" xr:uid="{55D52B35-7D91-4D09-B32C-0CEB72161A88}"/>
    <cellStyle name="Note 2 4 5 3" xfId="6561" xr:uid="{00000000-0005-0000-0000-00002B210000}"/>
    <cellStyle name="Note 2 4 5 3 2" xfId="15003" xr:uid="{AC0A20FF-9B50-4185-8138-E60DB6932AA3}"/>
    <cellStyle name="Note 2 4 5 3 3" xfId="23443" xr:uid="{F1EB2699-069B-46C4-8F7E-DAD0A6502855}"/>
    <cellStyle name="Note 2 4 5 4" xfId="10785" xr:uid="{FEE75063-AABA-4F8E-8F82-558BEB9C8E1E}"/>
    <cellStyle name="Note 2 4 5 5" xfId="19226" xr:uid="{E2266854-F966-4C02-8385-5E384C9E0F74}"/>
    <cellStyle name="Note 2 4 6" xfId="2690" xr:uid="{00000000-0005-0000-0000-00002C210000}"/>
    <cellStyle name="Note 2 4 6 2" xfId="6974" xr:uid="{00000000-0005-0000-0000-00002D210000}"/>
    <cellStyle name="Note 2 4 6 2 2" xfId="15416" xr:uid="{4C515DC2-1EFD-4A4C-BFBE-E39F756B75EF}"/>
    <cellStyle name="Note 2 4 6 2 3" xfId="23856" xr:uid="{E85FDB71-4701-4D62-A04C-FFBE1D06F04E}"/>
    <cellStyle name="Note 2 4 6 3" xfId="11198" xr:uid="{195EF303-33F7-4159-AA3B-9D73B7D98E33}"/>
    <cellStyle name="Note 2 4 6 4" xfId="19639" xr:uid="{A0F52503-F7F5-4425-8BA3-F1ACE1056352}"/>
    <cellStyle name="Note 2 4 7" xfId="2749" xr:uid="{00000000-0005-0000-0000-00002E210000}"/>
    <cellStyle name="Note 2 4 8" xfId="2830" xr:uid="{00000000-0005-0000-0000-00002F210000}"/>
    <cellStyle name="Note 2 4 8 2" xfId="7054" xr:uid="{00000000-0005-0000-0000-000030210000}"/>
    <cellStyle name="Note 2 4 8 2 2" xfId="15496" xr:uid="{7C3A6FF8-8334-422D-AEC7-99F4AD7E3712}"/>
    <cellStyle name="Note 2 4 8 2 3" xfId="23936" xr:uid="{0E137C37-5FBD-4265-B07A-DA630DF0EB28}"/>
    <cellStyle name="Note 2 4 8 3" xfId="11278" xr:uid="{A911F10B-E056-460B-A889-51AB620F896A}"/>
    <cellStyle name="Note 2 4 8 4" xfId="19719" xr:uid="{64734B99-3650-497C-A8CF-F8FAC881FAAC}"/>
    <cellStyle name="Note 2 4 9" xfId="4909" xr:uid="{00000000-0005-0000-0000-000031210000}"/>
    <cellStyle name="Note 2 4 9 2" xfId="13351" xr:uid="{1531ED83-D9F5-4BE5-B8A9-B5404BD9C780}"/>
    <cellStyle name="Note 2 4 9 3" xfId="21791" xr:uid="{FD3BB98F-1898-4141-9A73-4B0CB1C4B4FA}"/>
    <cellStyle name="Note 2 5" xfId="552" xr:uid="{00000000-0005-0000-0000-000032210000}"/>
    <cellStyle name="Note 2 5 10" xfId="9134" xr:uid="{A666ECC5-F29D-41EB-A82A-923498ECC570}"/>
    <cellStyle name="Note 2 5 11" xfId="17575" xr:uid="{45B346B9-043B-442E-985F-E23AD17A7E96}"/>
    <cellStyle name="Note 2 5 2" xfId="1013" xr:uid="{00000000-0005-0000-0000-000033210000}"/>
    <cellStyle name="Note 2 5 2 2" xfId="3245" xr:uid="{00000000-0005-0000-0000-000034210000}"/>
    <cellStyle name="Note 2 5 2 2 2" xfId="7468" xr:uid="{00000000-0005-0000-0000-000035210000}"/>
    <cellStyle name="Note 2 5 2 2 2 2" xfId="15910" xr:uid="{0447D7C1-7C5E-44EE-89D0-67518FB09631}"/>
    <cellStyle name="Note 2 5 2 2 2 3" xfId="24350" xr:uid="{9D85EF0E-DAA8-4DCF-9394-4584C4E898CE}"/>
    <cellStyle name="Note 2 5 2 2 3" xfId="11692" xr:uid="{EF46EAE8-FECC-4B32-BCFA-76C0161A1C6A}"/>
    <cellStyle name="Note 2 5 2 2 4" xfId="20133" xr:uid="{FAA7B1F8-DA46-4A14-A436-3771D78379B2}"/>
    <cellStyle name="Note 2 5 2 3" xfId="5323" xr:uid="{00000000-0005-0000-0000-000036210000}"/>
    <cellStyle name="Note 2 5 2 3 2" xfId="13765" xr:uid="{EBD9E34C-55D3-452A-811C-9E5F8110596C}"/>
    <cellStyle name="Note 2 5 2 3 3" xfId="22205" xr:uid="{AFF25203-2A0A-488E-BC00-4C1D668111BA}"/>
    <cellStyle name="Note 2 5 2 4" xfId="9547" xr:uid="{648375BF-75B3-4A18-99EF-B58BB3E0589A}"/>
    <cellStyle name="Note 2 5 2 5" xfId="17988" xr:uid="{3F984593-DEA7-4EB3-AE09-8644EF25BCE3}"/>
    <cellStyle name="Note 2 5 3" xfId="1428" xr:uid="{00000000-0005-0000-0000-000037210000}"/>
    <cellStyle name="Note 2 5 3 2" xfId="3658" xr:uid="{00000000-0005-0000-0000-000038210000}"/>
    <cellStyle name="Note 2 5 3 2 2" xfId="7881" xr:uid="{00000000-0005-0000-0000-000039210000}"/>
    <cellStyle name="Note 2 5 3 2 2 2" xfId="16323" xr:uid="{2B90C038-0C65-4326-B184-1B91B7FBC3E4}"/>
    <cellStyle name="Note 2 5 3 2 2 3" xfId="24763" xr:uid="{AD9B194F-E912-4B63-8402-2E8B210BC7F6}"/>
    <cellStyle name="Note 2 5 3 2 3" xfId="12105" xr:uid="{3147F501-12C4-4C2C-9256-C328D840849E}"/>
    <cellStyle name="Note 2 5 3 2 4" xfId="20546" xr:uid="{3954F12C-C5B0-4CE0-B391-B8299BAA847A}"/>
    <cellStyle name="Note 2 5 3 3" xfId="5736" xr:uid="{00000000-0005-0000-0000-00003A210000}"/>
    <cellStyle name="Note 2 5 3 3 2" xfId="14178" xr:uid="{459EFF73-A5D2-4440-A0A4-96DE2F710891}"/>
    <cellStyle name="Note 2 5 3 3 3" xfId="22618" xr:uid="{04E7D076-A476-46C9-A28B-C4A1071B3749}"/>
    <cellStyle name="Note 2 5 3 4" xfId="9960" xr:uid="{DA7FA0E8-8710-4CB0-B68A-1FCC91DA2A3D}"/>
    <cellStyle name="Note 2 5 3 5" xfId="18401" xr:uid="{ACD42AF3-FEC9-4385-B193-62F82A2D574A}"/>
    <cellStyle name="Note 2 5 4" xfId="1842" xr:uid="{00000000-0005-0000-0000-00003B210000}"/>
    <cellStyle name="Note 2 5 4 2" xfId="4071" xr:uid="{00000000-0005-0000-0000-00003C210000}"/>
    <cellStyle name="Note 2 5 4 2 2" xfId="8294" xr:uid="{00000000-0005-0000-0000-00003D210000}"/>
    <cellStyle name="Note 2 5 4 2 2 2" xfId="16736" xr:uid="{CA9FA27C-7936-4024-96B9-488937B928A8}"/>
    <cellStyle name="Note 2 5 4 2 2 3" xfId="25176" xr:uid="{64793729-7353-47FB-97D7-F7EBFBEB4D1F}"/>
    <cellStyle name="Note 2 5 4 2 3" xfId="12518" xr:uid="{D88B7F7D-C7B5-4ED5-8FE4-4CC2BE276144}"/>
    <cellStyle name="Note 2 5 4 2 4" xfId="20959" xr:uid="{9103755A-006B-45FA-99C5-45AC9F265D9A}"/>
    <cellStyle name="Note 2 5 4 3" xfId="6149" xr:uid="{00000000-0005-0000-0000-00003E210000}"/>
    <cellStyle name="Note 2 5 4 3 2" xfId="14591" xr:uid="{A0B46607-7D66-46DB-B446-18A9B8E86EA3}"/>
    <cellStyle name="Note 2 5 4 3 3" xfId="23031" xr:uid="{2320E923-18BF-4CA3-8439-00EFE17ABCF7}"/>
    <cellStyle name="Note 2 5 4 4" xfId="10373" xr:uid="{B12DD70E-4AFC-48D0-B0CB-C2400BD8C5AD}"/>
    <cellStyle name="Note 2 5 4 5" xfId="18814" xr:uid="{E1C45BEC-9858-4D0F-BC39-4541C61F7C24}"/>
    <cellStyle name="Note 2 5 5" xfId="2255" xr:uid="{00000000-0005-0000-0000-00003F210000}"/>
    <cellStyle name="Note 2 5 5 2" xfId="4484" xr:uid="{00000000-0005-0000-0000-000040210000}"/>
    <cellStyle name="Note 2 5 5 2 2" xfId="8707" xr:uid="{00000000-0005-0000-0000-000041210000}"/>
    <cellStyle name="Note 2 5 5 2 2 2" xfId="17149" xr:uid="{35DCB080-7F64-4D65-AE78-4A6CFDD2FCBF}"/>
    <cellStyle name="Note 2 5 5 2 2 3" xfId="25589" xr:uid="{2DCD4EBD-5729-46A4-AD19-BF18917B8BFF}"/>
    <cellStyle name="Note 2 5 5 2 3" xfId="12931" xr:uid="{1CAF454C-9D83-4980-8756-AE54BA41F89E}"/>
    <cellStyle name="Note 2 5 5 2 4" xfId="21372" xr:uid="{9189EA07-496E-4E0E-9264-993292DD90DF}"/>
    <cellStyle name="Note 2 5 5 3" xfId="6562" xr:uid="{00000000-0005-0000-0000-000042210000}"/>
    <cellStyle name="Note 2 5 5 3 2" xfId="15004" xr:uid="{ABC6C9EF-F83A-4517-82BA-9E0C0F16B793}"/>
    <cellStyle name="Note 2 5 5 3 3" xfId="23444" xr:uid="{1AC80463-FF49-4ACF-831C-37C129524720}"/>
    <cellStyle name="Note 2 5 5 4" xfId="10786" xr:uid="{002DF600-BF82-4B80-8754-FA620C81F7AB}"/>
    <cellStyle name="Note 2 5 5 5" xfId="19227" xr:uid="{AA882522-D8D8-4204-879E-9ADBEDAD63AA}"/>
    <cellStyle name="Note 2 5 6" xfId="2691" xr:uid="{00000000-0005-0000-0000-000043210000}"/>
    <cellStyle name="Note 2 5 6 2" xfId="6975" xr:uid="{00000000-0005-0000-0000-000044210000}"/>
    <cellStyle name="Note 2 5 6 2 2" xfId="15417" xr:uid="{32D16212-1546-4088-A371-C9272989C07E}"/>
    <cellStyle name="Note 2 5 6 2 3" xfId="23857" xr:uid="{A904E3F7-4DC2-454C-A46E-7D2CBF92CAED}"/>
    <cellStyle name="Note 2 5 6 3" xfId="11199" xr:uid="{146BBD9E-4B75-498E-9C64-6E9186CFB648}"/>
    <cellStyle name="Note 2 5 6 4" xfId="19640" xr:uid="{4947A86C-F5B6-4673-A73E-DF63C4B1B89D}"/>
    <cellStyle name="Note 2 5 7" xfId="2750" xr:uid="{00000000-0005-0000-0000-000045210000}"/>
    <cellStyle name="Note 2 5 8" xfId="2831" xr:uid="{00000000-0005-0000-0000-000046210000}"/>
    <cellStyle name="Note 2 5 8 2" xfId="7055" xr:uid="{00000000-0005-0000-0000-000047210000}"/>
    <cellStyle name="Note 2 5 8 2 2" xfId="15497" xr:uid="{3F4C512E-A954-4463-8AF3-77B48C843DA6}"/>
    <cellStyle name="Note 2 5 8 2 3" xfId="23937" xr:uid="{027934DE-5C4F-4D03-B883-347158BBAD99}"/>
    <cellStyle name="Note 2 5 8 3" xfId="11279" xr:uid="{B574D670-9056-4E2B-B352-4AA8E3FB67B3}"/>
    <cellStyle name="Note 2 5 8 4" xfId="19720" xr:uid="{D16B7B43-4FB5-447A-B13A-AD43B7B1C3ED}"/>
    <cellStyle name="Note 2 5 9" xfId="4910" xr:uid="{00000000-0005-0000-0000-000048210000}"/>
    <cellStyle name="Note 2 5 9 2" xfId="13352" xr:uid="{2882CE8E-B5FE-43AC-8C2C-AC736B5D3AF4}"/>
    <cellStyle name="Note 2 5 9 3" xfId="21792" xr:uid="{D24FA0E4-EB5F-4FD2-8AD9-CA2A1C5E496D}"/>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15498" xr:uid="{82955CBF-DC82-4D6A-9F5B-AF13C2CD794E}"/>
    <cellStyle name="Note 3 2 10 2 3" xfId="23938" xr:uid="{C45084AA-1B8C-4B0A-BCE3-A6788532EA43}"/>
    <cellStyle name="Note 3 2 10 3" xfId="11280" xr:uid="{6BFB67A2-7A22-44D0-A689-2967D49025AF}"/>
    <cellStyle name="Note 3 2 10 4" xfId="19721" xr:uid="{5031B352-B327-44F4-9566-360FA695BBCE}"/>
    <cellStyle name="Note 3 2 11" xfId="4911" xr:uid="{00000000-0005-0000-0000-00004D210000}"/>
    <cellStyle name="Note 3 2 11 2" xfId="13353" xr:uid="{0C870DED-3461-4E2F-AA9E-7204C46E64B1}"/>
    <cellStyle name="Note 3 2 11 3" xfId="21793" xr:uid="{6BFD3104-6B02-49ED-9274-D33C7D11FCCC}"/>
    <cellStyle name="Note 3 2 12" xfId="9135" xr:uid="{6A12AB3B-BC3E-49B0-AE7E-E62334D482FA}"/>
    <cellStyle name="Note 3 2 13" xfId="17576" xr:uid="{6D5655CB-AAB0-4473-806B-EEED2E8E5D37}"/>
    <cellStyle name="Note 3 2 2" xfId="555" xr:uid="{00000000-0005-0000-0000-00004E210000}"/>
    <cellStyle name="Note 3 2 2 10" xfId="4912" xr:uid="{00000000-0005-0000-0000-00004F210000}"/>
    <cellStyle name="Note 3 2 2 10 2" xfId="13354" xr:uid="{5C9670D0-9CBF-44F1-B414-3B5A62FE284E}"/>
    <cellStyle name="Note 3 2 2 10 3" xfId="21794" xr:uid="{D9489953-BCB7-4FFF-AAA5-2276844859CF}"/>
    <cellStyle name="Note 3 2 2 11" xfId="9136" xr:uid="{0F6C4BA2-D448-4E69-94E6-91AE97601677}"/>
    <cellStyle name="Note 3 2 2 12" xfId="17577" xr:uid="{8DC9FD13-A0B4-4A7A-A9B8-0D922C5E228C}"/>
    <cellStyle name="Note 3 2 2 2" xfId="556" xr:uid="{00000000-0005-0000-0000-000050210000}"/>
    <cellStyle name="Note 3 2 2 2 10" xfId="9137" xr:uid="{80DFFD66-A498-4B6D-A00D-2AC1E5CF536E}"/>
    <cellStyle name="Note 3 2 2 2 11" xfId="17578" xr:uid="{48190A5C-DA6A-4576-A318-35657F0CA824}"/>
    <cellStyle name="Note 3 2 2 2 2" xfId="1016" xr:uid="{00000000-0005-0000-0000-000051210000}"/>
    <cellStyle name="Note 3 2 2 2 2 2" xfId="3248" xr:uid="{00000000-0005-0000-0000-000052210000}"/>
    <cellStyle name="Note 3 2 2 2 2 2 2" xfId="7471" xr:uid="{00000000-0005-0000-0000-000053210000}"/>
    <cellStyle name="Note 3 2 2 2 2 2 2 2" xfId="15913" xr:uid="{2ABC5970-7949-4881-B2AD-7BBA723BAAD6}"/>
    <cellStyle name="Note 3 2 2 2 2 2 2 3" xfId="24353" xr:uid="{0F98B717-CD93-4A9A-9F28-66D2426E832C}"/>
    <cellStyle name="Note 3 2 2 2 2 2 3" xfId="11695" xr:uid="{9DF45880-8E9E-44DE-8AE9-68D812987A29}"/>
    <cellStyle name="Note 3 2 2 2 2 2 4" xfId="20136" xr:uid="{EB1A0874-FFA5-4018-8B47-5B46821E31BF}"/>
    <cellStyle name="Note 3 2 2 2 2 3" xfId="5326" xr:uid="{00000000-0005-0000-0000-000054210000}"/>
    <cellStyle name="Note 3 2 2 2 2 3 2" xfId="13768" xr:uid="{1A813440-411D-4AE8-B3EE-EEA681A64114}"/>
    <cellStyle name="Note 3 2 2 2 2 3 3" xfId="22208" xr:uid="{23300780-D9B2-46A0-ABCE-32B5AEAFD6B8}"/>
    <cellStyle name="Note 3 2 2 2 2 4" xfId="9550" xr:uid="{EC99AFB3-FFBB-4C76-AC6E-C41C9065CCC7}"/>
    <cellStyle name="Note 3 2 2 2 2 5" xfId="17991" xr:uid="{520A9E3E-040E-4AF6-8B48-B6093F2D2222}"/>
    <cellStyle name="Note 3 2 2 2 3" xfId="1431" xr:uid="{00000000-0005-0000-0000-000055210000}"/>
    <cellStyle name="Note 3 2 2 2 3 2" xfId="3661" xr:uid="{00000000-0005-0000-0000-000056210000}"/>
    <cellStyle name="Note 3 2 2 2 3 2 2" xfId="7884" xr:uid="{00000000-0005-0000-0000-000057210000}"/>
    <cellStyle name="Note 3 2 2 2 3 2 2 2" xfId="16326" xr:uid="{179B8988-309A-472E-B726-57B75C90B448}"/>
    <cellStyle name="Note 3 2 2 2 3 2 2 3" xfId="24766" xr:uid="{036C26E5-BAC8-495E-A31C-FDB8701CFD31}"/>
    <cellStyle name="Note 3 2 2 2 3 2 3" xfId="12108" xr:uid="{09A10020-7C7E-46BB-B521-6701E808D97F}"/>
    <cellStyle name="Note 3 2 2 2 3 2 4" xfId="20549" xr:uid="{2F6F16E8-E826-471E-A535-8903E1EBAB59}"/>
    <cellStyle name="Note 3 2 2 2 3 3" xfId="5739" xr:uid="{00000000-0005-0000-0000-000058210000}"/>
    <cellStyle name="Note 3 2 2 2 3 3 2" xfId="14181" xr:uid="{F8B4ED94-370D-434E-874D-64153FE38931}"/>
    <cellStyle name="Note 3 2 2 2 3 3 3" xfId="22621" xr:uid="{F42E1061-9002-4F4B-84B7-86D542A38B73}"/>
    <cellStyle name="Note 3 2 2 2 3 4" xfId="9963" xr:uid="{67F27713-F2BB-4514-8639-3D47E08769E3}"/>
    <cellStyle name="Note 3 2 2 2 3 5" xfId="18404" xr:uid="{B48650CC-A2AB-4517-A84D-E7944C05E5A8}"/>
    <cellStyle name="Note 3 2 2 2 4" xfId="1845" xr:uid="{00000000-0005-0000-0000-000059210000}"/>
    <cellStyle name="Note 3 2 2 2 4 2" xfId="4074" xr:uid="{00000000-0005-0000-0000-00005A210000}"/>
    <cellStyle name="Note 3 2 2 2 4 2 2" xfId="8297" xr:uid="{00000000-0005-0000-0000-00005B210000}"/>
    <cellStyle name="Note 3 2 2 2 4 2 2 2" xfId="16739" xr:uid="{973431B5-195E-472B-ACAC-7236AE1EEC04}"/>
    <cellStyle name="Note 3 2 2 2 4 2 2 3" xfId="25179" xr:uid="{3E5AFF1B-2876-4CD2-934C-156C00D210DC}"/>
    <cellStyle name="Note 3 2 2 2 4 2 3" xfId="12521" xr:uid="{6709AB35-3D12-42EE-8153-16F8E8F1D3C1}"/>
    <cellStyle name="Note 3 2 2 2 4 2 4" xfId="20962" xr:uid="{25164E95-676F-45CB-90E5-6EB76760E5F9}"/>
    <cellStyle name="Note 3 2 2 2 4 3" xfId="6152" xr:uid="{00000000-0005-0000-0000-00005C210000}"/>
    <cellStyle name="Note 3 2 2 2 4 3 2" xfId="14594" xr:uid="{7788131C-076E-4B07-9197-E8C29BF19F2E}"/>
    <cellStyle name="Note 3 2 2 2 4 3 3" xfId="23034" xr:uid="{F551EE48-D4E7-429A-B050-108D2B28B62E}"/>
    <cellStyle name="Note 3 2 2 2 4 4" xfId="10376" xr:uid="{652E5BA5-71EC-412C-8B71-8A54F4235ACC}"/>
    <cellStyle name="Note 3 2 2 2 4 5" xfId="18817" xr:uid="{AD6870CE-F7F6-40E8-B49A-572928087ED4}"/>
    <cellStyle name="Note 3 2 2 2 5" xfId="2258" xr:uid="{00000000-0005-0000-0000-00005D210000}"/>
    <cellStyle name="Note 3 2 2 2 5 2" xfId="4487" xr:uid="{00000000-0005-0000-0000-00005E210000}"/>
    <cellStyle name="Note 3 2 2 2 5 2 2" xfId="8710" xr:uid="{00000000-0005-0000-0000-00005F210000}"/>
    <cellStyle name="Note 3 2 2 2 5 2 2 2" xfId="17152" xr:uid="{4B90EF61-0F94-4121-848A-D58AAD32F36F}"/>
    <cellStyle name="Note 3 2 2 2 5 2 2 3" xfId="25592" xr:uid="{16B78296-F083-4AEF-84C8-E3200A86D380}"/>
    <cellStyle name="Note 3 2 2 2 5 2 3" xfId="12934" xr:uid="{9D61FA2B-5598-4F7A-BA87-6AC1CB4B91F7}"/>
    <cellStyle name="Note 3 2 2 2 5 2 4" xfId="21375" xr:uid="{D67A5644-F4B7-4DD9-93F7-5E12D48907ED}"/>
    <cellStyle name="Note 3 2 2 2 5 3" xfId="6565" xr:uid="{00000000-0005-0000-0000-000060210000}"/>
    <cellStyle name="Note 3 2 2 2 5 3 2" xfId="15007" xr:uid="{4D0D9290-B05B-4660-AAD9-66C42CDE5312}"/>
    <cellStyle name="Note 3 2 2 2 5 3 3" xfId="23447" xr:uid="{39549B48-63C7-4373-B735-203B9B8919BE}"/>
    <cellStyle name="Note 3 2 2 2 5 4" xfId="10789" xr:uid="{9ABBDC36-5141-4E17-8BCD-62BDC6828B5D}"/>
    <cellStyle name="Note 3 2 2 2 5 5" xfId="19230" xr:uid="{C31491F4-65E5-4646-92ED-C607E41F0863}"/>
    <cellStyle name="Note 3 2 2 2 6" xfId="2694" xr:uid="{00000000-0005-0000-0000-000061210000}"/>
    <cellStyle name="Note 3 2 2 2 6 2" xfId="6978" xr:uid="{00000000-0005-0000-0000-000062210000}"/>
    <cellStyle name="Note 3 2 2 2 6 2 2" xfId="15420" xr:uid="{9BE7AFD4-FE7C-4700-AD46-D639F9E04834}"/>
    <cellStyle name="Note 3 2 2 2 6 2 3" xfId="23860" xr:uid="{44B88C13-14BD-4092-B2BE-94B2E16C433D}"/>
    <cellStyle name="Note 3 2 2 2 6 3" xfId="11202" xr:uid="{321356E2-9878-4AD0-A7AF-351451EEEF6F}"/>
    <cellStyle name="Note 3 2 2 2 6 4" xfId="19643" xr:uid="{E3CE53B2-E494-429D-8BE0-1F324D515006}"/>
    <cellStyle name="Note 3 2 2 2 7" xfId="2753" xr:uid="{00000000-0005-0000-0000-000063210000}"/>
    <cellStyle name="Note 3 2 2 2 8" xfId="2834" xr:uid="{00000000-0005-0000-0000-000064210000}"/>
    <cellStyle name="Note 3 2 2 2 8 2" xfId="7058" xr:uid="{00000000-0005-0000-0000-000065210000}"/>
    <cellStyle name="Note 3 2 2 2 8 2 2" xfId="15500" xr:uid="{4107E247-AFEA-4258-B81F-47842D4F8FF4}"/>
    <cellStyle name="Note 3 2 2 2 8 2 3" xfId="23940" xr:uid="{D68FCABF-21DD-46A8-B8CF-B5FE2153FE57}"/>
    <cellStyle name="Note 3 2 2 2 8 3" xfId="11282" xr:uid="{E75ADF36-0F9C-430A-85A9-B83E8B11F0D0}"/>
    <cellStyle name="Note 3 2 2 2 8 4" xfId="19723" xr:uid="{CE3F7C87-36F6-4307-8AA2-66FB241797A1}"/>
    <cellStyle name="Note 3 2 2 2 9" xfId="4913" xr:uid="{00000000-0005-0000-0000-000066210000}"/>
    <cellStyle name="Note 3 2 2 2 9 2" xfId="13355" xr:uid="{3D8C70CB-9AF2-4FD5-BDD5-18F03BEE664F}"/>
    <cellStyle name="Note 3 2 2 2 9 3" xfId="21795" xr:uid="{2364BC0B-828B-42B2-8F27-D7051B9971CA}"/>
    <cellStyle name="Note 3 2 2 3" xfId="1015" xr:uid="{00000000-0005-0000-0000-000067210000}"/>
    <cellStyle name="Note 3 2 2 3 2" xfId="3247" xr:uid="{00000000-0005-0000-0000-000068210000}"/>
    <cellStyle name="Note 3 2 2 3 2 2" xfId="7470" xr:uid="{00000000-0005-0000-0000-000069210000}"/>
    <cellStyle name="Note 3 2 2 3 2 2 2" xfId="15912" xr:uid="{D0EC9402-80AA-43AD-8A15-58FE57976C54}"/>
    <cellStyle name="Note 3 2 2 3 2 2 3" xfId="24352" xr:uid="{724C9F3B-EB71-479E-AC62-044A3F463C56}"/>
    <cellStyle name="Note 3 2 2 3 2 3" xfId="11694" xr:uid="{A8ACBC51-E72B-4A68-BAFF-25BDB8DD33E7}"/>
    <cellStyle name="Note 3 2 2 3 2 4" xfId="20135" xr:uid="{841D1987-70CB-48D6-85A5-9D73EFA6FBF1}"/>
    <cellStyle name="Note 3 2 2 3 3" xfId="5325" xr:uid="{00000000-0005-0000-0000-00006A210000}"/>
    <cellStyle name="Note 3 2 2 3 3 2" xfId="13767" xr:uid="{BE1F8A6C-DDD3-497D-9190-A9703208EE46}"/>
    <cellStyle name="Note 3 2 2 3 3 3" xfId="22207" xr:uid="{96177B05-4C24-49E7-B43B-7D51EC05F0B3}"/>
    <cellStyle name="Note 3 2 2 3 4" xfId="9549" xr:uid="{97BFB8F9-2334-406C-AD6B-E70015DB8655}"/>
    <cellStyle name="Note 3 2 2 3 5" xfId="17990" xr:uid="{2823488B-A3BB-4BD3-A70B-A897690D9300}"/>
    <cellStyle name="Note 3 2 2 4" xfId="1430" xr:uid="{00000000-0005-0000-0000-00006B210000}"/>
    <cellStyle name="Note 3 2 2 4 2" xfId="3660" xr:uid="{00000000-0005-0000-0000-00006C210000}"/>
    <cellStyle name="Note 3 2 2 4 2 2" xfId="7883" xr:uid="{00000000-0005-0000-0000-00006D210000}"/>
    <cellStyle name="Note 3 2 2 4 2 2 2" xfId="16325" xr:uid="{7B519555-535C-43B3-A139-321A9067CF74}"/>
    <cellStyle name="Note 3 2 2 4 2 2 3" xfId="24765" xr:uid="{BCAFABF3-C229-4383-9732-7D0ACFE504A7}"/>
    <cellStyle name="Note 3 2 2 4 2 3" xfId="12107" xr:uid="{5EDA30C8-4AAD-4254-8DD0-1B3A5FFF5386}"/>
    <cellStyle name="Note 3 2 2 4 2 4" xfId="20548" xr:uid="{5F866AC6-10DF-4672-A185-9F635A0E5BB9}"/>
    <cellStyle name="Note 3 2 2 4 3" xfId="5738" xr:uid="{00000000-0005-0000-0000-00006E210000}"/>
    <cellStyle name="Note 3 2 2 4 3 2" xfId="14180" xr:uid="{4FE4DEBC-529F-43E7-A93D-5320E5D711AE}"/>
    <cellStyle name="Note 3 2 2 4 3 3" xfId="22620" xr:uid="{5157557B-54FD-4A70-82D3-EAD52A7C5795}"/>
    <cellStyle name="Note 3 2 2 4 4" xfId="9962" xr:uid="{1E511958-BE28-4495-9235-5910919A29DA}"/>
    <cellStyle name="Note 3 2 2 4 5" xfId="18403" xr:uid="{B77BB00C-C0DF-4A6D-ABD2-3846D99BF10E}"/>
    <cellStyle name="Note 3 2 2 5" xfId="1844" xr:uid="{00000000-0005-0000-0000-00006F210000}"/>
    <cellStyle name="Note 3 2 2 5 2" xfId="4073" xr:uid="{00000000-0005-0000-0000-000070210000}"/>
    <cellStyle name="Note 3 2 2 5 2 2" xfId="8296" xr:uid="{00000000-0005-0000-0000-000071210000}"/>
    <cellStyle name="Note 3 2 2 5 2 2 2" xfId="16738" xr:uid="{CA1ABB4F-1C78-4742-8C0A-B3E05EBB298E}"/>
    <cellStyle name="Note 3 2 2 5 2 2 3" xfId="25178" xr:uid="{583E3BB0-5434-46E7-89B2-711E95F96384}"/>
    <cellStyle name="Note 3 2 2 5 2 3" xfId="12520" xr:uid="{E249091C-F707-4231-AFA0-4979B7A5CC3D}"/>
    <cellStyle name="Note 3 2 2 5 2 4" xfId="20961" xr:uid="{371895AB-993E-4DC9-821C-B2E339779AE3}"/>
    <cellStyle name="Note 3 2 2 5 3" xfId="6151" xr:uid="{00000000-0005-0000-0000-000072210000}"/>
    <cellStyle name="Note 3 2 2 5 3 2" xfId="14593" xr:uid="{C9999F5F-1CAC-40EB-B8D1-3ECA927415A6}"/>
    <cellStyle name="Note 3 2 2 5 3 3" xfId="23033" xr:uid="{0650FC0B-B241-4097-BA32-B172A11191BC}"/>
    <cellStyle name="Note 3 2 2 5 4" xfId="10375" xr:uid="{313F2F22-5D5E-4C07-81F1-228ED78C7822}"/>
    <cellStyle name="Note 3 2 2 5 5" xfId="18816" xr:uid="{61E96FA7-875F-434F-9237-D06200B3C55F}"/>
    <cellStyle name="Note 3 2 2 6" xfId="2257" xr:uid="{00000000-0005-0000-0000-000073210000}"/>
    <cellStyle name="Note 3 2 2 6 2" xfId="4486" xr:uid="{00000000-0005-0000-0000-000074210000}"/>
    <cellStyle name="Note 3 2 2 6 2 2" xfId="8709" xr:uid="{00000000-0005-0000-0000-000075210000}"/>
    <cellStyle name="Note 3 2 2 6 2 2 2" xfId="17151" xr:uid="{64947CD3-DA85-4D5C-BF39-C496875E3021}"/>
    <cellStyle name="Note 3 2 2 6 2 2 3" xfId="25591" xr:uid="{8559D867-4267-4FF7-A912-89C6EDFF59EA}"/>
    <cellStyle name="Note 3 2 2 6 2 3" xfId="12933" xr:uid="{5F35740B-A7E9-44CF-AF92-ED9C65F08B11}"/>
    <cellStyle name="Note 3 2 2 6 2 4" xfId="21374" xr:uid="{00561578-17BC-4204-B99A-300387710D25}"/>
    <cellStyle name="Note 3 2 2 6 3" xfId="6564" xr:uid="{00000000-0005-0000-0000-000076210000}"/>
    <cellStyle name="Note 3 2 2 6 3 2" xfId="15006" xr:uid="{00F241F6-1504-4446-B74B-49A94717062C}"/>
    <cellStyle name="Note 3 2 2 6 3 3" xfId="23446" xr:uid="{0189D7B1-02D0-4E28-BBA0-4B3E5A6A9B0E}"/>
    <cellStyle name="Note 3 2 2 6 4" xfId="10788" xr:uid="{6934F250-8AA2-4A93-A134-CFF3434F4C2A}"/>
    <cellStyle name="Note 3 2 2 6 5" xfId="19229" xr:uid="{AC8B1AEE-33D9-4B0F-9331-4FC77FD60F05}"/>
    <cellStyle name="Note 3 2 2 7" xfId="2693" xr:uid="{00000000-0005-0000-0000-000077210000}"/>
    <cellStyle name="Note 3 2 2 7 2" xfId="6977" xr:uid="{00000000-0005-0000-0000-000078210000}"/>
    <cellStyle name="Note 3 2 2 7 2 2" xfId="15419" xr:uid="{352114BB-E183-4252-9657-6E44E8609E43}"/>
    <cellStyle name="Note 3 2 2 7 2 3" xfId="23859" xr:uid="{E58B4786-4C58-4FB5-A900-3A3707F08605}"/>
    <cellStyle name="Note 3 2 2 7 3" xfId="11201" xr:uid="{86AE9F31-3449-4AB3-A538-AC8A9DCED744}"/>
    <cellStyle name="Note 3 2 2 7 4" xfId="19642" xr:uid="{94352D02-BE77-4685-8C9F-88185EE72B9E}"/>
    <cellStyle name="Note 3 2 2 8" xfId="2752" xr:uid="{00000000-0005-0000-0000-000079210000}"/>
    <cellStyle name="Note 3 2 2 9" xfId="2833" xr:uid="{00000000-0005-0000-0000-00007A210000}"/>
    <cellStyle name="Note 3 2 2 9 2" xfId="7057" xr:uid="{00000000-0005-0000-0000-00007B210000}"/>
    <cellStyle name="Note 3 2 2 9 2 2" xfId="15499" xr:uid="{C490A399-9844-49E5-8FF4-9B0575A48909}"/>
    <cellStyle name="Note 3 2 2 9 2 3" xfId="23939" xr:uid="{C0C2B963-CA5B-4703-A5BB-B51A5C81C174}"/>
    <cellStyle name="Note 3 2 2 9 3" xfId="11281" xr:uid="{1FB49BB1-909F-4E56-B054-50F6583019C4}"/>
    <cellStyle name="Note 3 2 2 9 4" xfId="19722" xr:uid="{7937F92D-F2E0-417F-A8FC-A5B0DCE6BE1B}"/>
    <cellStyle name="Note 3 2 3" xfId="557" xr:uid="{00000000-0005-0000-0000-00007C210000}"/>
    <cellStyle name="Note 3 2 3 10" xfId="9138" xr:uid="{E744D213-3372-481C-837B-15CFA86447B6}"/>
    <cellStyle name="Note 3 2 3 11" xfId="17579" xr:uid="{B30636EF-12E7-456F-B76F-0724D20622A6}"/>
    <cellStyle name="Note 3 2 3 2" xfId="1017" xr:uid="{00000000-0005-0000-0000-00007D210000}"/>
    <cellStyle name="Note 3 2 3 2 2" xfId="3249" xr:uid="{00000000-0005-0000-0000-00007E210000}"/>
    <cellStyle name="Note 3 2 3 2 2 2" xfId="7472" xr:uid="{00000000-0005-0000-0000-00007F210000}"/>
    <cellStyle name="Note 3 2 3 2 2 2 2" xfId="15914" xr:uid="{06ED05F5-B8C9-4226-BC1A-0585F4E90883}"/>
    <cellStyle name="Note 3 2 3 2 2 2 3" xfId="24354" xr:uid="{20FDBC3C-78CA-46A4-9324-E59E9BFD4C1A}"/>
    <cellStyle name="Note 3 2 3 2 2 3" xfId="11696" xr:uid="{2DF15FC2-AE8B-4B4E-98A3-72B4B2AFAA13}"/>
    <cellStyle name="Note 3 2 3 2 2 4" xfId="20137" xr:uid="{B96E75D3-AB6D-44D7-BCC4-3FCD50EE9B60}"/>
    <cellStyle name="Note 3 2 3 2 3" xfId="5327" xr:uid="{00000000-0005-0000-0000-000080210000}"/>
    <cellStyle name="Note 3 2 3 2 3 2" xfId="13769" xr:uid="{16CAD020-30AC-447D-944F-2334BF7A4099}"/>
    <cellStyle name="Note 3 2 3 2 3 3" xfId="22209" xr:uid="{861F0A9E-E3C4-4CC1-A695-44040F2740AB}"/>
    <cellStyle name="Note 3 2 3 2 4" xfId="9551" xr:uid="{662075E0-A7F9-4DD7-8C94-4C734D439CAC}"/>
    <cellStyle name="Note 3 2 3 2 5" xfId="17992" xr:uid="{5168CF54-5347-4972-BCAB-9AB6396A82F8}"/>
    <cellStyle name="Note 3 2 3 3" xfId="1432" xr:uid="{00000000-0005-0000-0000-000081210000}"/>
    <cellStyle name="Note 3 2 3 3 2" xfId="3662" xr:uid="{00000000-0005-0000-0000-000082210000}"/>
    <cellStyle name="Note 3 2 3 3 2 2" xfId="7885" xr:uid="{00000000-0005-0000-0000-000083210000}"/>
    <cellStyle name="Note 3 2 3 3 2 2 2" xfId="16327" xr:uid="{9F3ACC4D-3DB3-4C5B-9E30-3B3803A5E4F1}"/>
    <cellStyle name="Note 3 2 3 3 2 2 3" xfId="24767" xr:uid="{B2CD8553-9470-4567-A5EC-9F462AE1A746}"/>
    <cellStyle name="Note 3 2 3 3 2 3" xfId="12109" xr:uid="{74A4A054-E99A-4CDD-99E7-F40F21677F7A}"/>
    <cellStyle name="Note 3 2 3 3 2 4" xfId="20550" xr:uid="{FEEF88B4-C089-4D44-86D9-0E4B90C558D6}"/>
    <cellStyle name="Note 3 2 3 3 3" xfId="5740" xr:uid="{00000000-0005-0000-0000-000084210000}"/>
    <cellStyle name="Note 3 2 3 3 3 2" xfId="14182" xr:uid="{39B11F98-4907-416A-AD3C-CD5BAF664A4D}"/>
    <cellStyle name="Note 3 2 3 3 3 3" xfId="22622" xr:uid="{B2421074-191E-47E2-AC11-7348A08CC68B}"/>
    <cellStyle name="Note 3 2 3 3 4" xfId="9964" xr:uid="{85695001-4AEB-440B-81AC-9E5D58C69396}"/>
    <cellStyle name="Note 3 2 3 3 5" xfId="18405" xr:uid="{B8F46074-06F8-4937-9FA8-A0748F2782D8}"/>
    <cellStyle name="Note 3 2 3 4" xfId="1846" xr:uid="{00000000-0005-0000-0000-000085210000}"/>
    <cellStyle name="Note 3 2 3 4 2" xfId="4075" xr:uid="{00000000-0005-0000-0000-000086210000}"/>
    <cellStyle name="Note 3 2 3 4 2 2" xfId="8298" xr:uid="{00000000-0005-0000-0000-000087210000}"/>
    <cellStyle name="Note 3 2 3 4 2 2 2" xfId="16740" xr:uid="{FCE7CC17-3B19-49D6-899D-AA5B234E5106}"/>
    <cellStyle name="Note 3 2 3 4 2 2 3" xfId="25180" xr:uid="{8610E776-2297-4033-85CB-06F52C0B15A4}"/>
    <cellStyle name="Note 3 2 3 4 2 3" xfId="12522" xr:uid="{F27CC1F7-A75F-4225-9938-210433B2D5D8}"/>
    <cellStyle name="Note 3 2 3 4 2 4" xfId="20963" xr:uid="{86AD1FA9-4EAB-4155-BC5C-4EB4B47D879F}"/>
    <cellStyle name="Note 3 2 3 4 3" xfId="6153" xr:uid="{00000000-0005-0000-0000-000088210000}"/>
    <cellStyle name="Note 3 2 3 4 3 2" xfId="14595" xr:uid="{E9F34CF7-70CA-45A4-B669-411096C65688}"/>
    <cellStyle name="Note 3 2 3 4 3 3" xfId="23035" xr:uid="{C4B2DB21-F885-4D6C-954C-34F3C4FB59BD}"/>
    <cellStyle name="Note 3 2 3 4 4" xfId="10377" xr:uid="{421415C4-00BF-44BE-A038-C23CB4D8146E}"/>
    <cellStyle name="Note 3 2 3 4 5" xfId="18818" xr:uid="{149DE397-0178-48B1-9BD6-AB85A996430E}"/>
    <cellStyle name="Note 3 2 3 5" xfId="2259" xr:uid="{00000000-0005-0000-0000-000089210000}"/>
    <cellStyle name="Note 3 2 3 5 2" xfId="4488" xr:uid="{00000000-0005-0000-0000-00008A210000}"/>
    <cellStyle name="Note 3 2 3 5 2 2" xfId="8711" xr:uid="{00000000-0005-0000-0000-00008B210000}"/>
    <cellStyle name="Note 3 2 3 5 2 2 2" xfId="17153" xr:uid="{75C447C9-B0DF-48AE-A6A1-9304CA7CF259}"/>
    <cellStyle name="Note 3 2 3 5 2 2 3" xfId="25593" xr:uid="{2D31531E-F99C-4A44-A37C-09C5E7C2D008}"/>
    <cellStyle name="Note 3 2 3 5 2 3" xfId="12935" xr:uid="{8AA62BD0-FF61-44F3-9949-3DC281BBD0B2}"/>
    <cellStyle name="Note 3 2 3 5 2 4" xfId="21376" xr:uid="{FEC937FE-D617-4DF9-8369-FF372EE16AE4}"/>
    <cellStyle name="Note 3 2 3 5 3" xfId="6566" xr:uid="{00000000-0005-0000-0000-00008C210000}"/>
    <cellStyle name="Note 3 2 3 5 3 2" xfId="15008" xr:uid="{38400DE3-690D-4B67-B111-41E787F283B5}"/>
    <cellStyle name="Note 3 2 3 5 3 3" xfId="23448" xr:uid="{08FF4E40-630E-4394-99C4-3E72FE078267}"/>
    <cellStyle name="Note 3 2 3 5 4" xfId="10790" xr:uid="{160BE111-20E4-4255-AAED-6A12CF43E9EB}"/>
    <cellStyle name="Note 3 2 3 5 5" xfId="19231" xr:uid="{BE3126AB-F01E-4758-B054-8D927030B962}"/>
    <cellStyle name="Note 3 2 3 6" xfId="2695" xr:uid="{00000000-0005-0000-0000-00008D210000}"/>
    <cellStyle name="Note 3 2 3 6 2" xfId="6979" xr:uid="{00000000-0005-0000-0000-00008E210000}"/>
    <cellStyle name="Note 3 2 3 6 2 2" xfId="15421" xr:uid="{7959D765-1CE8-4317-ACF1-34B83CB0EBCA}"/>
    <cellStyle name="Note 3 2 3 6 2 3" xfId="23861" xr:uid="{D2EC56B0-B38E-433E-91F0-B3987938C314}"/>
    <cellStyle name="Note 3 2 3 6 3" xfId="11203" xr:uid="{10A8A86C-0FC7-44CD-8462-41DD76BDAD8A}"/>
    <cellStyle name="Note 3 2 3 6 4" xfId="19644" xr:uid="{AFEB2A79-764E-4F9E-B272-1F28F961E6EF}"/>
    <cellStyle name="Note 3 2 3 7" xfId="2754" xr:uid="{00000000-0005-0000-0000-00008F210000}"/>
    <cellStyle name="Note 3 2 3 8" xfId="2835" xr:uid="{00000000-0005-0000-0000-000090210000}"/>
    <cellStyle name="Note 3 2 3 8 2" xfId="7059" xr:uid="{00000000-0005-0000-0000-000091210000}"/>
    <cellStyle name="Note 3 2 3 8 2 2" xfId="15501" xr:uid="{A70DB4F5-967C-4643-B693-DD65DADB6D7C}"/>
    <cellStyle name="Note 3 2 3 8 2 3" xfId="23941" xr:uid="{628AB77B-5160-4939-9CD9-304FAF4CE192}"/>
    <cellStyle name="Note 3 2 3 8 3" xfId="11283" xr:uid="{DB73402B-0A79-4365-8401-4B1CC5D832D3}"/>
    <cellStyle name="Note 3 2 3 8 4" xfId="19724" xr:uid="{B370A172-A812-4067-A013-8A2A8A7B6E93}"/>
    <cellStyle name="Note 3 2 3 9" xfId="4914" xr:uid="{00000000-0005-0000-0000-000092210000}"/>
    <cellStyle name="Note 3 2 3 9 2" xfId="13356" xr:uid="{02B8A215-D660-4D8B-96F3-D3A6D5F3C250}"/>
    <cellStyle name="Note 3 2 3 9 3" xfId="21796" xr:uid="{606C3059-0823-453E-B81B-3E8ED7E5FD82}"/>
    <cellStyle name="Note 3 2 4" xfId="1014" xr:uid="{00000000-0005-0000-0000-000093210000}"/>
    <cellStyle name="Note 3 2 4 2" xfId="3246" xr:uid="{00000000-0005-0000-0000-000094210000}"/>
    <cellStyle name="Note 3 2 4 2 2" xfId="7469" xr:uid="{00000000-0005-0000-0000-000095210000}"/>
    <cellStyle name="Note 3 2 4 2 2 2" xfId="15911" xr:uid="{2977439E-801F-4ADA-B1DD-85D7ABA6B8CB}"/>
    <cellStyle name="Note 3 2 4 2 2 3" xfId="24351" xr:uid="{17EEDB03-884C-4220-B975-795FD2EF1F9D}"/>
    <cellStyle name="Note 3 2 4 2 3" xfId="11693" xr:uid="{76B07A0E-FF10-4370-BE46-E5F0C856A687}"/>
    <cellStyle name="Note 3 2 4 2 4" xfId="20134" xr:uid="{A3081075-0492-47E6-820F-07DBEF305277}"/>
    <cellStyle name="Note 3 2 4 3" xfId="5324" xr:uid="{00000000-0005-0000-0000-000096210000}"/>
    <cellStyle name="Note 3 2 4 3 2" xfId="13766" xr:uid="{1D826978-6E54-40E1-A55A-8D913EA4E393}"/>
    <cellStyle name="Note 3 2 4 3 3" xfId="22206" xr:uid="{F0AFFAAE-2AAC-4B75-AA12-C1F578D607B8}"/>
    <cellStyle name="Note 3 2 4 4" xfId="9548" xr:uid="{C7EE128A-796B-4C8A-BCBF-D8C858FF5E61}"/>
    <cellStyle name="Note 3 2 4 5" xfId="17989" xr:uid="{26007364-9EE6-4DE1-BC53-983FDAA24E05}"/>
    <cellStyle name="Note 3 2 5" xfId="1429" xr:uid="{00000000-0005-0000-0000-000097210000}"/>
    <cellStyle name="Note 3 2 5 2" xfId="3659" xr:uid="{00000000-0005-0000-0000-000098210000}"/>
    <cellStyle name="Note 3 2 5 2 2" xfId="7882" xr:uid="{00000000-0005-0000-0000-000099210000}"/>
    <cellStyle name="Note 3 2 5 2 2 2" xfId="16324" xr:uid="{DC623409-9E75-439B-B273-DB973C8FD33A}"/>
    <cellStyle name="Note 3 2 5 2 2 3" xfId="24764" xr:uid="{A6B33CC0-78BA-4F10-9960-EAC0F47185B1}"/>
    <cellStyle name="Note 3 2 5 2 3" xfId="12106" xr:uid="{403A3844-6CF9-4CEE-8B21-6EDE9B421800}"/>
    <cellStyle name="Note 3 2 5 2 4" xfId="20547" xr:uid="{AE6431FC-BC42-4CDB-8159-91B2CE7B3339}"/>
    <cellStyle name="Note 3 2 5 3" xfId="5737" xr:uid="{00000000-0005-0000-0000-00009A210000}"/>
    <cellStyle name="Note 3 2 5 3 2" xfId="14179" xr:uid="{5AF3D20F-8937-42BE-A64B-F1084A42E19D}"/>
    <cellStyle name="Note 3 2 5 3 3" xfId="22619" xr:uid="{125DFF09-5FEF-4CD7-9248-13B8AFE5232D}"/>
    <cellStyle name="Note 3 2 5 4" xfId="9961" xr:uid="{F81BF038-D126-4001-BC06-8F6CA805A90B}"/>
    <cellStyle name="Note 3 2 5 5" xfId="18402" xr:uid="{D824E05C-957D-484F-B54D-6C9287463E5E}"/>
    <cellStyle name="Note 3 2 6" xfId="1843" xr:uid="{00000000-0005-0000-0000-00009B210000}"/>
    <cellStyle name="Note 3 2 6 2" xfId="4072" xr:uid="{00000000-0005-0000-0000-00009C210000}"/>
    <cellStyle name="Note 3 2 6 2 2" xfId="8295" xr:uid="{00000000-0005-0000-0000-00009D210000}"/>
    <cellStyle name="Note 3 2 6 2 2 2" xfId="16737" xr:uid="{57212212-563A-426C-A0E9-4FB38D06CB36}"/>
    <cellStyle name="Note 3 2 6 2 2 3" xfId="25177" xr:uid="{90D16B5F-58C9-43F8-82C3-5C823801F52A}"/>
    <cellStyle name="Note 3 2 6 2 3" xfId="12519" xr:uid="{C91A02DD-7EB9-441F-8A96-A46979721901}"/>
    <cellStyle name="Note 3 2 6 2 4" xfId="20960" xr:uid="{CAC9FA0C-F04E-4813-937B-4CBE926B7A6A}"/>
    <cellStyle name="Note 3 2 6 3" xfId="6150" xr:uid="{00000000-0005-0000-0000-00009E210000}"/>
    <cellStyle name="Note 3 2 6 3 2" xfId="14592" xr:uid="{E33DD417-9E6E-4583-8D93-3D354D1035AC}"/>
    <cellStyle name="Note 3 2 6 3 3" xfId="23032" xr:uid="{5813AB5D-AD60-410E-A7E9-7CDE0D61C0EE}"/>
    <cellStyle name="Note 3 2 6 4" xfId="10374" xr:uid="{50742424-008A-4261-B12E-CE54E0611C30}"/>
    <cellStyle name="Note 3 2 6 5" xfId="18815" xr:uid="{87BC1F4B-92B2-4A05-82BB-C01DA7323B53}"/>
    <cellStyle name="Note 3 2 7" xfId="2256" xr:uid="{00000000-0005-0000-0000-00009F210000}"/>
    <cellStyle name="Note 3 2 7 2" xfId="4485" xr:uid="{00000000-0005-0000-0000-0000A0210000}"/>
    <cellStyle name="Note 3 2 7 2 2" xfId="8708" xr:uid="{00000000-0005-0000-0000-0000A1210000}"/>
    <cellStyle name="Note 3 2 7 2 2 2" xfId="17150" xr:uid="{C674C5DA-1FF5-4E93-B762-A45CAC7C94E1}"/>
    <cellStyle name="Note 3 2 7 2 2 3" xfId="25590" xr:uid="{FA7A2AC1-8AE7-44B9-B154-56F6C16B89C5}"/>
    <cellStyle name="Note 3 2 7 2 3" xfId="12932" xr:uid="{7A2D0F74-451D-4B6A-8EA9-03B26F88BBB6}"/>
    <cellStyle name="Note 3 2 7 2 4" xfId="21373" xr:uid="{267A0906-A0E2-4FA6-8E0B-55B144DF84B7}"/>
    <cellStyle name="Note 3 2 7 3" xfId="6563" xr:uid="{00000000-0005-0000-0000-0000A2210000}"/>
    <cellStyle name="Note 3 2 7 3 2" xfId="15005" xr:uid="{AAF428B7-C49A-4AA2-BB4B-C6C31BB148B2}"/>
    <cellStyle name="Note 3 2 7 3 3" xfId="23445" xr:uid="{FB34069F-8CCB-4DD3-B5E4-AFB7157F74B4}"/>
    <cellStyle name="Note 3 2 7 4" xfId="10787" xr:uid="{46231AA6-1836-4488-A591-0BBE053AA58C}"/>
    <cellStyle name="Note 3 2 7 5" xfId="19228" xr:uid="{9E49F92E-648F-4F66-92B8-675F8DEF99D2}"/>
    <cellStyle name="Note 3 2 8" xfId="2692" xr:uid="{00000000-0005-0000-0000-0000A3210000}"/>
    <cellStyle name="Note 3 2 8 2" xfId="6976" xr:uid="{00000000-0005-0000-0000-0000A4210000}"/>
    <cellStyle name="Note 3 2 8 2 2" xfId="15418" xr:uid="{FD166186-FE60-497F-BA85-468B28A07F98}"/>
    <cellStyle name="Note 3 2 8 2 3" xfId="23858" xr:uid="{8BE6E6C8-9744-4B0A-916B-84993B2CAB82}"/>
    <cellStyle name="Note 3 2 8 3" xfId="11200" xr:uid="{F59DFDA3-612D-4AFE-A1BC-5B86E87D77C0}"/>
    <cellStyle name="Note 3 2 8 4" xfId="19641" xr:uid="{B334FC1E-69C4-4BBE-ABD0-4F0249054DC1}"/>
    <cellStyle name="Note 3 2 9" xfId="2751" xr:uid="{00000000-0005-0000-0000-0000A5210000}"/>
    <cellStyle name="Note 3 3" xfId="558" xr:uid="{00000000-0005-0000-0000-0000A6210000}"/>
    <cellStyle name="Note 3 3 10" xfId="4915" xr:uid="{00000000-0005-0000-0000-0000A7210000}"/>
    <cellStyle name="Note 3 3 10 2" xfId="13357" xr:uid="{49024E9A-7A0C-4727-A327-8C6CCE87C41E}"/>
    <cellStyle name="Note 3 3 10 3" xfId="21797" xr:uid="{2FCC7A2A-6CC4-401C-9C3F-6D10C6077A32}"/>
    <cellStyle name="Note 3 3 11" xfId="9139" xr:uid="{F06C1446-48A7-4D73-AFA2-0D4F7D9D49DD}"/>
    <cellStyle name="Note 3 3 12" xfId="17580" xr:uid="{1BDB6F63-00C6-4F8F-8B06-9F976189AF76}"/>
    <cellStyle name="Note 3 3 2" xfId="559" xr:uid="{00000000-0005-0000-0000-0000A8210000}"/>
    <cellStyle name="Note 3 3 2 10" xfId="9140" xr:uid="{3FEA1458-92C2-4A1E-9AA1-FD7D7E942439}"/>
    <cellStyle name="Note 3 3 2 11" xfId="17581" xr:uid="{36B8271B-EFED-4125-87FD-B7D12E407CA1}"/>
    <cellStyle name="Note 3 3 2 2" xfId="1019" xr:uid="{00000000-0005-0000-0000-0000A9210000}"/>
    <cellStyle name="Note 3 3 2 2 2" xfId="3251" xr:uid="{00000000-0005-0000-0000-0000AA210000}"/>
    <cellStyle name="Note 3 3 2 2 2 2" xfId="7474" xr:uid="{00000000-0005-0000-0000-0000AB210000}"/>
    <cellStyle name="Note 3 3 2 2 2 2 2" xfId="15916" xr:uid="{F90F26E6-867F-42FA-8155-5252BDAF7F86}"/>
    <cellStyle name="Note 3 3 2 2 2 2 3" xfId="24356" xr:uid="{787505EE-0CB4-4758-8FB9-5E0A5B112DFD}"/>
    <cellStyle name="Note 3 3 2 2 2 3" xfId="11698" xr:uid="{8971EDB9-91A6-48AB-AB85-689FA7B1A85B}"/>
    <cellStyle name="Note 3 3 2 2 2 4" xfId="20139" xr:uid="{09009F5D-56DB-414E-8B0B-56F004D2DC64}"/>
    <cellStyle name="Note 3 3 2 2 3" xfId="5329" xr:uid="{00000000-0005-0000-0000-0000AC210000}"/>
    <cellStyle name="Note 3 3 2 2 3 2" xfId="13771" xr:uid="{28AF5014-A8E3-4BAB-82B9-7247F7FF2B94}"/>
    <cellStyle name="Note 3 3 2 2 3 3" xfId="22211" xr:uid="{D81F2E7E-D0D8-46C9-A5F0-090C36E8783B}"/>
    <cellStyle name="Note 3 3 2 2 4" xfId="9553" xr:uid="{624DE4E8-E0E5-4ECC-B936-5C3EDAA0500B}"/>
    <cellStyle name="Note 3 3 2 2 5" xfId="17994" xr:uid="{B7F17E82-5C9A-4496-BA6E-0EDAE38D8FE6}"/>
    <cellStyle name="Note 3 3 2 3" xfId="1434" xr:uid="{00000000-0005-0000-0000-0000AD210000}"/>
    <cellStyle name="Note 3 3 2 3 2" xfId="3664" xr:uid="{00000000-0005-0000-0000-0000AE210000}"/>
    <cellStyle name="Note 3 3 2 3 2 2" xfId="7887" xr:uid="{00000000-0005-0000-0000-0000AF210000}"/>
    <cellStyle name="Note 3 3 2 3 2 2 2" xfId="16329" xr:uid="{157DE2BE-ACAC-495F-8667-6A2A215FD320}"/>
    <cellStyle name="Note 3 3 2 3 2 2 3" xfId="24769" xr:uid="{68771733-EDBB-4D20-9372-A3B0B395BFDA}"/>
    <cellStyle name="Note 3 3 2 3 2 3" xfId="12111" xr:uid="{8D04359E-9C10-4FE5-868E-5556C6BFF891}"/>
    <cellStyle name="Note 3 3 2 3 2 4" xfId="20552" xr:uid="{1A3EA214-5F91-4863-A752-50E0750924AD}"/>
    <cellStyle name="Note 3 3 2 3 3" xfId="5742" xr:uid="{00000000-0005-0000-0000-0000B0210000}"/>
    <cellStyle name="Note 3 3 2 3 3 2" xfId="14184" xr:uid="{EF01C2DA-C7EB-4ED8-9DA7-3AF1F9ADBB9F}"/>
    <cellStyle name="Note 3 3 2 3 3 3" xfId="22624" xr:uid="{F4984166-9A1D-4991-B226-9649D2AF655A}"/>
    <cellStyle name="Note 3 3 2 3 4" xfId="9966" xr:uid="{B8620002-C72F-4C61-A644-CB824E5A652E}"/>
    <cellStyle name="Note 3 3 2 3 5" xfId="18407" xr:uid="{83DF4917-2081-42AE-B73B-5751101B6AFF}"/>
    <cellStyle name="Note 3 3 2 4" xfId="1848" xr:uid="{00000000-0005-0000-0000-0000B1210000}"/>
    <cellStyle name="Note 3 3 2 4 2" xfId="4077" xr:uid="{00000000-0005-0000-0000-0000B2210000}"/>
    <cellStyle name="Note 3 3 2 4 2 2" xfId="8300" xr:uid="{00000000-0005-0000-0000-0000B3210000}"/>
    <cellStyle name="Note 3 3 2 4 2 2 2" xfId="16742" xr:uid="{B8FC469E-72A3-402C-91B5-1E686BDF8363}"/>
    <cellStyle name="Note 3 3 2 4 2 2 3" xfId="25182" xr:uid="{D05B84AE-3DDA-48CF-A38A-DFCF5AB0F65B}"/>
    <cellStyle name="Note 3 3 2 4 2 3" xfId="12524" xr:uid="{5A656541-1275-4AFC-9501-92FB3293E453}"/>
    <cellStyle name="Note 3 3 2 4 2 4" xfId="20965" xr:uid="{4297BA99-F259-4A90-936B-7355CA51D170}"/>
    <cellStyle name="Note 3 3 2 4 3" xfId="6155" xr:uid="{00000000-0005-0000-0000-0000B4210000}"/>
    <cellStyle name="Note 3 3 2 4 3 2" xfId="14597" xr:uid="{ACC254B0-C93B-46EA-AA0A-F823B9135080}"/>
    <cellStyle name="Note 3 3 2 4 3 3" xfId="23037" xr:uid="{1E233468-469F-4373-BAD9-B155F791E75A}"/>
    <cellStyle name="Note 3 3 2 4 4" xfId="10379" xr:uid="{873F10A5-7BEF-40F7-AAE2-9F04A54555F9}"/>
    <cellStyle name="Note 3 3 2 4 5" xfId="18820" xr:uid="{068CDEDF-9014-4473-BF28-E46F90FEFF14}"/>
    <cellStyle name="Note 3 3 2 5" xfId="2261" xr:uid="{00000000-0005-0000-0000-0000B5210000}"/>
    <cellStyle name="Note 3 3 2 5 2" xfId="4490" xr:uid="{00000000-0005-0000-0000-0000B6210000}"/>
    <cellStyle name="Note 3 3 2 5 2 2" xfId="8713" xr:uid="{00000000-0005-0000-0000-0000B7210000}"/>
    <cellStyle name="Note 3 3 2 5 2 2 2" xfId="17155" xr:uid="{3764E7C3-0140-4399-87F9-D080131ACD16}"/>
    <cellStyle name="Note 3 3 2 5 2 2 3" xfId="25595" xr:uid="{C579E16E-89F7-4A0E-A225-1A3C70723039}"/>
    <cellStyle name="Note 3 3 2 5 2 3" xfId="12937" xr:uid="{53BB5763-C1E8-4EAF-81E0-0E3A21C62A4E}"/>
    <cellStyle name="Note 3 3 2 5 2 4" xfId="21378" xr:uid="{5B42A33D-E4EE-42A9-A0A6-48586B3736F2}"/>
    <cellStyle name="Note 3 3 2 5 3" xfId="6568" xr:uid="{00000000-0005-0000-0000-0000B8210000}"/>
    <cellStyle name="Note 3 3 2 5 3 2" xfId="15010" xr:uid="{5BC7036A-DF80-4AD7-8994-5A8D3AAB5EF0}"/>
    <cellStyle name="Note 3 3 2 5 3 3" xfId="23450" xr:uid="{620423AB-410C-4E14-B09C-9AF660E0C13E}"/>
    <cellStyle name="Note 3 3 2 5 4" xfId="10792" xr:uid="{434A0330-686E-4B64-94D0-3D6870C325B7}"/>
    <cellStyle name="Note 3 3 2 5 5" xfId="19233" xr:uid="{0DAA3602-788E-4349-BDF5-DF0BF0FA49A2}"/>
    <cellStyle name="Note 3 3 2 6" xfId="2697" xr:uid="{00000000-0005-0000-0000-0000B9210000}"/>
    <cellStyle name="Note 3 3 2 6 2" xfId="6981" xr:uid="{00000000-0005-0000-0000-0000BA210000}"/>
    <cellStyle name="Note 3 3 2 6 2 2" xfId="15423" xr:uid="{75795670-B11E-4033-A489-5CBE7B9D82F6}"/>
    <cellStyle name="Note 3 3 2 6 2 3" xfId="23863" xr:uid="{899051F4-11A0-41AA-8BEA-8D95D6C9CB42}"/>
    <cellStyle name="Note 3 3 2 6 3" xfId="11205" xr:uid="{F1FFD9FE-DF5B-4FEC-8583-FF7937F8AA70}"/>
    <cellStyle name="Note 3 3 2 6 4" xfId="19646" xr:uid="{EE0C4926-FDC2-483A-9F2B-943198FFE692}"/>
    <cellStyle name="Note 3 3 2 7" xfId="2756" xr:uid="{00000000-0005-0000-0000-0000BB210000}"/>
    <cellStyle name="Note 3 3 2 8" xfId="2837" xr:uid="{00000000-0005-0000-0000-0000BC210000}"/>
    <cellStyle name="Note 3 3 2 8 2" xfId="7061" xr:uid="{00000000-0005-0000-0000-0000BD210000}"/>
    <cellStyle name="Note 3 3 2 8 2 2" xfId="15503" xr:uid="{3508BEDB-5A76-4366-89D1-0B5ABBABFA73}"/>
    <cellStyle name="Note 3 3 2 8 2 3" xfId="23943" xr:uid="{6E32F39A-D517-434E-AFCA-E2096A19B908}"/>
    <cellStyle name="Note 3 3 2 8 3" xfId="11285" xr:uid="{A8E9FA89-2D97-4051-B040-80A1A239A5F7}"/>
    <cellStyle name="Note 3 3 2 8 4" xfId="19726" xr:uid="{A99EFC6A-6700-4A9A-8C08-D817245E3682}"/>
    <cellStyle name="Note 3 3 2 9" xfId="4916" xr:uid="{00000000-0005-0000-0000-0000BE210000}"/>
    <cellStyle name="Note 3 3 2 9 2" xfId="13358" xr:uid="{B9B92005-AA43-4098-807A-678C1F3B5BC0}"/>
    <cellStyle name="Note 3 3 2 9 3" xfId="21798" xr:uid="{7D0E8ED1-08C3-4B48-A1B4-E0980F066E5B}"/>
    <cellStyle name="Note 3 3 3" xfId="1018" xr:uid="{00000000-0005-0000-0000-0000BF210000}"/>
    <cellStyle name="Note 3 3 3 2" xfId="3250" xr:uid="{00000000-0005-0000-0000-0000C0210000}"/>
    <cellStyle name="Note 3 3 3 2 2" xfId="7473" xr:uid="{00000000-0005-0000-0000-0000C1210000}"/>
    <cellStyle name="Note 3 3 3 2 2 2" xfId="15915" xr:uid="{B4DD175A-6DF0-41D5-B212-9DF651BA3DF0}"/>
    <cellStyle name="Note 3 3 3 2 2 3" xfId="24355" xr:uid="{4240EE09-0D12-46AE-9522-95D438D9E9C0}"/>
    <cellStyle name="Note 3 3 3 2 3" xfId="11697" xr:uid="{963D5793-33ED-4D67-9694-B52D2BD79552}"/>
    <cellStyle name="Note 3 3 3 2 4" xfId="20138" xr:uid="{71C87A85-646B-492D-8770-6BFFAFE2E109}"/>
    <cellStyle name="Note 3 3 3 3" xfId="5328" xr:uid="{00000000-0005-0000-0000-0000C2210000}"/>
    <cellStyle name="Note 3 3 3 3 2" xfId="13770" xr:uid="{1067B0F7-1416-449D-9685-1CDC8DB9EB4C}"/>
    <cellStyle name="Note 3 3 3 3 3" xfId="22210" xr:uid="{4637C45E-811F-457D-B97E-4523466300F6}"/>
    <cellStyle name="Note 3 3 3 4" xfId="9552" xr:uid="{DD10F3CA-A112-4E30-B242-6176D83C82F2}"/>
    <cellStyle name="Note 3 3 3 5" xfId="17993" xr:uid="{30E649DC-BBEA-41CA-BBB9-806FA2AAA799}"/>
    <cellStyle name="Note 3 3 4" xfId="1433" xr:uid="{00000000-0005-0000-0000-0000C3210000}"/>
    <cellStyle name="Note 3 3 4 2" xfId="3663" xr:uid="{00000000-0005-0000-0000-0000C4210000}"/>
    <cellStyle name="Note 3 3 4 2 2" xfId="7886" xr:uid="{00000000-0005-0000-0000-0000C5210000}"/>
    <cellStyle name="Note 3 3 4 2 2 2" xfId="16328" xr:uid="{2AA9DEA1-6B88-4F41-BA22-A9989C827320}"/>
    <cellStyle name="Note 3 3 4 2 2 3" xfId="24768" xr:uid="{77FAE569-1C7B-4C5D-AA4B-09063D493371}"/>
    <cellStyle name="Note 3 3 4 2 3" xfId="12110" xr:uid="{212BF197-B22E-4889-9B7B-ADE7E0126B87}"/>
    <cellStyle name="Note 3 3 4 2 4" xfId="20551" xr:uid="{FB5014B4-3CEF-4742-8421-072BCB49F3AA}"/>
    <cellStyle name="Note 3 3 4 3" xfId="5741" xr:uid="{00000000-0005-0000-0000-0000C6210000}"/>
    <cellStyle name="Note 3 3 4 3 2" xfId="14183" xr:uid="{982025F6-790A-4D5C-BBF0-674E0FF879A8}"/>
    <cellStyle name="Note 3 3 4 3 3" xfId="22623" xr:uid="{BFF60AD1-28AE-4849-B10D-C08AED30F9A4}"/>
    <cellStyle name="Note 3 3 4 4" xfId="9965" xr:uid="{699A2A17-A0EF-4160-B190-50AA5BD00E3A}"/>
    <cellStyle name="Note 3 3 4 5" xfId="18406" xr:uid="{DCCDFB66-87EA-4BC4-AAA7-4FDEC26AA819}"/>
    <cellStyle name="Note 3 3 5" xfId="1847" xr:uid="{00000000-0005-0000-0000-0000C7210000}"/>
    <cellStyle name="Note 3 3 5 2" xfId="4076" xr:uid="{00000000-0005-0000-0000-0000C8210000}"/>
    <cellStyle name="Note 3 3 5 2 2" xfId="8299" xr:uid="{00000000-0005-0000-0000-0000C9210000}"/>
    <cellStyle name="Note 3 3 5 2 2 2" xfId="16741" xr:uid="{9354637F-7F29-45F7-A0C1-0C6679A98413}"/>
    <cellStyle name="Note 3 3 5 2 2 3" xfId="25181" xr:uid="{5E4FF441-0311-42F7-9588-2105FC8F2495}"/>
    <cellStyle name="Note 3 3 5 2 3" xfId="12523" xr:uid="{35500E4C-590E-4957-B02D-7CBE2289F5F2}"/>
    <cellStyle name="Note 3 3 5 2 4" xfId="20964" xr:uid="{31C9E449-A0E2-4084-A8E2-440469BBAF14}"/>
    <cellStyle name="Note 3 3 5 3" xfId="6154" xr:uid="{00000000-0005-0000-0000-0000CA210000}"/>
    <cellStyle name="Note 3 3 5 3 2" xfId="14596" xr:uid="{662F715C-7D4E-4F02-8E5A-44D0DCD6B56C}"/>
    <cellStyle name="Note 3 3 5 3 3" xfId="23036" xr:uid="{A58BAF45-7F0D-4AED-BA93-C031296F0570}"/>
    <cellStyle name="Note 3 3 5 4" xfId="10378" xr:uid="{97EFB364-4E93-42F1-8764-7BF1A567092C}"/>
    <cellStyle name="Note 3 3 5 5" xfId="18819" xr:uid="{52682958-FD43-4C61-838D-4C6B9BDEB8FB}"/>
    <cellStyle name="Note 3 3 6" xfId="2260" xr:uid="{00000000-0005-0000-0000-0000CB210000}"/>
    <cellStyle name="Note 3 3 6 2" xfId="4489" xr:uid="{00000000-0005-0000-0000-0000CC210000}"/>
    <cellStyle name="Note 3 3 6 2 2" xfId="8712" xr:uid="{00000000-0005-0000-0000-0000CD210000}"/>
    <cellStyle name="Note 3 3 6 2 2 2" xfId="17154" xr:uid="{ECAB5FF8-F32B-4F83-812E-186DB086F3D5}"/>
    <cellStyle name="Note 3 3 6 2 2 3" xfId="25594" xr:uid="{5C22585F-ACF2-45BE-B50F-69641D6D849D}"/>
    <cellStyle name="Note 3 3 6 2 3" xfId="12936" xr:uid="{DF259373-D7D0-459E-9941-A35BEA250A7F}"/>
    <cellStyle name="Note 3 3 6 2 4" xfId="21377" xr:uid="{C4092530-F7A9-4C5A-927C-A9263E435E87}"/>
    <cellStyle name="Note 3 3 6 3" xfId="6567" xr:uid="{00000000-0005-0000-0000-0000CE210000}"/>
    <cellStyle name="Note 3 3 6 3 2" xfId="15009" xr:uid="{7A766EBD-716B-4219-B510-AC3155944908}"/>
    <cellStyle name="Note 3 3 6 3 3" xfId="23449" xr:uid="{E2411CD3-2E26-4109-B669-7F22051E8765}"/>
    <cellStyle name="Note 3 3 6 4" xfId="10791" xr:uid="{1565C543-ED5D-47CC-AA1E-DC6C3930598A}"/>
    <cellStyle name="Note 3 3 6 5" xfId="19232" xr:uid="{DA45A67D-E79A-4D81-BAB3-BC98F3A4C342}"/>
    <cellStyle name="Note 3 3 7" xfId="2696" xr:uid="{00000000-0005-0000-0000-0000CF210000}"/>
    <cellStyle name="Note 3 3 7 2" xfId="6980" xr:uid="{00000000-0005-0000-0000-0000D0210000}"/>
    <cellStyle name="Note 3 3 7 2 2" xfId="15422" xr:uid="{6635A583-B188-4FEE-AC8C-B129AB128835}"/>
    <cellStyle name="Note 3 3 7 2 3" xfId="23862" xr:uid="{DEDDA114-465F-488E-A875-DE36F9C0AB9C}"/>
    <cellStyle name="Note 3 3 7 3" xfId="11204" xr:uid="{60381FAC-A26C-481B-B0C1-5A499A7D7F76}"/>
    <cellStyle name="Note 3 3 7 4" xfId="19645" xr:uid="{1EEEC166-3628-48C2-BC1E-AB8F981C26B5}"/>
    <cellStyle name="Note 3 3 8" xfId="2755" xr:uid="{00000000-0005-0000-0000-0000D1210000}"/>
    <cellStyle name="Note 3 3 9" xfId="2836" xr:uid="{00000000-0005-0000-0000-0000D2210000}"/>
    <cellStyle name="Note 3 3 9 2" xfId="7060" xr:uid="{00000000-0005-0000-0000-0000D3210000}"/>
    <cellStyle name="Note 3 3 9 2 2" xfId="15502" xr:uid="{EFDAEB2C-172E-407E-9037-C9ED210CF3E7}"/>
    <cellStyle name="Note 3 3 9 2 3" xfId="23942" xr:uid="{A39CAC85-DA9E-422A-B4B2-F72BD5344ED6}"/>
    <cellStyle name="Note 3 3 9 3" xfId="11284" xr:uid="{BC993DE4-42CE-4B7E-B1A7-29191D133AB9}"/>
    <cellStyle name="Note 3 3 9 4" xfId="19725" xr:uid="{7CD9A97B-9BDE-4F07-A9E2-9426591C1E32}"/>
    <cellStyle name="Note 3 4" xfId="560" xr:uid="{00000000-0005-0000-0000-0000D4210000}"/>
    <cellStyle name="Note 3 4 10" xfId="9141" xr:uid="{03E0DD7E-4410-459B-A061-0CC8EAB8F572}"/>
    <cellStyle name="Note 3 4 11" xfId="17582" xr:uid="{417ED2D5-EBAA-4844-AFD2-45C1389E7360}"/>
    <cellStyle name="Note 3 4 2" xfId="1020" xr:uid="{00000000-0005-0000-0000-0000D5210000}"/>
    <cellStyle name="Note 3 4 2 2" xfId="3252" xr:uid="{00000000-0005-0000-0000-0000D6210000}"/>
    <cellStyle name="Note 3 4 2 2 2" xfId="7475" xr:uid="{00000000-0005-0000-0000-0000D7210000}"/>
    <cellStyle name="Note 3 4 2 2 2 2" xfId="15917" xr:uid="{C7E9953B-594E-4CCF-908B-09B7357D3ADA}"/>
    <cellStyle name="Note 3 4 2 2 2 3" xfId="24357" xr:uid="{E6A7759A-C465-42E4-AA5D-79C2CBD09EB0}"/>
    <cellStyle name="Note 3 4 2 2 3" xfId="11699" xr:uid="{69E2DD69-7CCD-4E28-8255-92C2DF200F88}"/>
    <cellStyle name="Note 3 4 2 2 4" xfId="20140" xr:uid="{64ECCCC7-C99A-4989-8720-FB9BA73BBB94}"/>
    <cellStyle name="Note 3 4 2 3" xfId="5330" xr:uid="{00000000-0005-0000-0000-0000D8210000}"/>
    <cellStyle name="Note 3 4 2 3 2" xfId="13772" xr:uid="{577013FE-CD70-4EB0-A3AA-5BDDC8C06230}"/>
    <cellStyle name="Note 3 4 2 3 3" xfId="22212" xr:uid="{1AD359F1-CB0E-496B-9712-5061887C5523}"/>
    <cellStyle name="Note 3 4 2 4" xfId="9554" xr:uid="{79436A15-F970-4211-BB6D-2380893A4640}"/>
    <cellStyle name="Note 3 4 2 5" xfId="17995" xr:uid="{8EA259AC-93B0-4939-9FCD-6D2B770205D9}"/>
    <cellStyle name="Note 3 4 3" xfId="1435" xr:uid="{00000000-0005-0000-0000-0000D9210000}"/>
    <cellStyle name="Note 3 4 3 2" xfId="3665" xr:uid="{00000000-0005-0000-0000-0000DA210000}"/>
    <cellStyle name="Note 3 4 3 2 2" xfId="7888" xr:uid="{00000000-0005-0000-0000-0000DB210000}"/>
    <cellStyle name="Note 3 4 3 2 2 2" xfId="16330" xr:uid="{B10EA052-DA2F-4667-B8B4-CA11C5C86EE2}"/>
    <cellStyle name="Note 3 4 3 2 2 3" xfId="24770" xr:uid="{9AA8C933-FF9F-43CB-94D1-C3F8B958E6D0}"/>
    <cellStyle name="Note 3 4 3 2 3" xfId="12112" xr:uid="{FF9FAED1-BFA7-42B0-9734-0C047EC6B0CF}"/>
    <cellStyle name="Note 3 4 3 2 4" xfId="20553" xr:uid="{08ADEDDF-FBE8-4B9E-AE8F-36CDCA0F5C62}"/>
    <cellStyle name="Note 3 4 3 3" xfId="5743" xr:uid="{00000000-0005-0000-0000-0000DC210000}"/>
    <cellStyle name="Note 3 4 3 3 2" xfId="14185" xr:uid="{0DD42F19-0125-4C47-8216-BA976055F5E3}"/>
    <cellStyle name="Note 3 4 3 3 3" xfId="22625" xr:uid="{1BB4D781-5CD2-44C1-AA4D-842BF1984A02}"/>
    <cellStyle name="Note 3 4 3 4" xfId="9967" xr:uid="{AF2A6AA2-1000-46A1-A93C-EF002690E7D5}"/>
    <cellStyle name="Note 3 4 3 5" xfId="18408" xr:uid="{667FC722-6242-42BB-8A5D-712CB8DD95A0}"/>
    <cellStyle name="Note 3 4 4" xfId="1849" xr:uid="{00000000-0005-0000-0000-0000DD210000}"/>
    <cellStyle name="Note 3 4 4 2" xfId="4078" xr:uid="{00000000-0005-0000-0000-0000DE210000}"/>
    <cellStyle name="Note 3 4 4 2 2" xfId="8301" xr:uid="{00000000-0005-0000-0000-0000DF210000}"/>
    <cellStyle name="Note 3 4 4 2 2 2" xfId="16743" xr:uid="{CA278870-121A-4489-AE77-D43D3E3144B9}"/>
    <cellStyle name="Note 3 4 4 2 2 3" xfId="25183" xr:uid="{BD537305-A117-4F9C-B8FF-BBA9754D0F4E}"/>
    <cellStyle name="Note 3 4 4 2 3" xfId="12525" xr:uid="{C93C7CA3-C4CF-48A5-9FBA-F6BACBB3E56A}"/>
    <cellStyle name="Note 3 4 4 2 4" xfId="20966" xr:uid="{E5E39365-0B5F-4537-9B74-F312C9DB2F16}"/>
    <cellStyle name="Note 3 4 4 3" xfId="6156" xr:uid="{00000000-0005-0000-0000-0000E0210000}"/>
    <cellStyle name="Note 3 4 4 3 2" xfId="14598" xr:uid="{A6440562-9F48-410F-943D-B4B247D681AE}"/>
    <cellStyle name="Note 3 4 4 3 3" xfId="23038" xr:uid="{7DD9C563-AD5D-444A-A449-41AE7A7EBC12}"/>
    <cellStyle name="Note 3 4 4 4" xfId="10380" xr:uid="{D5A302B8-193A-4A8D-96DA-2C9D755D032E}"/>
    <cellStyle name="Note 3 4 4 5" xfId="18821" xr:uid="{4E789D63-55C3-43B1-B548-5BCEEFA14EB8}"/>
    <cellStyle name="Note 3 4 5" xfId="2262" xr:uid="{00000000-0005-0000-0000-0000E1210000}"/>
    <cellStyle name="Note 3 4 5 2" xfId="4491" xr:uid="{00000000-0005-0000-0000-0000E2210000}"/>
    <cellStyle name="Note 3 4 5 2 2" xfId="8714" xr:uid="{00000000-0005-0000-0000-0000E3210000}"/>
    <cellStyle name="Note 3 4 5 2 2 2" xfId="17156" xr:uid="{0DE9588F-B1C7-472A-9197-E4CBAEC2016F}"/>
    <cellStyle name="Note 3 4 5 2 2 3" xfId="25596" xr:uid="{D5941695-E53B-46AB-A4F2-0D188DD768B6}"/>
    <cellStyle name="Note 3 4 5 2 3" xfId="12938" xr:uid="{07AFCE2F-CBE1-4B00-82CB-39857FFC7A67}"/>
    <cellStyle name="Note 3 4 5 2 4" xfId="21379" xr:uid="{04FD8B82-7FF5-410D-9522-61A1F559DD31}"/>
    <cellStyle name="Note 3 4 5 3" xfId="6569" xr:uid="{00000000-0005-0000-0000-0000E4210000}"/>
    <cellStyle name="Note 3 4 5 3 2" xfId="15011" xr:uid="{7C737960-CD6D-4A7D-8D04-FB6B289FBA7B}"/>
    <cellStyle name="Note 3 4 5 3 3" xfId="23451" xr:uid="{4972D3B7-F086-4D77-A329-FE00449A2F9F}"/>
    <cellStyle name="Note 3 4 5 4" xfId="10793" xr:uid="{98DA484E-A80E-403F-B881-40A6F0C06F22}"/>
    <cellStyle name="Note 3 4 5 5" xfId="19234" xr:uid="{EAB73871-429C-4AAE-B3A2-8B37383D3C2B}"/>
    <cellStyle name="Note 3 4 6" xfId="2698" xr:uid="{00000000-0005-0000-0000-0000E5210000}"/>
    <cellStyle name="Note 3 4 6 2" xfId="6982" xr:uid="{00000000-0005-0000-0000-0000E6210000}"/>
    <cellStyle name="Note 3 4 6 2 2" xfId="15424" xr:uid="{AA01F83D-B9A9-47F7-82C6-2CD7E39ABC78}"/>
    <cellStyle name="Note 3 4 6 2 3" xfId="23864" xr:uid="{D11EB648-3C11-416C-867B-F6EF736D68F4}"/>
    <cellStyle name="Note 3 4 6 3" xfId="11206" xr:uid="{9C51C158-3DA1-4661-8F2A-191F3DD6C8DB}"/>
    <cellStyle name="Note 3 4 6 4" xfId="19647" xr:uid="{181C7450-F8A4-47A7-B68B-79287C305A39}"/>
    <cellStyle name="Note 3 4 7" xfId="2757" xr:uid="{00000000-0005-0000-0000-0000E7210000}"/>
    <cellStyle name="Note 3 4 8" xfId="2838" xr:uid="{00000000-0005-0000-0000-0000E8210000}"/>
    <cellStyle name="Note 3 4 8 2" xfId="7062" xr:uid="{00000000-0005-0000-0000-0000E9210000}"/>
    <cellStyle name="Note 3 4 8 2 2" xfId="15504" xr:uid="{F0C8A014-A316-4977-9314-CAC07C83B68C}"/>
    <cellStyle name="Note 3 4 8 2 3" xfId="23944" xr:uid="{3785DBA8-E339-431A-9A0F-A3B6DC358E7F}"/>
    <cellStyle name="Note 3 4 8 3" xfId="11286" xr:uid="{A15D500D-2FC8-43AE-AA1D-772C2B2AC102}"/>
    <cellStyle name="Note 3 4 8 4" xfId="19727" xr:uid="{D2788FC7-DA8F-4C1E-9523-67A9F3539DC2}"/>
    <cellStyle name="Note 3 4 9" xfId="4917" xr:uid="{00000000-0005-0000-0000-0000EA210000}"/>
    <cellStyle name="Note 3 4 9 2" xfId="13359" xr:uid="{1ACA5C77-3052-4060-B3F3-71F9E73F6F94}"/>
    <cellStyle name="Note 3 4 9 3" xfId="21799" xr:uid="{C56573C5-62A0-4FAD-B85B-6181AE6070B0}"/>
    <cellStyle name="Note 3 5" xfId="561" xr:uid="{00000000-0005-0000-0000-0000EB210000}"/>
    <cellStyle name="Note 3 5 10" xfId="9142" xr:uid="{7F9DFEC7-7F1E-4A4C-A6BE-8ACF84A8F728}"/>
    <cellStyle name="Note 3 5 11" xfId="17583" xr:uid="{28D3939B-C6B3-4E76-87F1-B8A26150D92A}"/>
    <cellStyle name="Note 3 5 2" xfId="1021" xr:uid="{00000000-0005-0000-0000-0000EC210000}"/>
    <cellStyle name="Note 3 5 2 2" xfId="3253" xr:uid="{00000000-0005-0000-0000-0000ED210000}"/>
    <cellStyle name="Note 3 5 2 2 2" xfId="7476" xr:uid="{00000000-0005-0000-0000-0000EE210000}"/>
    <cellStyle name="Note 3 5 2 2 2 2" xfId="15918" xr:uid="{0A1DC20B-AE3C-4EDF-B7E8-4EB103D6A177}"/>
    <cellStyle name="Note 3 5 2 2 2 3" xfId="24358" xr:uid="{60FEEDDD-8307-41C3-9D5C-ADBA4B7C767B}"/>
    <cellStyle name="Note 3 5 2 2 3" xfId="11700" xr:uid="{5F06B43B-FCD6-4720-AB8C-25C45D8D3825}"/>
    <cellStyle name="Note 3 5 2 2 4" xfId="20141" xr:uid="{4ECE53ED-09FC-43DB-B29D-9EA391F8698E}"/>
    <cellStyle name="Note 3 5 2 3" xfId="5331" xr:uid="{00000000-0005-0000-0000-0000EF210000}"/>
    <cellStyle name="Note 3 5 2 3 2" xfId="13773" xr:uid="{A68612C3-0A0A-4D2B-86CB-E1AEC99BE041}"/>
    <cellStyle name="Note 3 5 2 3 3" xfId="22213" xr:uid="{A613CBF7-3E54-46F5-ACE9-7B2722D58A4F}"/>
    <cellStyle name="Note 3 5 2 4" xfId="9555" xr:uid="{CC71DFAD-DA8F-48BC-8582-B3B5EC9DC33F}"/>
    <cellStyle name="Note 3 5 2 5" xfId="17996" xr:uid="{D3ED717A-96B9-470E-A270-367E8D976CD6}"/>
    <cellStyle name="Note 3 5 3" xfId="1436" xr:uid="{00000000-0005-0000-0000-0000F0210000}"/>
    <cellStyle name="Note 3 5 3 2" xfId="3666" xr:uid="{00000000-0005-0000-0000-0000F1210000}"/>
    <cellStyle name="Note 3 5 3 2 2" xfId="7889" xr:uid="{00000000-0005-0000-0000-0000F2210000}"/>
    <cellStyle name="Note 3 5 3 2 2 2" xfId="16331" xr:uid="{60806561-9BC3-4143-BA03-4EAF78CF6E92}"/>
    <cellStyle name="Note 3 5 3 2 2 3" xfId="24771" xr:uid="{F2A2C7CB-3F7E-4544-83EF-141290AE7909}"/>
    <cellStyle name="Note 3 5 3 2 3" xfId="12113" xr:uid="{664A7A05-5548-4400-A200-752589175C55}"/>
    <cellStyle name="Note 3 5 3 2 4" xfId="20554" xr:uid="{D3432E9C-E05A-4AAD-AAE6-8A1CE78BD0DE}"/>
    <cellStyle name="Note 3 5 3 3" xfId="5744" xr:uid="{00000000-0005-0000-0000-0000F3210000}"/>
    <cellStyle name="Note 3 5 3 3 2" xfId="14186" xr:uid="{65E7545D-7E37-49BA-A874-293FED316F1C}"/>
    <cellStyle name="Note 3 5 3 3 3" xfId="22626" xr:uid="{481E035F-AD95-44FE-8FA4-AE0B8FEF6995}"/>
    <cellStyle name="Note 3 5 3 4" xfId="9968" xr:uid="{23E397B9-B8AE-4D57-9A6F-CC99F2693B72}"/>
    <cellStyle name="Note 3 5 3 5" xfId="18409" xr:uid="{8E33C550-1466-4B5D-B201-F868E5BE0C5F}"/>
    <cellStyle name="Note 3 5 4" xfId="1850" xr:uid="{00000000-0005-0000-0000-0000F4210000}"/>
    <cellStyle name="Note 3 5 4 2" xfId="4079" xr:uid="{00000000-0005-0000-0000-0000F5210000}"/>
    <cellStyle name="Note 3 5 4 2 2" xfId="8302" xr:uid="{00000000-0005-0000-0000-0000F6210000}"/>
    <cellStyle name="Note 3 5 4 2 2 2" xfId="16744" xr:uid="{2CD076D5-92EC-44CA-8273-3FEA05C02BF1}"/>
    <cellStyle name="Note 3 5 4 2 2 3" xfId="25184" xr:uid="{107923CF-80DD-41F9-ABC7-94A2C011781B}"/>
    <cellStyle name="Note 3 5 4 2 3" xfId="12526" xr:uid="{DFBEB095-DAC8-4CBC-A357-B471BB85F8C1}"/>
    <cellStyle name="Note 3 5 4 2 4" xfId="20967" xr:uid="{C594485E-5200-4D0E-99C0-C9E679910142}"/>
    <cellStyle name="Note 3 5 4 3" xfId="6157" xr:uid="{00000000-0005-0000-0000-0000F7210000}"/>
    <cellStyle name="Note 3 5 4 3 2" xfId="14599" xr:uid="{E83B8E6F-9F95-4AA7-94AD-6B3D5116B298}"/>
    <cellStyle name="Note 3 5 4 3 3" xfId="23039" xr:uid="{25E72D6F-1CE2-4DFE-BB62-401DF63AA384}"/>
    <cellStyle name="Note 3 5 4 4" xfId="10381" xr:uid="{C7B4CEAA-1F18-4624-869F-FAF3E0BE1943}"/>
    <cellStyle name="Note 3 5 4 5" xfId="18822" xr:uid="{D310247B-3438-4D36-BE1C-641FB238ABB5}"/>
    <cellStyle name="Note 3 5 5" xfId="2263" xr:uid="{00000000-0005-0000-0000-0000F8210000}"/>
    <cellStyle name="Note 3 5 5 2" xfId="4492" xr:uid="{00000000-0005-0000-0000-0000F9210000}"/>
    <cellStyle name="Note 3 5 5 2 2" xfId="8715" xr:uid="{00000000-0005-0000-0000-0000FA210000}"/>
    <cellStyle name="Note 3 5 5 2 2 2" xfId="17157" xr:uid="{7FA192F1-B26A-4587-8915-76D895A79A19}"/>
    <cellStyle name="Note 3 5 5 2 2 3" xfId="25597" xr:uid="{D1D69102-949F-4EA1-912E-A26F9E0AD626}"/>
    <cellStyle name="Note 3 5 5 2 3" xfId="12939" xr:uid="{F6701A3B-57C4-4589-AD1C-D847A2DEB7F5}"/>
    <cellStyle name="Note 3 5 5 2 4" xfId="21380" xr:uid="{15822308-782D-4077-8BB9-F466FACB00EA}"/>
    <cellStyle name="Note 3 5 5 3" xfId="6570" xr:uid="{00000000-0005-0000-0000-0000FB210000}"/>
    <cellStyle name="Note 3 5 5 3 2" xfId="15012" xr:uid="{86B2FAC6-CD18-4E0F-9E47-5D22E010F26A}"/>
    <cellStyle name="Note 3 5 5 3 3" xfId="23452" xr:uid="{C64BFEE4-83F5-47E1-8B97-6D124C82E63A}"/>
    <cellStyle name="Note 3 5 5 4" xfId="10794" xr:uid="{6608D750-A624-48D4-84A6-4EBC5DACF20B}"/>
    <cellStyle name="Note 3 5 5 5" xfId="19235" xr:uid="{A6A9F883-504F-4525-9E69-07EFAE2CD6E8}"/>
    <cellStyle name="Note 3 5 6" xfId="2699" xr:uid="{00000000-0005-0000-0000-0000FC210000}"/>
    <cellStyle name="Note 3 5 6 2" xfId="6983" xr:uid="{00000000-0005-0000-0000-0000FD210000}"/>
    <cellStyle name="Note 3 5 6 2 2" xfId="15425" xr:uid="{FDF4E0DD-170D-4A5E-90CC-3E576DC8F2C3}"/>
    <cellStyle name="Note 3 5 6 2 3" xfId="23865" xr:uid="{8BDB2984-8B0F-4F9F-A304-C11A8DBF775B}"/>
    <cellStyle name="Note 3 5 6 3" xfId="11207" xr:uid="{ADE6B73A-814F-4F13-A6B4-6874CC878ED6}"/>
    <cellStyle name="Note 3 5 6 4" xfId="19648" xr:uid="{47FD7BA6-699D-47EA-8CFD-903CF91510A3}"/>
    <cellStyle name="Note 3 5 7" xfId="2758" xr:uid="{00000000-0005-0000-0000-0000FE210000}"/>
    <cellStyle name="Note 3 5 8" xfId="2839" xr:uid="{00000000-0005-0000-0000-0000FF210000}"/>
    <cellStyle name="Note 3 5 8 2" xfId="7063" xr:uid="{00000000-0005-0000-0000-000000220000}"/>
    <cellStyle name="Note 3 5 8 2 2" xfId="15505" xr:uid="{678789F3-8A1A-47CA-AC8A-5755757B179D}"/>
    <cellStyle name="Note 3 5 8 2 3" xfId="23945" xr:uid="{89126D87-0EA0-4965-8C18-00F993710514}"/>
    <cellStyle name="Note 3 5 8 3" xfId="11287" xr:uid="{0CC0A1A3-54B3-4BC9-8663-07D031AEC792}"/>
    <cellStyle name="Note 3 5 8 4" xfId="19728" xr:uid="{65EDF7C2-9B8A-4E1D-AA4F-55C2F3F92062}"/>
    <cellStyle name="Note 3 5 9" xfId="4918" xr:uid="{00000000-0005-0000-0000-000001220000}"/>
    <cellStyle name="Note 3 5 9 2" xfId="13360" xr:uid="{5DF6B72B-9FEA-4A40-BED1-C05E3727A288}"/>
    <cellStyle name="Note 3 5 9 3" xfId="21800" xr:uid="{5D3AF2BF-C525-4D41-8D63-E3BA685A61F5}"/>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43" xr:uid="{36698AC4-117F-4E8F-88B5-51C6908F6324}"/>
    <cellStyle name="Percent 3 3" xfId="21383" xr:uid="{2D331618-C782-419C-B93C-FDA8DBE7EF74}"/>
    <cellStyle name="Percent 4" xfId="4502" xr:uid="{00000000-0005-0000-0000-000007220000}"/>
    <cellStyle name="Percent 4 2" xfId="8718" xr:uid="{00000000-0005-0000-0000-000008220000}"/>
    <cellStyle name="Percent 4 2 2" xfId="17160" xr:uid="{D82C1446-AA4D-450E-A9B9-589D6A38016D}"/>
    <cellStyle name="Percent 4 2 3" xfId="25600" xr:uid="{51C09F78-1008-4051-A086-68ED3EF9D050}"/>
    <cellStyle name="Percent 4 3" xfId="8721" xr:uid="{D09CD3FC-D632-4B66-A68A-5CC92F993799}"/>
    <cellStyle name="Percent 4 3 2" xfId="8725" xr:uid="{D57AE941-8E59-43F0-AB73-09B3BCCFA234}"/>
    <cellStyle name="Percent 4 3 2 2" xfId="8728" xr:uid="{D24D76A7-D076-4554-9944-551B122393DE}"/>
    <cellStyle name="Percent 4 3 2 2 2" xfId="17169" xr:uid="{812AE8C9-61E0-41C9-9086-69FBD92D13BC}"/>
    <cellStyle name="Percent 4 3 2 2 3" xfId="25609" xr:uid="{ECE0F1E3-477F-4619-BAB5-34291FF015CE}"/>
    <cellStyle name="Percent 4 3 2 3" xfId="17166" xr:uid="{258D7F2D-5956-4FBB-8500-9C91A7EF213F}"/>
    <cellStyle name="Percent 4 3 2 4" xfId="25606" xr:uid="{476B1EAB-AAF7-4C1B-94E4-AA5312DA9594}"/>
    <cellStyle name="Percent 4 3 3" xfId="17163" xr:uid="{B06153FE-5B0B-477F-A8F0-9C71C5AE3A81}"/>
    <cellStyle name="Percent 4 3 4" xfId="25603" xr:uid="{77890A59-4ED1-4E44-BB94-98C344C604E3}"/>
    <cellStyle name="Percent 4 4" xfId="12946" xr:uid="{E34DBA89-2267-4A5C-A286-1BA7D3605566}"/>
    <cellStyle name="Percent 4 5" xfId="21386" xr:uid="{3DF52194-381B-4ECA-BA51-A69C928C21AC}"/>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18194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662</v>
      </c>
      <c r="F42" s="1264" t="s">
        <v>1271</v>
      </c>
    </row>
    <row r="43" spans="1:38" s="1264"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4" t="s">
        <v>2412</v>
      </c>
      <c r="B1" s="2565"/>
      <c r="C1" s="2565"/>
      <c r="D1" s="2565"/>
      <c r="E1" s="2565"/>
      <c r="F1" s="2565"/>
      <c r="G1" s="2565"/>
      <c r="H1" s="2565"/>
      <c r="I1" s="2565"/>
      <c r="J1" s="2565"/>
      <c r="K1" s="2565"/>
      <c r="L1" s="2565"/>
      <c r="M1" s="2565"/>
      <c r="N1" s="2565"/>
      <c r="O1" s="2565"/>
      <c r="P1" s="2565"/>
      <c r="Q1" s="2565"/>
      <c r="R1" s="2565"/>
      <c r="S1" s="2565"/>
      <c r="T1" s="2565"/>
      <c r="U1" s="2565"/>
      <c r="V1" s="2565"/>
      <c r="W1" s="2565"/>
      <c r="X1" s="2565"/>
      <c r="Y1" s="2565"/>
      <c r="Z1" s="2565"/>
      <c r="AA1" s="2565"/>
      <c r="AB1" s="2565"/>
      <c r="AC1" s="2565"/>
      <c r="AD1" s="2565"/>
      <c r="AE1" s="2565"/>
      <c r="AF1" s="2565"/>
      <c r="AG1" s="2565"/>
      <c r="AH1" s="2565"/>
      <c r="AI1" s="2565"/>
      <c r="AJ1" s="2565"/>
      <c r="AK1" s="2565"/>
      <c r="AL1" s="2565"/>
      <c r="AM1" s="2565"/>
      <c r="AN1" s="2565"/>
      <c r="AO1" s="2565"/>
      <c r="AP1" s="2565"/>
      <c r="AQ1" s="2565"/>
      <c r="AR1" s="2565"/>
      <c r="AS1" s="2565"/>
      <c r="AT1" s="2565"/>
      <c r="AU1" s="2565"/>
      <c r="AV1" s="2565"/>
      <c r="AW1" s="2565"/>
      <c r="AX1" s="2565"/>
      <c r="AY1" s="2565"/>
      <c r="AZ1" s="2565"/>
      <c r="BA1" s="2565"/>
      <c r="BB1" s="2565"/>
      <c r="BC1" s="2565"/>
      <c r="BD1" s="2565"/>
      <c r="BE1" s="2566"/>
    </row>
    <row r="2" spans="1:65" ht="15.75" customHeight="1">
      <c r="A2" s="2567" t="s">
        <v>2459</v>
      </c>
      <c r="B2" s="2568"/>
      <c r="C2" s="2568"/>
      <c r="D2" s="2568"/>
      <c r="E2" s="2568"/>
      <c r="F2" s="2568"/>
      <c r="G2" s="2568"/>
      <c r="H2" s="2568"/>
      <c r="I2" s="2568"/>
      <c r="J2" s="2568"/>
      <c r="K2" s="2568"/>
      <c r="L2" s="2568"/>
      <c r="M2" s="2568"/>
      <c r="N2" s="2568"/>
      <c r="O2" s="2568"/>
      <c r="P2" s="2568"/>
      <c r="Q2" s="2568"/>
      <c r="R2" s="2568"/>
      <c r="S2" s="2568"/>
      <c r="T2" s="2568"/>
      <c r="U2" s="2568"/>
      <c r="V2" s="2568"/>
      <c r="W2" s="2568"/>
      <c r="X2" s="2568"/>
      <c r="Y2" s="2568"/>
      <c r="Z2" s="2568"/>
      <c r="AA2" s="2568"/>
      <c r="AB2" s="2568"/>
      <c r="AC2" s="2568"/>
      <c r="AD2" s="2568"/>
      <c r="AE2" s="2568"/>
      <c r="AF2" s="2568"/>
      <c r="AG2" s="2568"/>
      <c r="AH2" s="2568"/>
      <c r="AI2" s="2568"/>
      <c r="AJ2" s="2568"/>
      <c r="AK2" s="2568"/>
      <c r="AL2" s="2568"/>
      <c r="AM2" s="2568"/>
      <c r="AN2" s="2568"/>
      <c r="AO2" s="2568"/>
      <c r="AP2" s="2568"/>
      <c r="AQ2" s="2568"/>
      <c r="AR2" s="2568"/>
      <c r="AS2" s="2568"/>
      <c r="AT2" s="2568"/>
      <c r="AU2" s="2568"/>
      <c r="AV2" s="2568"/>
      <c r="AW2" s="2568"/>
      <c r="AX2" s="2568"/>
      <c r="AY2" s="2568"/>
      <c r="AZ2" s="2568"/>
      <c r="BA2" s="2568"/>
      <c r="BB2" s="2568"/>
      <c r="BC2" s="2568"/>
      <c r="BD2" s="2568"/>
      <c r="BE2" s="2569"/>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70" t="str">
        <f>IF(Application!H18="","",Application!H18)</f>
        <v>Shiloh Arms</v>
      </c>
      <c r="M4" s="2571"/>
      <c r="N4" s="2571"/>
      <c r="O4" s="2571"/>
      <c r="P4" s="2571"/>
      <c r="Q4" s="2571"/>
      <c r="R4" s="2571"/>
      <c r="S4" s="2571"/>
      <c r="T4" s="2571"/>
      <c r="U4" s="2571"/>
      <c r="V4" s="2571"/>
      <c r="W4" s="2571"/>
      <c r="X4" s="2571"/>
      <c r="Y4" s="2571"/>
      <c r="Z4" s="2571"/>
      <c r="AA4" s="2571"/>
      <c r="AB4" s="2571"/>
      <c r="AC4" s="2572"/>
      <c r="AD4" s="1206"/>
      <c r="AE4" s="1206"/>
      <c r="AF4" s="2217" t="s">
        <v>2460</v>
      </c>
      <c r="AG4" s="2217"/>
      <c r="AH4" s="2217"/>
      <c r="AI4" s="2217"/>
      <c r="AJ4" s="2217"/>
      <c r="AK4" s="2217"/>
      <c r="AL4" s="2217"/>
      <c r="AM4" s="2217"/>
      <c r="AN4" s="2217"/>
      <c r="AO4" s="2217"/>
      <c r="AP4" s="2218"/>
      <c r="AQ4" s="2219"/>
      <c r="AR4" s="2219"/>
      <c r="AS4" s="2219"/>
      <c r="AT4" s="2219"/>
      <c r="AU4" s="2219"/>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7" t="s">
        <v>2461</v>
      </c>
      <c r="AG5" s="2217"/>
      <c r="AH5" s="2217"/>
      <c r="AI5" s="2217"/>
      <c r="AJ5" s="2217"/>
      <c r="AK5" s="2217"/>
      <c r="AL5" s="2217"/>
      <c r="AM5" s="2217"/>
      <c r="AN5" s="2217"/>
      <c r="AO5" s="2217"/>
      <c r="AP5" s="2218"/>
      <c r="AQ5" s="2219"/>
      <c r="AR5" s="2219"/>
      <c r="AS5" s="2219"/>
      <c r="AT5" s="2219"/>
      <c r="AU5" s="2219"/>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70" t="str">
        <f>IF(Application!H16="","",Application!H16)</f>
        <v>OAHS Shiloh TC LP</v>
      </c>
      <c r="M6" s="2571"/>
      <c r="N6" s="2571"/>
      <c r="O6" s="2571"/>
      <c r="P6" s="2571"/>
      <c r="Q6" s="2571"/>
      <c r="R6" s="2571"/>
      <c r="S6" s="2571"/>
      <c r="T6" s="2571"/>
      <c r="U6" s="2571"/>
      <c r="V6" s="2571"/>
      <c r="W6" s="2571"/>
      <c r="X6" s="2571"/>
      <c r="Y6" s="2571"/>
      <c r="Z6" s="2571"/>
      <c r="AA6" s="2571"/>
      <c r="AB6" s="2571"/>
      <c r="AC6" s="2572"/>
      <c r="AD6" s="1206"/>
      <c r="AE6" s="1206"/>
      <c r="AF6" s="2573" t="s">
        <v>2462</v>
      </c>
      <c r="AG6" s="2573"/>
      <c r="AH6" s="2573"/>
      <c r="AI6" s="2573"/>
      <c r="AJ6" s="2573"/>
      <c r="AK6" s="2573"/>
      <c r="AL6" s="2573"/>
      <c r="AM6" s="2573"/>
      <c r="AN6" s="2573"/>
      <c r="AO6" s="2573"/>
      <c r="AP6" s="2563">
        <v>0</v>
      </c>
      <c r="AQ6" s="2563"/>
      <c r="AR6" s="2563"/>
      <c r="AS6" s="2563"/>
      <c r="AT6" s="2563"/>
      <c r="AU6" s="2563"/>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3" t="s">
        <v>2463</v>
      </c>
      <c r="AG7" s="2573"/>
      <c r="AH7" s="2573"/>
      <c r="AI7" s="2573"/>
      <c r="AJ7" s="2573"/>
      <c r="AK7" s="2573"/>
      <c r="AL7" s="2573"/>
      <c r="AM7" s="2573"/>
      <c r="AN7" s="2573"/>
      <c r="AO7" s="2573"/>
      <c r="AP7" s="2563">
        <v>0</v>
      </c>
      <c r="AQ7" s="2563"/>
      <c r="AR7" s="2563"/>
      <c r="AS7" s="2563"/>
      <c r="AT7" s="2563"/>
      <c r="AU7" s="2563"/>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4" t="str">
        <f>Application!T197</f>
        <v>No</v>
      </c>
      <c r="AC8" s="2575"/>
      <c r="AD8" s="2576"/>
      <c r="AE8" s="1206"/>
      <c r="AF8" s="2573" t="s">
        <v>2464</v>
      </c>
      <c r="AG8" s="2573"/>
      <c r="AH8" s="2573"/>
      <c r="AI8" s="2573"/>
      <c r="AJ8" s="2573"/>
      <c r="AK8" s="2573"/>
      <c r="AL8" s="2573"/>
      <c r="AM8" s="2573"/>
      <c r="AN8" s="2573"/>
      <c r="AO8" s="2573"/>
      <c r="AP8" s="2563" t="s">
        <v>2416</v>
      </c>
      <c r="AQ8" s="2563"/>
      <c r="AR8" s="2563"/>
      <c r="AS8" s="2563"/>
      <c r="AT8" s="2563"/>
      <c r="AU8" s="2563"/>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7" t="s">
        <v>2622</v>
      </c>
      <c r="AG9" s="2217"/>
      <c r="AH9" s="2217"/>
      <c r="AI9" s="2217"/>
      <c r="AJ9" s="2217"/>
      <c r="AK9" s="2217"/>
      <c r="AL9" s="2217"/>
      <c r="AM9" s="2217"/>
      <c r="AN9" s="2217"/>
      <c r="AO9" s="2217"/>
      <c r="AP9" s="2218"/>
      <c r="AQ9" s="2219"/>
      <c r="AR9" s="2219"/>
      <c r="AS9" s="2219"/>
      <c r="AT9" s="2219"/>
      <c r="AU9" s="2219"/>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545">
        <f>Application!AO627</f>
        <v>22831177</v>
      </c>
      <c r="O10" s="2545"/>
      <c r="P10" s="2545"/>
      <c r="Q10" s="2545"/>
      <c r="R10" s="2545"/>
      <c r="S10" s="2545"/>
      <c r="T10" s="2545"/>
      <c r="U10" s="1206"/>
      <c r="V10" s="1206"/>
      <c r="W10" s="1206"/>
      <c r="X10" s="1255"/>
      <c r="Y10" s="1255"/>
      <c r="Z10" s="1255"/>
      <c r="AA10" s="1255"/>
      <c r="AB10" s="1255"/>
      <c r="AC10" s="1255"/>
      <c r="AD10" s="1255"/>
      <c r="AE10" s="1255"/>
      <c r="AF10" s="2217" t="s">
        <v>2621</v>
      </c>
      <c r="AG10" s="2217"/>
      <c r="AH10" s="2217"/>
      <c r="AI10" s="2217"/>
      <c r="AJ10" s="2217"/>
      <c r="AK10" s="2217"/>
      <c r="AL10" s="2217"/>
      <c r="AM10" s="2217"/>
      <c r="AN10" s="2217"/>
      <c r="AO10" s="2217"/>
      <c r="AP10" s="2218"/>
      <c r="AQ10" s="2219"/>
      <c r="AR10" s="2219"/>
      <c r="AS10" s="2219"/>
      <c r="AT10" s="2219"/>
      <c r="AU10" s="2219"/>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545">
        <f>Application!AA933</f>
        <v>0</v>
      </c>
      <c r="O11" s="2545"/>
      <c r="P11" s="2545"/>
      <c r="Q11" s="2545"/>
      <c r="R11" s="2545"/>
      <c r="S11" s="2545"/>
      <c r="T11" s="2545"/>
      <c r="U11" s="1206"/>
      <c r="V11" s="1206"/>
      <c r="W11" s="1206"/>
      <c r="X11" s="1255"/>
      <c r="Y11" s="1255"/>
      <c r="Z11" s="1255"/>
      <c r="AA11" s="1255"/>
      <c r="AB11" s="1255"/>
      <c r="AC11" s="1255"/>
      <c r="AD11" s="1255"/>
      <c r="AE11" s="1255"/>
      <c r="AF11" s="2217" t="s">
        <v>2620</v>
      </c>
      <c r="AG11" s="2217"/>
      <c r="AH11" s="2217"/>
      <c r="AI11" s="2217"/>
      <c r="AJ11" s="2217"/>
      <c r="AK11" s="2217"/>
      <c r="AL11" s="2217"/>
      <c r="AM11" s="2217"/>
      <c r="AN11" s="2217"/>
      <c r="AO11" s="2217"/>
      <c r="AP11" s="2218"/>
      <c r="AQ11" s="2219"/>
      <c r="AR11" s="2219"/>
      <c r="AS11" s="2219"/>
      <c r="AT11" s="2219"/>
      <c r="AU11" s="2219"/>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552" t="s">
        <v>1793</v>
      </c>
      <c r="C13" s="2553"/>
      <c r="D13" s="2553"/>
      <c r="E13" s="2553"/>
      <c r="F13" s="2553"/>
      <c r="G13" s="2553"/>
      <c r="H13" s="2553"/>
      <c r="I13" s="2553"/>
      <c r="J13" s="2553"/>
      <c r="K13" s="2553"/>
      <c r="L13" s="2553"/>
      <c r="M13" s="2553"/>
      <c r="N13" s="2553"/>
      <c r="O13" s="2553"/>
      <c r="P13" s="2554"/>
      <c r="Q13" s="2555" t="s">
        <v>678</v>
      </c>
      <c r="R13" s="2556"/>
      <c r="S13" s="2556"/>
      <c r="T13" s="2557"/>
      <c r="U13" s="1255"/>
      <c r="V13" s="1206"/>
      <c r="W13" s="1206"/>
      <c r="X13" s="1206"/>
      <c r="Y13" s="1206"/>
      <c r="Z13" s="1206"/>
      <c r="AA13" s="2546" t="s">
        <v>2466</v>
      </c>
      <c r="AB13" s="2546"/>
      <c r="AC13" s="2546"/>
      <c r="AD13" s="2546"/>
      <c r="AE13" s="2546"/>
      <c r="AF13" s="2546"/>
      <c r="AG13" s="2546"/>
      <c r="AH13" s="2546"/>
      <c r="AI13" s="2546"/>
      <c r="AJ13" s="2546"/>
      <c r="AK13" s="2546"/>
      <c r="AL13" s="2546"/>
      <c r="AM13" s="2546"/>
      <c r="AN13" s="2546"/>
      <c r="AO13" s="2547">
        <f>Application!W473</f>
        <v>6</v>
      </c>
      <c r="AP13" s="2548"/>
      <c r="AQ13" s="2548"/>
      <c r="AR13" s="2548"/>
      <c r="AS13" s="2548"/>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9" t="s">
        <v>2468</v>
      </c>
      <c r="AB14" s="2549"/>
      <c r="AC14" s="2549"/>
      <c r="AD14" s="2549"/>
      <c r="AE14" s="2549"/>
      <c r="AF14" s="2549"/>
      <c r="AG14" s="2549"/>
      <c r="AH14" s="2549"/>
      <c r="AI14" s="2549"/>
      <c r="AJ14" s="2549"/>
      <c r="AK14" s="2549"/>
      <c r="AL14" s="2549"/>
      <c r="AM14" s="2549"/>
      <c r="AN14" s="2549"/>
      <c r="AO14" s="2550"/>
      <c r="AP14" s="2551"/>
      <c r="AQ14" s="2551"/>
      <c r="AR14" s="2551"/>
      <c r="AS14" s="2551"/>
      <c r="AT14" s="1255"/>
      <c r="AU14" s="1255"/>
      <c r="AV14" s="1255"/>
      <c r="AW14" s="1255"/>
      <c r="AX14" s="1255"/>
      <c r="AY14" s="1255"/>
      <c r="AZ14" s="1255"/>
      <c r="BA14" s="1255"/>
      <c r="BB14" s="1255"/>
      <c r="BC14" s="1255"/>
      <c r="BD14" s="1255"/>
      <c r="BE14" s="1202"/>
    </row>
    <row r="15" spans="1:65" thickBot="1">
      <c r="A15" s="1206"/>
      <c r="B15" s="2558" t="s">
        <v>1794</v>
      </c>
      <c r="C15" s="2559"/>
      <c r="D15" s="2559"/>
      <c r="E15" s="2559"/>
      <c r="F15" s="2559"/>
      <c r="G15" s="2559"/>
      <c r="H15" s="2559"/>
      <c r="I15" s="2559"/>
      <c r="J15" s="2559"/>
      <c r="K15" s="2559"/>
      <c r="L15" s="2559"/>
      <c r="M15" s="2559"/>
      <c r="N15" s="2559"/>
      <c r="O15" s="2559"/>
      <c r="P15" s="2559"/>
      <c r="Q15" s="2559"/>
      <c r="R15" s="2560"/>
      <c r="S15" s="2561" t="str">
        <f>IF(Application!AB214="","",Application!AB214)</f>
        <v/>
      </c>
      <c r="T15" s="2561"/>
      <c r="U15" s="2561"/>
      <c r="V15" s="2561"/>
      <c r="W15" s="2562"/>
      <c r="X15" s="1255"/>
      <c r="Y15" s="1206"/>
      <c r="Z15" s="1206"/>
      <c r="AA15" s="2546" t="s">
        <v>2469</v>
      </c>
      <c r="AB15" s="2546"/>
      <c r="AC15" s="2546"/>
      <c r="AD15" s="2546"/>
      <c r="AE15" s="2546"/>
      <c r="AF15" s="2546"/>
      <c r="AG15" s="2546"/>
      <c r="AH15" s="2546"/>
      <c r="AI15" s="2546"/>
      <c r="AJ15" s="2546"/>
      <c r="AK15" s="2546"/>
      <c r="AL15" s="2546"/>
      <c r="AM15" s="2546"/>
      <c r="AN15" s="2546"/>
      <c r="AO15" s="2550"/>
      <c r="AP15" s="2551"/>
      <c r="AQ15" s="2551"/>
      <c r="AR15" s="2551"/>
      <c r="AS15" s="2551"/>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6" t="s">
        <v>1795</v>
      </c>
      <c r="C17" s="2427"/>
      <c r="D17" s="2427"/>
      <c r="E17" s="2427"/>
      <c r="F17" s="2427"/>
      <c r="G17" s="2427"/>
      <c r="H17" s="2427"/>
      <c r="I17" s="2427"/>
      <c r="J17" s="2427"/>
      <c r="K17" s="2427"/>
      <c r="L17" s="2427"/>
      <c r="M17" s="2427"/>
      <c r="N17" s="2427"/>
      <c r="O17" s="2427"/>
      <c r="P17" s="2427"/>
      <c r="Q17" s="2427"/>
      <c r="R17" s="2427"/>
      <c r="S17" s="2427"/>
      <c r="T17" s="2427"/>
      <c r="U17" s="2427"/>
      <c r="V17" s="2427"/>
      <c r="W17" s="2427"/>
      <c r="X17" s="2427"/>
      <c r="Y17" s="2427"/>
      <c r="Z17" s="2427"/>
      <c r="AA17" s="2427"/>
      <c r="AB17" s="2427"/>
      <c r="AC17" s="2427"/>
      <c r="AD17" s="2427"/>
      <c r="AE17" s="2427"/>
      <c r="AF17" s="2427"/>
      <c r="AG17" s="2427"/>
      <c r="AH17" s="2427"/>
      <c r="AI17" s="2427"/>
      <c r="AJ17" s="2427"/>
      <c r="AK17" s="2427"/>
      <c r="AL17" s="2427"/>
      <c r="AM17" s="2427"/>
      <c r="AN17" s="2427"/>
      <c r="AO17" s="2427"/>
      <c r="AP17" s="2427"/>
      <c r="AQ17" s="2427"/>
      <c r="AR17" s="2427"/>
      <c r="AS17" s="2427"/>
      <c r="AT17" s="2427"/>
      <c r="AU17" s="2427"/>
      <c r="AV17" s="2427"/>
      <c r="AW17" s="2427"/>
      <c r="AX17" s="2427"/>
      <c r="AY17" s="2428"/>
      <c r="AZ17" s="1206"/>
      <c r="BA17" s="1206"/>
      <c r="BB17" s="1206"/>
      <c r="BC17" s="1206"/>
      <c r="BD17" s="1206"/>
      <c r="BE17" s="1202"/>
      <c r="BF17" s="1198"/>
    </row>
    <row r="18" spans="1:58" ht="15.75" customHeight="1">
      <c r="A18" s="1206"/>
      <c r="B18" s="2538" t="s">
        <v>1796</v>
      </c>
      <c r="C18" s="2539"/>
      <c r="D18" s="2539"/>
      <c r="E18" s="2539"/>
      <c r="F18" s="2539"/>
      <c r="G18" s="2539"/>
      <c r="H18" s="2539"/>
      <c r="I18" s="2540"/>
      <c r="J18" s="2541" t="s">
        <v>1697</v>
      </c>
      <c r="K18" s="2542"/>
      <c r="L18" s="2542"/>
      <c r="M18" s="2542"/>
      <c r="N18" s="2542"/>
      <c r="O18" s="2543"/>
      <c r="P18" s="2541" t="s">
        <v>325</v>
      </c>
      <c r="Q18" s="2542"/>
      <c r="R18" s="2542"/>
      <c r="S18" s="2542"/>
      <c r="T18" s="2542"/>
      <c r="U18" s="2543"/>
      <c r="V18" s="2541" t="s">
        <v>326</v>
      </c>
      <c r="W18" s="2542"/>
      <c r="X18" s="2542"/>
      <c r="Y18" s="2542"/>
      <c r="Z18" s="2542"/>
      <c r="AA18" s="2543"/>
      <c r="AB18" s="2541" t="s">
        <v>163</v>
      </c>
      <c r="AC18" s="2542"/>
      <c r="AD18" s="2542"/>
      <c r="AE18" s="2542"/>
      <c r="AF18" s="2542"/>
      <c r="AG18" s="2543"/>
      <c r="AH18" s="2541" t="s">
        <v>164</v>
      </c>
      <c r="AI18" s="2542"/>
      <c r="AJ18" s="2542"/>
      <c r="AK18" s="2542"/>
      <c r="AL18" s="2542"/>
      <c r="AM18" s="2543"/>
      <c r="AN18" s="2541" t="s">
        <v>165</v>
      </c>
      <c r="AO18" s="2542"/>
      <c r="AP18" s="2542"/>
      <c r="AQ18" s="2542"/>
      <c r="AR18" s="2542"/>
      <c r="AS18" s="2543"/>
      <c r="AT18" s="2541" t="s">
        <v>1797</v>
      </c>
      <c r="AU18" s="2542"/>
      <c r="AV18" s="2542"/>
      <c r="AW18" s="2542"/>
      <c r="AX18" s="2542"/>
      <c r="AY18" s="2544"/>
      <c r="AZ18" s="1206"/>
      <c r="BA18" s="1206"/>
      <c r="BB18" s="1206"/>
      <c r="BC18" s="1206"/>
      <c r="BD18" s="1206"/>
      <c r="BE18" s="1202"/>
    </row>
    <row r="19" spans="1:58" ht="15">
      <c r="A19" s="1206"/>
      <c r="B19" s="2515">
        <v>0.3</v>
      </c>
      <c r="C19" s="2516"/>
      <c r="D19" s="2516"/>
      <c r="E19" s="2516"/>
      <c r="F19" s="2516"/>
      <c r="G19" s="2516"/>
      <c r="H19" s="2516"/>
      <c r="I19" s="2517"/>
      <c r="J19" s="2518">
        <f t="shared" ref="J19:J28" si="0">SUM(P19:AS19)</f>
        <v>11</v>
      </c>
      <c r="K19" s="2519"/>
      <c r="L19" s="2519"/>
      <c r="M19" s="2519"/>
      <c r="N19" s="2519"/>
      <c r="O19" s="2520"/>
      <c r="P19" s="2518" cm="1">
        <f t="array" ref="P19">SUMPRODUCT((Application!$B$718:$B$752 = 'CalHFA Addendum'!P$18)*(Application!$AC$718:$AC$752 = 'CalHFA Addendum'!$B19),Application!$G$718:$G$752)</f>
        <v>1</v>
      </c>
      <c r="Q19" s="2519"/>
      <c r="R19" s="2519"/>
      <c r="S19" s="2519"/>
      <c r="T19" s="2519"/>
      <c r="U19" s="2520"/>
      <c r="V19" s="2518" cm="1">
        <f t="array" ref="V19">SUMPRODUCT((Application!$B$714:$B$738 = 'CalHFA Addendum'!V$18)*(Application!$AC$714:$AC$738 = 'CalHFA Addendum'!$B19),Application!$G$714:$G$738)</f>
        <v>3</v>
      </c>
      <c r="W19" s="2519"/>
      <c r="X19" s="2519"/>
      <c r="Y19" s="2519"/>
      <c r="Z19" s="2519"/>
      <c r="AA19" s="2520"/>
      <c r="AB19" s="2518" cm="1">
        <f t="array" ref="AB19">SUMPRODUCT((Application!$B$714:$B$738 = 'CalHFA Addendum'!AB$18)*(Application!$AC$714:$AC$738 = 'CalHFA Addendum'!$B19),Application!$G$714:$G$738)</f>
        <v>3</v>
      </c>
      <c r="AC19" s="2519"/>
      <c r="AD19" s="2519"/>
      <c r="AE19" s="2519"/>
      <c r="AF19" s="2519"/>
      <c r="AG19" s="2520"/>
      <c r="AH19" s="2518" cm="1">
        <f t="array" ref="AH19">SUMPRODUCT((Application!$B$714:$B$738 = 'CalHFA Addendum'!AH$18)*(Application!$AC$714:$AC$738 = 'CalHFA Addendum'!$B19),Application!$G$714:$G$738)</f>
        <v>3</v>
      </c>
      <c r="AI19" s="2519"/>
      <c r="AJ19" s="2519"/>
      <c r="AK19" s="2519"/>
      <c r="AL19" s="2519"/>
      <c r="AM19" s="2520"/>
      <c r="AN19" s="2518" cm="1">
        <f t="array" ref="AN19">SUMPRODUCT((Application!$B$714:$B$738 = 'CalHFA Addendum'!AN$18)*(Application!$AC$714:$AC$738 = 'CalHFA Addendum'!$B19),Application!$G$714:$G$738)</f>
        <v>1</v>
      </c>
      <c r="AO19" s="2519"/>
      <c r="AP19" s="2519"/>
      <c r="AQ19" s="2519"/>
      <c r="AR19" s="2519"/>
      <c r="AS19" s="2520"/>
      <c r="AT19" s="2521">
        <f t="shared" ref="AT19:AT29" si="1">J19/$J$29</f>
        <v>0.10476190476190476</v>
      </c>
      <c r="AU19" s="2522"/>
      <c r="AV19" s="2522"/>
      <c r="AW19" s="2522"/>
      <c r="AX19" s="2522"/>
      <c r="AY19" s="2523"/>
      <c r="AZ19" s="1217"/>
      <c r="BA19" s="1206"/>
      <c r="BB19" s="1206"/>
      <c r="BC19" s="1206"/>
      <c r="BD19" s="1206"/>
      <c r="BE19" s="1202"/>
    </row>
    <row r="20" spans="1:58" ht="15" customHeight="1">
      <c r="A20" s="1206"/>
      <c r="B20" s="2515">
        <v>0.4</v>
      </c>
      <c r="C20" s="2516"/>
      <c r="D20" s="2516"/>
      <c r="E20" s="2516"/>
      <c r="F20" s="2516"/>
      <c r="G20" s="2516"/>
      <c r="H20" s="2516"/>
      <c r="I20" s="2517"/>
      <c r="J20" s="2518">
        <f t="shared" si="0"/>
        <v>0</v>
      </c>
      <c r="K20" s="2519"/>
      <c r="L20" s="2519"/>
      <c r="M20" s="2519"/>
      <c r="N20" s="2519"/>
      <c r="O20" s="2520"/>
      <c r="P20" s="2518" cm="1">
        <f t="array" ref="P20">SUMPRODUCT((Application!$B$718:$B$752 = 'CalHFA Addendum'!P$18)*(Application!$AC$718:$AC$752 = 'CalHFA Addendum'!$B20),Application!$G$718:$G$752)</f>
        <v>0</v>
      </c>
      <c r="Q20" s="2519"/>
      <c r="R20" s="2519"/>
      <c r="S20" s="2519"/>
      <c r="T20" s="2519"/>
      <c r="U20" s="2520"/>
      <c r="V20" s="2518" cm="1">
        <f t="array" ref="V20">SUMPRODUCT((Application!$B$714:$B$738 = 'CalHFA Addendum'!V$18)*(Application!$AC$714:$AC$738 = 'CalHFA Addendum'!$B20),Application!$G$714:$G$738)</f>
        <v>0</v>
      </c>
      <c r="W20" s="2519"/>
      <c r="X20" s="2519"/>
      <c r="Y20" s="2519"/>
      <c r="Z20" s="2519"/>
      <c r="AA20" s="2520"/>
      <c r="AB20" s="2518" cm="1">
        <f t="array" ref="AB20">SUMPRODUCT((Application!$B$714:$B$738 = 'CalHFA Addendum'!AB$18)*(Application!$AC$714:$AC$738 = 'CalHFA Addendum'!$B20),Application!$G$714:$G$738)</f>
        <v>0</v>
      </c>
      <c r="AC20" s="2519"/>
      <c r="AD20" s="2519"/>
      <c r="AE20" s="2519"/>
      <c r="AF20" s="2519"/>
      <c r="AG20" s="2520"/>
      <c r="AH20" s="2518" cm="1">
        <f t="array" ref="AH20">SUMPRODUCT((Application!$B$714:$B$738 = 'CalHFA Addendum'!AH$18)*(Application!$AC$714:$AC$738 = 'CalHFA Addendum'!$B20),Application!$G$714:$G$738)</f>
        <v>0</v>
      </c>
      <c r="AI20" s="2519"/>
      <c r="AJ20" s="2519"/>
      <c r="AK20" s="2519"/>
      <c r="AL20" s="2519"/>
      <c r="AM20" s="2520"/>
      <c r="AN20" s="2518" cm="1">
        <f t="array" ref="AN20">SUMPRODUCT((Application!$B$714:$B$738 = 'CalHFA Addendum'!AN$18)*(Application!$AC$714:$AC$738 = 'CalHFA Addendum'!$B20),Application!$G$714:$G$738)</f>
        <v>0</v>
      </c>
      <c r="AO20" s="2519"/>
      <c r="AP20" s="2519"/>
      <c r="AQ20" s="2519"/>
      <c r="AR20" s="2519"/>
      <c r="AS20" s="2520"/>
      <c r="AT20" s="2521">
        <f t="shared" si="1"/>
        <v>0</v>
      </c>
      <c r="AU20" s="2522"/>
      <c r="AV20" s="2522"/>
      <c r="AW20" s="2522"/>
      <c r="AX20" s="2522"/>
      <c r="AY20" s="2523"/>
      <c r="AZ20" s="1206"/>
      <c r="BA20" s="1206"/>
      <c r="BB20" s="1206"/>
      <c r="BC20" s="1206"/>
      <c r="BD20" s="1206"/>
      <c r="BE20" s="1202"/>
    </row>
    <row r="21" spans="1:58" ht="15">
      <c r="A21" s="1206"/>
      <c r="B21" s="2515">
        <v>0.5</v>
      </c>
      <c r="C21" s="2516"/>
      <c r="D21" s="2516"/>
      <c r="E21" s="2516"/>
      <c r="F21" s="2516"/>
      <c r="G21" s="2516"/>
      <c r="H21" s="2516"/>
      <c r="I21" s="2517"/>
      <c r="J21" s="2518">
        <f t="shared" si="0"/>
        <v>10</v>
      </c>
      <c r="K21" s="2519"/>
      <c r="L21" s="2519"/>
      <c r="M21" s="2519"/>
      <c r="N21" s="2519"/>
      <c r="O21" s="2520"/>
      <c r="P21" s="2518" cm="1">
        <f t="array" ref="P21">SUMPRODUCT((Application!$B$714:$B$738 = 'CalHFA Addendum'!P$18)*(Application!$AC$714:$AC$738 = 'CalHFA Addendum'!$B21),Application!$G$714:$G$738)</f>
        <v>3</v>
      </c>
      <c r="Q21" s="2519"/>
      <c r="R21" s="2519"/>
      <c r="S21" s="2519"/>
      <c r="T21" s="2519"/>
      <c r="U21" s="2520"/>
      <c r="V21" s="2518" cm="1">
        <f t="array" ref="V21">SUMPRODUCT((Application!$B$714:$B$738 = 'CalHFA Addendum'!V$18)*(Application!$AC$714:$AC$738 = 'CalHFA Addendum'!$B21),Application!$G$714:$G$738)</f>
        <v>2</v>
      </c>
      <c r="W21" s="2519"/>
      <c r="X21" s="2519"/>
      <c r="Y21" s="2519"/>
      <c r="Z21" s="2519"/>
      <c r="AA21" s="2520"/>
      <c r="AB21" s="2518" cm="1">
        <f t="array" ref="AB21">SUMPRODUCT((Application!$B$714:$B$738 = 'CalHFA Addendum'!AB$18)*(Application!$AC$714:$AC$738 = 'CalHFA Addendum'!$B21),Application!$G$714:$G$738)</f>
        <v>3</v>
      </c>
      <c r="AC21" s="2519"/>
      <c r="AD21" s="2519"/>
      <c r="AE21" s="2519"/>
      <c r="AF21" s="2519"/>
      <c r="AG21" s="2520"/>
      <c r="AH21" s="2518" cm="1">
        <f t="array" ref="AH21">SUMPRODUCT((Application!$B$714:$B$738 = 'CalHFA Addendum'!AH$18)*(Application!$AC$714:$AC$738 = 'CalHFA Addendum'!$B21),Application!$G$714:$G$738)</f>
        <v>2</v>
      </c>
      <c r="AI21" s="2519"/>
      <c r="AJ21" s="2519"/>
      <c r="AK21" s="2519"/>
      <c r="AL21" s="2519"/>
      <c r="AM21" s="2520"/>
      <c r="AN21" s="2518" cm="1">
        <f t="array" ref="AN21">SUMPRODUCT((Application!$B$714:$B$738 = 'CalHFA Addendum'!AN$18)*(Application!$AC$714:$AC$738 = 'CalHFA Addendum'!$B21),Application!$G$714:$G$738)</f>
        <v>0</v>
      </c>
      <c r="AO21" s="2519"/>
      <c r="AP21" s="2519"/>
      <c r="AQ21" s="2519"/>
      <c r="AR21" s="2519"/>
      <c r="AS21" s="2520"/>
      <c r="AT21" s="2521">
        <f t="shared" si="1"/>
        <v>9.5238095238095233E-2</v>
      </c>
      <c r="AU21" s="2522"/>
      <c r="AV21" s="2522"/>
      <c r="AW21" s="2522"/>
      <c r="AX21" s="2522"/>
      <c r="AY21" s="2523"/>
      <c r="AZ21" s="1206"/>
      <c r="BA21" s="1206"/>
      <c r="BB21" s="1206"/>
      <c r="BC21" s="1206"/>
      <c r="BD21" s="1206"/>
      <c r="BE21" s="1202"/>
    </row>
    <row r="22" spans="1:58" ht="15">
      <c r="A22" s="1206"/>
      <c r="B22" s="2515">
        <v>0.6</v>
      </c>
      <c r="C22" s="2516"/>
      <c r="D22" s="2516"/>
      <c r="E22" s="2516"/>
      <c r="F22" s="2516"/>
      <c r="G22" s="2516"/>
      <c r="H22" s="2516"/>
      <c r="I22" s="2517"/>
      <c r="J22" s="2518">
        <f t="shared" si="0"/>
        <v>84</v>
      </c>
      <c r="K22" s="2519"/>
      <c r="L22" s="2519"/>
      <c r="M22" s="2519"/>
      <c r="N22" s="2519"/>
      <c r="O22" s="2520"/>
      <c r="P22" s="2518" cm="1">
        <f t="array" ref="P22">SUMPRODUCT((Application!$B$714:$B$738 = 'CalHFA Addendum'!P$18)*(Application!$AC$714:$AC$738 = 'CalHFA Addendum'!$B22),Application!$G$714:$G$738)</f>
        <v>6</v>
      </c>
      <c r="Q22" s="2519"/>
      <c r="R22" s="2519"/>
      <c r="S22" s="2519"/>
      <c r="T22" s="2519"/>
      <c r="U22" s="2520"/>
      <c r="V22" s="2518" cm="1">
        <f t="array" ref="V22">SUMPRODUCT((Application!$B$714:$B$738 = 'CalHFA Addendum'!V$18)*(Application!$AC$714:$AC$738 = 'CalHFA Addendum'!$B22),Application!$G$714:$G$738)</f>
        <v>13</v>
      </c>
      <c r="W22" s="2519"/>
      <c r="X22" s="2519"/>
      <c r="Y22" s="2519"/>
      <c r="Z22" s="2519"/>
      <c r="AA22" s="2520"/>
      <c r="AB22" s="2518" cm="1">
        <f t="array" ref="AB22">SUMPRODUCT((Application!$B$714:$B$738 = 'CalHFA Addendum'!AB$18)*(Application!$AC$714:$AC$738 = 'CalHFA Addendum'!$B22),Application!$G$714:$G$738)</f>
        <v>21</v>
      </c>
      <c r="AC22" s="2519"/>
      <c r="AD22" s="2519"/>
      <c r="AE22" s="2519"/>
      <c r="AF22" s="2519"/>
      <c r="AG22" s="2520"/>
      <c r="AH22" s="2518" cm="1">
        <f t="array" ref="AH22">SUMPRODUCT((Application!$B$714:$B$738 = 'CalHFA Addendum'!AH$18)*(Application!$AC$714:$AC$738 = 'CalHFA Addendum'!$B22),Application!$G$714:$G$738)</f>
        <v>37</v>
      </c>
      <c r="AI22" s="2519"/>
      <c r="AJ22" s="2519"/>
      <c r="AK22" s="2519"/>
      <c r="AL22" s="2519"/>
      <c r="AM22" s="2520"/>
      <c r="AN22" s="2518" cm="1">
        <f t="array" ref="AN22">SUMPRODUCT((Application!$B$714:$B$738 = 'CalHFA Addendum'!AN$18)*(Application!$AC$714:$AC$738 = 'CalHFA Addendum'!$B22),Application!$G$714:$G$738)</f>
        <v>7</v>
      </c>
      <c r="AO22" s="2519"/>
      <c r="AP22" s="2519"/>
      <c r="AQ22" s="2519"/>
      <c r="AR22" s="2519"/>
      <c r="AS22" s="2520"/>
      <c r="AT22" s="2521">
        <f t="shared" si="1"/>
        <v>0.8</v>
      </c>
      <c r="AU22" s="2522"/>
      <c r="AV22" s="2522"/>
      <c r="AW22" s="2522"/>
      <c r="AX22" s="2522"/>
      <c r="AY22" s="2523"/>
      <c r="AZ22" s="1206"/>
      <c r="BA22" s="1206"/>
      <c r="BB22" s="1206"/>
      <c r="BC22" s="1206"/>
      <c r="BD22" s="1206"/>
      <c r="BE22" s="1202"/>
    </row>
    <row r="23" spans="1:58" ht="15">
      <c r="A23" s="1206"/>
      <c r="B23" s="2515">
        <v>0.7</v>
      </c>
      <c r="C23" s="2516"/>
      <c r="D23" s="2516"/>
      <c r="E23" s="2516"/>
      <c r="F23" s="2516"/>
      <c r="G23" s="2516"/>
      <c r="H23" s="2516"/>
      <c r="I23" s="2517"/>
      <c r="J23" s="2518">
        <f t="shared" si="0"/>
        <v>0</v>
      </c>
      <c r="K23" s="2519"/>
      <c r="L23" s="2519"/>
      <c r="M23" s="2519"/>
      <c r="N23" s="2519"/>
      <c r="O23" s="2520"/>
      <c r="P23" s="2518" cm="1">
        <f t="array" ref="P23">SUMPRODUCT((Application!$B$714:$B$738 = 'CalHFA Addendum'!P$18)*(Application!$AC$714:$AC$738 = 'CalHFA Addendum'!$B23),Application!$G$714:$G$738)</f>
        <v>0</v>
      </c>
      <c r="Q23" s="2519"/>
      <c r="R23" s="2519"/>
      <c r="S23" s="2519"/>
      <c r="T23" s="2519"/>
      <c r="U23" s="2520"/>
      <c r="V23" s="2518" cm="1">
        <f t="array" ref="V23">SUMPRODUCT((Application!$B$714:$B$738 = 'CalHFA Addendum'!V$18)*(Application!$AC$714:$AC$738 = 'CalHFA Addendum'!$B23),Application!$G$714:$G$738)</f>
        <v>0</v>
      </c>
      <c r="W23" s="2519"/>
      <c r="X23" s="2519"/>
      <c r="Y23" s="2519"/>
      <c r="Z23" s="2519"/>
      <c r="AA23" s="2520"/>
      <c r="AB23" s="2518" cm="1">
        <f t="array" ref="AB23">SUMPRODUCT((Application!$B$714:$B$738 = 'CalHFA Addendum'!AB$18)*(Application!$AC$714:$AC$738 = 'CalHFA Addendum'!$B23),Application!$G$714:$G$738)</f>
        <v>0</v>
      </c>
      <c r="AC23" s="2519"/>
      <c r="AD23" s="2519"/>
      <c r="AE23" s="2519"/>
      <c r="AF23" s="2519"/>
      <c r="AG23" s="2520"/>
      <c r="AH23" s="2518" cm="1">
        <f t="array" ref="AH23">SUMPRODUCT((Application!$B$714:$B$738 = 'CalHFA Addendum'!AH$18)*(Application!$AC$714:$AC$738 = 'CalHFA Addendum'!$B23),Application!$G$714:$G$738)</f>
        <v>0</v>
      </c>
      <c r="AI23" s="2519"/>
      <c r="AJ23" s="2519"/>
      <c r="AK23" s="2519"/>
      <c r="AL23" s="2519"/>
      <c r="AM23" s="2520"/>
      <c r="AN23" s="2518" cm="1">
        <f t="array" ref="AN23">SUMPRODUCT((Application!$B$714:$B$738 = 'CalHFA Addendum'!AN$18)*(Application!$AC$714:$AC$738 = 'CalHFA Addendum'!$B23),Application!$G$714:$G$738)</f>
        <v>0</v>
      </c>
      <c r="AO23" s="2519"/>
      <c r="AP23" s="2519"/>
      <c r="AQ23" s="2519"/>
      <c r="AR23" s="2519"/>
      <c r="AS23" s="2520"/>
      <c r="AT23" s="2521">
        <f t="shared" si="1"/>
        <v>0</v>
      </c>
      <c r="AU23" s="2522"/>
      <c r="AV23" s="2522"/>
      <c r="AW23" s="2522"/>
      <c r="AX23" s="2522"/>
      <c r="AY23" s="2523"/>
      <c r="AZ23" s="1206"/>
      <c r="BA23" s="1206"/>
      <c r="BB23" s="1206"/>
      <c r="BC23" s="1206"/>
      <c r="BD23" s="1206"/>
      <c r="BE23" s="1202"/>
    </row>
    <row r="24" spans="1:58" ht="15">
      <c r="A24" s="1206"/>
      <c r="B24" s="2515">
        <v>0.8</v>
      </c>
      <c r="C24" s="2516"/>
      <c r="D24" s="2516"/>
      <c r="E24" s="2516"/>
      <c r="F24" s="2516"/>
      <c r="G24" s="2516"/>
      <c r="H24" s="2516"/>
      <c r="I24" s="2517"/>
      <c r="J24" s="2518">
        <f t="shared" si="0"/>
        <v>0</v>
      </c>
      <c r="K24" s="2519"/>
      <c r="L24" s="2519"/>
      <c r="M24" s="2519"/>
      <c r="N24" s="2519"/>
      <c r="O24" s="2520"/>
      <c r="P24" s="2518" cm="1">
        <f t="array" ref="P24">SUMPRODUCT((Application!$B$714:$B$738 = 'CalHFA Addendum'!P$18)*(Application!$AC$714:$AC$738 = 'CalHFA Addendum'!$B24),Application!$G$714:$G$738)</f>
        <v>0</v>
      </c>
      <c r="Q24" s="2519"/>
      <c r="R24" s="2519"/>
      <c r="S24" s="2519"/>
      <c r="T24" s="2519"/>
      <c r="U24" s="2520"/>
      <c r="V24" s="2518" cm="1">
        <f t="array" ref="V24">SUMPRODUCT((Application!$B$714:$B$738 = 'CalHFA Addendum'!V$18)*(Application!$AC$714:$AC$738 = 'CalHFA Addendum'!$B24),Application!$G$714:$G$738)</f>
        <v>0</v>
      </c>
      <c r="W24" s="2519"/>
      <c r="X24" s="2519"/>
      <c r="Y24" s="2519"/>
      <c r="Z24" s="2519"/>
      <c r="AA24" s="2520"/>
      <c r="AB24" s="2518" cm="1">
        <f t="array" ref="AB24">SUMPRODUCT((Application!$B$714:$B$738 = 'CalHFA Addendum'!AB$18)*(Application!$AC$714:$AC$738 = 'CalHFA Addendum'!$B24),Application!$G$714:$G$738)</f>
        <v>0</v>
      </c>
      <c r="AC24" s="2519"/>
      <c r="AD24" s="2519"/>
      <c r="AE24" s="2519"/>
      <c r="AF24" s="2519"/>
      <c r="AG24" s="2520"/>
      <c r="AH24" s="2518" cm="1">
        <f t="array" ref="AH24">SUMPRODUCT((Application!$B$714:$B$738 = 'CalHFA Addendum'!AH$18)*(Application!$AC$714:$AC$738 = 'CalHFA Addendum'!$B24),Application!$G$714:$G$738)</f>
        <v>0</v>
      </c>
      <c r="AI24" s="2519"/>
      <c r="AJ24" s="2519"/>
      <c r="AK24" s="2519"/>
      <c r="AL24" s="2519"/>
      <c r="AM24" s="2520"/>
      <c r="AN24" s="2518" cm="1">
        <f t="array" ref="AN24">SUMPRODUCT((Application!$B$714:$B$738 = 'CalHFA Addendum'!AN$18)*(Application!$AC$714:$AC$738 = 'CalHFA Addendum'!$B24),Application!$G$714:$G$738)</f>
        <v>0</v>
      </c>
      <c r="AO24" s="2519"/>
      <c r="AP24" s="2519"/>
      <c r="AQ24" s="2519"/>
      <c r="AR24" s="2519"/>
      <c r="AS24" s="2520"/>
      <c r="AT24" s="2521">
        <f t="shared" si="1"/>
        <v>0</v>
      </c>
      <c r="AU24" s="2522"/>
      <c r="AV24" s="2522"/>
      <c r="AW24" s="2522"/>
      <c r="AX24" s="2522"/>
      <c r="AY24" s="2523"/>
      <c r="AZ24" s="1206"/>
      <c r="BA24" s="1206"/>
      <c r="BB24" s="1206"/>
      <c r="BC24" s="1206"/>
      <c r="BD24" s="1206"/>
      <c r="BE24" s="1202"/>
    </row>
    <row r="25" spans="1:58" ht="15">
      <c r="A25" s="1206"/>
      <c r="B25" s="2515">
        <v>0.9</v>
      </c>
      <c r="C25" s="2516"/>
      <c r="D25" s="2516"/>
      <c r="E25" s="2516"/>
      <c r="F25" s="2516"/>
      <c r="G25" s="2516"/>
      <c r="H25" s="2516"/>
      <c r="I25" s="2517"/>
      <c r="J25" s="2518">
        <f t="shared" si="0"/>
        <v>0</v>
      </c>
      <c r="K25" s="2519"/>
      <c r="L25" s="2519"/>
      <c r="M25" s="2519"/>
      <c r="N25" s="2519"/>
      <c r="O25" s="2520"/>
      <c r="P25" s="2518" cm="1">
        <f t="array" ref="P25">SUMPRODUCT((Application!$B$714:$B$738 = 'CalHFA Addendum'!P$18)*(Application!$AC$714:$AC$738 = 'CalHFA Addendum'!$B25),Application!$G$714:$G$738)</f>
        <v>0</v>
      </c>
      <c r="Q25" s="2519"/>
      <c r="R25" s="2519"/>
      <c r="S25" s="2519"/>
      <c r="T25" s="2519"/>
      <c r="U25" s="2520"/>
      <c r="V25" s="2518" cm="1">
        <f t="array" ref="V25">SUMPRODUCT((Application!$B$714:$B$738 = 'CalHFA Addendum'!V$18)*(Application!$AC$714:$AC$738 = 'CalHFA Addendum'!$B25),Application!$G$714:$G$738)</f>
        <v>0</v>
      </c>
      <c r="W25" s="2519"/>
      <c r="X25" s="2519"/>
      <c r="Y25" s="2519"/>
      <c r="Z25" s="2519"/>
      <c r="AA25" s="2520"/>
      <c r="AB25" s="2518" cm="1">
        <f t="array" ref="AB25">SUMPRODUCT((Application!$B$714:$B$738 = 'CalHFA Addendum'!AB$18)*(Application!$AC$714:$AC$738 = 'CalHFA Addendum'!$B25),Application!$G$714:$G$738)</f>
        <v>0</v>
      </c>
      <c r="AC25" s="2519"/>
      <c r="AD25" s="2519"/>
      <c r="AE25" s="2519"/>
      <c r="AF25" s="2519"/>
      <c r="AG25" s="2520"/>
      <c r="AH25" s="2518" cm="1">
        <f t="array" ref="AH25">SUMPRODUCT((Application!$B$714:$B$738 = 'CalHFA Addendum'!AH$18)*(Application!$AC$714:$AC$738 = 'CalHFA Addendum'!$B25),Application!$G$714:$G$738)</f>
        <v>0</v>
      </c>
      <c r="AI25" s="2519"/>
      <c r="AJ25" s="2519"/>
      <c r="AK25" s="2519"/>
      <c r="AL25" s="2519"/>
      <c r="AM25" s="2520"/>
      <c r="AN25" s="2518" cm="1">
        <f t="array" ref="AN25">SUMPRODUCT((Application!$B$714:$B$738 = 'CalHFA Addendum'!AN$18)*(Application!$AC$714:$AC$738 = 'CalHFA Addendum'!$B25),Application!$G$714:$G$738)</f>
        <v>0</v>
      </c>
      <c r="AO25" s="2519"/>
      <c r="AP25" s="2519"/>
      <c r="AQ25" s="2519"/>
      <c r="AR25" s="2519"/>
      <c r="AS25" s="2520"/>
      <c r="AT25" s="2521">
        <f t="shared" si="1"/>
        <v>0</v>
      </c>
      <c r="AU25" s="2522"/>
      <c r="AV25" s="2522"/>
      <c r="AW25" s="2522"/>
      <c r="AX25" s="2522"/>
      <c r="AY25" s="2523"/>
      <c r="AZ25" s="1206"/>
      <c r="BA25" s="1206"/>
      <c r="BB25" s="1206"/>
      <c r="BC25" s="1206"/>
      <c r="BD25" s="1206"/>
      <c r="BE25" s="1202"/>
    </row>
    <row r="26" spans="1:58" ht="15">
      <c r="A26" s="1206"/>
      <c r="B26" s="2515">
        <v>1</v>
      </c>
      <c r="C26" s="2516"/>
      <c r="D26" s="2516"/>
      <c r="E26" s="2516"/>
      <c r="F26" s="2516"/>
      <c r="G26" s="2516"/>
      <c r="H26" s="2516"/>
      <c r="I26" s="2517"/>
      <c r="J26" s="2518">
        <f t="shared" si="0"/>
        <v>0</v>
      </c>
      <c r="K26" s="2519"/>
      <c r="L26" s="2519"/>
      <c r="M26" s="2519"/>
      <c r="N26" s="2519"/>
      <c r="O26" s="2520"/>
      <c r="P26" s="2518" cm="1">
        <f t="array" ref="P26">SUMPRODUCT((Application!$B$714:$B$738 = 'CalHFA Addendum'!P$18)*(Application!$AC$714:$AC$738 = 'CalHFA Addendum'!$B26),Application!$G$714:$G$738)</f>
        <v>0</v>
      </c>
      <c r="Q26" s="2519"/>
      <c r="R26" s="2519"/>
      <c r="S26" s="2519"/>
      <c r="T26" s="2519"/>
      <c r="U26" s="2520"/>
      <c r="V26" s="2518" cm="1">
        <f t="array" ref="V26">SUMPRODUCT((Application!$B$714:$B$738 = 'CalHFA Addendum'!V$18)*(Application!$AC$714:$AC$738 = 'CalHFA Addendum'!$B26),Application!$G$714:$G$738)</f>
        <v>0</v>
      </c>
      <c r="W26" s="2519"/>
      <c r="X26" s="2519"/>
      <c r="Y26" s="2519"/>
      <c r="Z26" s="2519"/>
      <c r="AA26" s="2520"/>
      <c r="AB26" s="2518" cm="1">
        <f t="array" ref="AB26">SUMPRODUCT((Application!$B$714:$B$738 = 'CalHFA Addendum'!AB$18)*(Application!$AC$714:$AC$738 = 'CalHFA Addendum'!$B26),Application!$G$714:$G$738)</f>
        <v>0</v>
      </c>
      <c r="AC26" s="2519"/>
      <c r="AD26" s="2519"/>
      <c r="AE26" s="2519"/>
      <c r="AF26" s="2519"/>
      <c r="AG26" s="2520"/>
      <c r="AH26" s="2518" cm="1">
        <f t="array" ref="AH26">SUMPRODUCT((Application!$B$714:$B$738 = 'CalHFA Addendum'!AH$18)*(Application!$AC$714:$AC$738 = 'CalHFA Addendum'!$B26),Application!$G$714:$G$738)</f>
        <v>0</v>
      </c>
      <c r="AI26" s="2519"/>
      <c r="AJ26" s="2519"/>
      <c r="AK26" s="2519"/>
      <c r="AL26" s="2519"/>
      <c r="AM26" s="2520"/>
      <c r="AN26" s="2518" cm="1">
        <f t="array" ref="AN26">SUMPRODUCT((Application!$B$714:$B$738 = 'CalHFA Addendum'!AN$18)*(Application!$AC$714:$AC$738 = 'CalHFA Addendum'!$B26),Application!$G$714:$G$738)</f>
        <v>0</v>
      </c>
      <c r="AO26" s="2519"/>
      <c r="AP26" s="2519"/>
      <c r="AQ26" s="2519"/>
      <c r="AR26" s="2519"/>
      <c r="AS26" s="2520"/>
      <c r="AT26" s="2521">
        <f t="shared" si="1"/>
        <v>0</v>
      </c>
      <c r="AU26" s="2522"/>
      <c r="AV26" s="2522"/>
      <c r="AW26" s="2522"/>
      <c r="AX26" s="2522"/>
      <c r="AY26" s="2523"/>
      <c r="AZ26" s="1206"/>
      <c r="BA26" s="1206"/>
      <c r="BB26" s="1206"/>
      <c r="BC26" s="1206"/>
      <c r="BD26" s="1206"/>
      <c r="BE26" s="1202"/>
    </row>
    <row r="27" spans="1:58" ht="15">
      <c r="A27" s="1206"/>
      <c r="B27" s="2515">
        <v>1.1000000000000001</v>
      </c>
      <c r="C27" s="2516"/>
      <c r="D27" s="2516"/>
      <c r="E27" s="2516"/>
      <c r="F27" s="2516"/>
      <c r="G27" s="2516"/>
      <c r="H27" s="2516"/>
      <c r="I27" s="2517"/>
      <c r="J27" s="2518">
        <f t="shared" si="0"/>
        <v>0</v>
      </c>
      <c r="K27" s="2519"/>
      <c r="L27" s="2519"/>
      <c r="M27" s="2519"/>
      <c r="N27" s="2519"/>
      <c r="O27" s="2520"/>
      <c r="P27" s="2518" cm="1">
        <f t="array" ref="P27">SUMPRODUCT((Application!$B$714:$B$738 = 'CalHFA Addendum'!P$18)*(Application!$AC$714:$AC$738 = 'CalHFA Addendum'!$B27),Application!$G$714:$G$738)</f>
        <v>0</v>
      </c>
      <c r="Q27" s="2519"/>
      <c r="R27" s="2519"/>
      <c r="S27" s="2519"/>
      <c r="T27" s="2519"/>
      <c r="U27" s="2520"/>
      <c r="V27" s="2518" cm="1">
        <f t="array" ref="V27">SUMPRODUCT((Application!$B$714:$B$738 = 'CalHFA Addendum'!V$18)*(Application!$AC$714:$AC$738 = 'CalHFA Addendum'!$B27),Application!$G$714:$G$738)</f>
        <v>0</v>
      </c>
      <c r="W27" s="2519"/>
      <c r="X27" s="2519"/>
      <c r="Y27" s="2519"/>
      <c r="Z27" s="2519"/>
      <c r="AA27" s="2520"/>
      <c r="AB27" s="2518" cm="1">
        <f t="array" ref="AB27">SUMPRODUCT((Application!$B$714:$B$738 = 'CalHFA Addendum'!AB$18)*(Application!$AC$714:$AC$738 = 'CalHFA Addendum'!$B27),Application!$G$714:$G$738)</f>
        <v>0</v>
      </c>
      <c r="AC27" s="2519"/>
      <c r="AD27" s="2519"/>
      <c r="AE27" s="2519"/>
      <c r="AF27" s="2519"/>
      <c r="AG27" s="2520"/>
      <c r="AH27" s="2518" cm="1">
        <f t="array" ref="AH27">SUMPRODUCT((Application!$B$714:$B$738 = 'CalHFA Addendum'!AH$18)*(Application!$AC$714:$AC$738 = 'CalHFA Addendum'!$B27),Application!$G$714:$G$738)</f>
        <v>0</v>
      </c>
      <c r="AI27" s="2519"/>
      <c r="AJ27" s="2519"/>
      <c r="AK27" s="2519"/>
      <c r="AL27" s="2519"/>
      <c r="AM27" s="2520"/>
      <c r="AN27" s="2518" cm="1">
        <f t="array" ref="AN27">SUMPRODUCT((Application!$B$714:$B$738 = 'CalHFA Addendum'!AN$18)*(Application!$AC$714:$AC$738 = 'CalHFA Addendum'!$B27),Application!$G$714:$G$738)</f>
        <v>0</v>
      </c>
      <c r="AO27" s="2519"/>
      <c r="AP27" s="2519"/>
      <c r="AQ27" s="2519"/>
      <c r="AR27" s="2519"/>
      <c r="AS27" s="2520"/>
      <c r="AT27" s="2521">
        <f t="shared" si="1"/>
        <v>0</v>
      </c>
      <c r="AU27" s="2522"/>
      <c r="AV27" s="2522"/>
      <c r="AW27" s="2522"/>
      <c r="AX27" s="2522"/>
      <c r="AY27" s="2523"/>
      <c r="AZ27" s="1206"/>
      <c r="BA27" s="1206"/>
      <c r="BB27" s="1206"/>
      <c r="BC27" s="1206"/>
      <c r="BD27" s="1206"/>
      <c r="BE27" s="1202"/>
    </row>
    <row r="28" spans="1:58" thickBot="1">
      <c r="A28" s="1206"/>
      <c r="B28" s="2524" t="s">
        <v>1798</v>
      </c>
      <c r="C28" s="2525"/>
      <c r="D28" s="2525"/>
      <c r="E28" s="2525"/>
      <c r="F28" s="2525"/>
      <c r="G28" s="2525"/>
      <c r="H28" s="2525"/>
      <c r="I28" s="2526"/>
      <c r="J28" s="2527">
        <f t="shared" si="0"/>
        <v>0</v>
      </c>
      <c r="K28" s="2528"/>
      <c r="L28" s="2528"/>
      <c r="M28" s="2528"/>
      <c r="N28" s="2528"/>
      <c r="O28" s="2529"/>
      <c r="P28" s="2527">
        <f>_xlfn.IFNA(VLOOKUP(P$18,Application!$J$758:$S$761,6,FALSE), 0)</f>
        <v>0</v>
      </c>
      <c r="Q28" s="2528"/>
      <c r="R28" s="2528"/>
      <c r="S28" s="2528"/>
      <c r="T28" s="2528"/>
      <c r="U28" s="2529"/>
      <c r="V28" s="2527">
        <f>_xlfn.IFNA(VLOOKUP(V$18,Application!$J$758:$S$761,6,FALSE), 0)</f>
        <v>0</v>
      </c>
      <c r="W28" s="2528"/>
      <c r="X28" s="2528"/>
      <c r="Y28" s="2528"/>
      <c r="Z28" s="2528"/>
      <c r="AA28" s="2529"/>
      <c r="AB28" s="2527">
        <f>_xlfn.IFNA(VLOOKUP(AB$18,Application!$J$758:$S$761,6,FALSE), 0)</f>
        <v>0</v>
      </c>
      <c r="AC28" s="2528"/>
      <c r="AD28" s="2528"/>
      <c r="AE28" s="2528"/>
      <c r="AF28" s="2528"/>
      <c r="AG28" s="2529"/>
      <c r="AH28" s="2527">
        <f>_xlfn.IFNA(VLOOKUP(AH$18,Application!$J$758:$S$761,6,FALSE), 0)</f>
        <v>0</v>
      </c>
      <c r="AI28" s="2528"/>
      <c r="AJ28" s="2528"/>
      <c r="AK28" s="2528"/>
      <c r="AL28" s="2528"/>
      <c r="AM28" s="2529"/>
      <c r="AN28" s="2527">
        <f>_xlfn.IFNA(VLOOKUP(AN$18,Application!$J$758:$S$761,6,FALSE), 0)</f>
        <v>0</v>
      </c>
      <c r="AO28" s="2528"/>
      <c r="AP28" s="2528"/>
      <c r="AQ28" s="2528"/>
      <c r="AR28" s="2528"/>
      <c r="AS28" s="2529"/>
      <c r="AT28" s="2530">
        <f t="shared" si="1"/>
        <v>0</v>
      </c>
      <c r="AU28" s="2531"/>
      <c r="AV28" s="2531"/>
      <c r="AW28" s="2531"/>
      <c r="AX28" s="2531"/>
      <c r="AY28" s="2532"/>
      <c r="AZ28" s="1206"/>
      <c r="BA28" s="1206"/>
      <c r="BB28" s="1206"/>
      <c r="BC28" s="1206"/>
      <c r="BD28" s="1206"/>
      <c r="BE28" s="1202"/>
    </row>
    <row r="29" spans="1:58" thickBot="1">
      <c r="A29" s="1206"/>
      <c r="B29" s="2504" t="s">
        <v>1697</v>
      </c>
      <c r="C29" s="2482"/>
      <c r="D29" s="2482"/>
      <c r="E29" s="2482"/>
      <c r="F29" s="2482"/>
      <c r="G29" s="2482"/>
      <c r="H29" s="2482"/>
      <c r="I29" s="2483"/>
      <c r="J29" s="2481">
        <f>SUM(J19:O28)</f>
        <v>105</v>
      </c>
      <c r="K29" s="2482"/>
      <c r="L29" s="2482"/>
      <c r="M29" s="2482"/>
      <c r="N29" s="2482"/>
      <c r="O29" s="2483"/>
      <c r="P29" s="2481">
        <f>SUM(P19:U28)</f>
        <v>10</v>
      </c>
      <c r="Q29" s="2482"/>
      <c r="R29" s="2482"/>
      <c r="S29" s="2482"/>
      <c r="T29" s="2482"/>
      <c r="U29" s="2483"/>
      <c r="V29" s="2481">
        <f>SUM(V19:AA28)</f>
        <v>18</v>
      </c>
      <c r="W29" s="2482"/>
      <c r="X29" s="2482"/>
      <c r="Y29" s="2482"/>
      <c r="Z29" s="2482"/>
      <c r="AA29" s="2483"/>
      <c r="AB29" s="2481">
        <f>SUM(AB19:AG28)</f>
        <v>27</v>
      </c>
      <c r="AC29" s="2482"/>
      <c r="AD29" s="2482"/>
      <c r="AE29" s="2482"/>
      <c r="AF29" s="2482"/>
      <c r="AG29" s="2483"/>
      <c r="AH29" s="2481">
        <f>SUM(AH19:AM28)</f>
        <v>42</v>
      </c>
      <c r="AI29" s="2482"/>
      <c r="AJ29" s="2482"/>
      <c r="AK29" s="2482"/>
      <c r="AL29" s="2482"/>
      <c r="AM29" s="2483"/>
      <c r="AN29" s="2481">
        <f>SUM(AN19:AS28)</f>
        <v>8</v>
      </c>
      <c r="AO29" s="2482"/>
      <c r="AP29" s="2482"/>
      <c r="AQ29" s="2482"/>
      <c r="AR29" s="2482"/>
      <c r="AS29" s="2483"/>
      <c r="AT29" s="2497">
        <f t="shared" si="1"/>
        <v>1</v>
      </c>
      <c r="AU29" s="2498"/>
      <c r="AV29" s="2498"/>
      <c r="AW29" s="2498"/>
      <c r="AX29" s="2498"/>
      <c r="AY29" s="2499"/>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5" t="s">
        <v>1799</v>
      </c>
      <c r="C31" s="2486"/>
      <c r="D31" s="2486"/>
      <c r="E31" s="2486"/>
      <c r="F31" s="2486"/>
      <c r="G31" s="2486"/>
      <c r="H31" s="2486"/>
      <c r="I31" s="2486"/>
      <c r="J31" s="2486"/>
      <c r="K31" s="2486"/>
      <c r="L31" s="2486"/>
      <c r="M31" s="2486"/>
      <c r="N31" s="2486"/>
      <c r="O31" s="2486"/>
      <c r="P31" s="2486"/>
      <c r="Q31" s="2486"/>
      <c r="R31" s="2486"/>
      <c r="S31" s="2486"/>
      <c r="T31" s="2486"/>
      <c r="U31" s="2486"/>
      <c r="V31" s="2486"/>
      <c r="W31" s="2486"/>
      <c r="X31" s="2486"/>
      <c r="Y31" s="2486"/>
      <c r="Z31" s="2486"/>
      <c r="AA31" s="2486"/>
      <c r="AB31" s="2486"/>
      <c r="AC31" s="2486"/>
      <c r="AD31" s="2486"/>
      <c r="AE31" s="2486"/>
      <c r="AF31" s="2486"/>
      <c r="AG31" s="2486"/>
      <c r="AH31" s="2486"/>
      <c r="AI31" s="2486"/>
      <c r="AJ31" s="2486"/>
      <c r="AK31" s="2486"/>
      <c r="AL31" s="2486"/>
      <c r="AM31" s="2486"/>
      <c r="AN31" s="2486"/>
      <c r="AO31" s="2486"/>
      <c r="AP31" s="2486"/>
      <c r="AQ31" s="2486"/>
      <c r="AR31" s="2486"/>
      <c r="AS31" s="2486"/>
      <c r="AT31" s="2486"/>
      <c r="AU31" s="2486"/>
      <c r="AV31" s="2486"/>
      <c r="AW31" s="2486"/>
      <c r="AX31" s="2486"/>
      <c r="AY31" s="2486"/>
      <c r="AZ31" s="2486"/>
      <c r="BA31" s="2486"/>
      <c r="BB31" s="2486"/>
      <c r="BC31" s="2486"/>
      <c r="BD31" s="2487"/>
      <c r="BE31" s="1202"/>
    </row>
    <row r="32" spans="1:58" thickBot="1">
      <c r="A32" s="1206"/>
      <c r="B32" s="2500" t="s">
        <v>2472</v>
      </c>
      <c r="C32" s="2501"/>
      <c r="D32" s="2501"/>
      <c r="E32" s="2501"/>
      <c r="F32" s="2501"/>
      <c r="G32" s="2501"/>
      <c r="H32" s="2501"/>
      <c r="I32" s="2501"/>
      <c r="J32" s="2533" t="s">
        <v>2473</v>
      </c>
      <c r="K32" s="2534"/>
      <c r="L32" s="2534"/>
      <c r="M32" s="2534"/>
      <c r="N32" s="2533" t="s">
        <v>1800</v>
      </c>
      <c r="O32" s="2534"/>
      <c r="P32" s="2534"/>
      <c r="Q32" s="2536"/>
      <c r="R32" s="2494" t="s">
        <v>1801</v>
      </c>
      <c r="S32" s="2495"/>
      <c r="T32" s="2495"/>
      <c r="U32" s="2495"/>
      <c r="V32" s="2495"/>
      <c r="W32" s="2495"/>
      <c r="X32" s="2495"/>
      <c r="Y32" s="2495"/>
      <c r="Z32" s="2495"/>
      <c r="AA32" s="2495"/>
      <c r="AB32" s="2495"/>
      <c r="AC32" s="2495"/>
      <c r="AD32" s="2495"/>
      <c r="AE32" s="2495"/>
      <c r="AF32" s="2495"/>
      <c r="AG32" s="2495"/>
      <c r="AH32" s="2495"/>
      <c r="AI32" s="2495"/>
      <c r="AJ32" s="2495"/>
      <c r="AK32" s="2495"/>
      <c r="AL32" s="2495"/>
      <c r="AM32" s="2495"/>
      <c r="AN32" s="2495"/>
      <c r="AO32" s="2495"/>
      <c r="AP32" s="2495"/>
      <c r="AQ32" s="2495"/>
      <c r="AR32" s="2495"/>
      <c r="AS32" s="2495"/>
      <c r="AT32" s="2495"/>
      <c r="AU32" s="2495"/>
      <c r="AV32" s="2495"/>
      <c r="AW32" s="2495"/>
      <c r="AX32" s="2495"/>
      <c r="AY32" s="2495"/>
      <c r="AZ32" s="2495"/>
      <c r="BA32" s="2495"/>
      <c r="BB32" s="2495"/>
      <c r="BC32" s="2495"/>
      <c r="BD32" s="2496"/>
      <c r="BE32" s="1202"/>
    </row>
    <row r="33" spans="1:58" ht="15" customHeight="1">
      <c r="A33" s="1206"/>
      <c r="B33" s="2502"/>
      <c r="C33" s="2503"/>
      <c r="D33" s="2503"/>
      <c r="E33" s="2503"/>
      <c r="F33" s="2503"/>
      <c r="G33" s="2503"/>
      <c r="H33" s="2503"/>
      <c r="I33" s="2503"/>
      <c r="J33" s="2535"/>
      <c r="K33" s="2535"/>
      <c r="L33" s="2535"/>
      <c r="M33" s="2535"/>
      <c r="N33" s="2535"/>
      <c r="O33" s="2535"/>
      <c r="P33" s="2535"/>
      <c r="Q33" s="2537"/>
      <c r="R33" s="2488" t="s">
        <v>1802</v>
      </c>
      <c r="S33" s="2489"/>
      <c r="T33" s="2489"/>
      <c r="U33" s="2489"/>
      <c r="V33" s="2489"/>
      <c r="W33" s="2489"/>
      <c r="X33" s="2489"/>
      <c r="Y33" s="2489"/>
      <c r="Z33" s="2489"/>
      <c r="AA33" s="2489"/>
      <c r="AB33" s="2489"/>
      <c r="AC33" s="2489"/>
      <c r="AD33" s="2489"/>
      <c r="AE33" s="2489"/>
      <c r="AF33" s="2489"/>
      <c r="AG33" s="2489"/>
      <c r="AH33" s="2489"/>
      <c r="AI33" s="2489"/>
      <c r="AJ33" s="2489"/>
      <c r="AK33" s="2489"/>
      <c r="AL33" s="2489"/>
      <c r="AM33" s="2489"/>
      <c r="AN33" s="2489"/>
      <c r="AO33" s="2489"/>
      <c r="AP33" s="2489"/>
      <c r="AQ33" s="2489"/>
      <c r="AR33" s="2489"/>
      <c r="AS33" s="2489"/>
      <c r="AT33" s="2489"/>
      <c r="AU33" s="2489"/>
      <c r="AV33" s="2489"/>
      <c r="AW33" s="2489"/>
      <c r="AX33" s="2489"/>
      <c r="AY33" s="2489"/>
      <c r="AZ33" s="2489"/>
      <c r="BA33" s="2489"/>
      <c r="BB33" s="2489"/>
      <c r="BC33" s="2489"/>
      <c r="BD33" s="2490"/>
      <c r="BE33" s="1202"/>
    </row>
    <row r="34" spans="1:58" ht="15.75" customHeight="1" thickBot="1">
      <c r="A34" s="1206"/>
      <c r="B34" s="2502"/>
      <c r="C34" s="2503"/>
      <c r="D34" s="2503"/>
      <c r="E34" s="2503"/>
      <c r="F34" s="2503"/>
      <c r="G34" s="2503"/>
      <c r="H34" s="2503"/>
      <c r="I34" s="2503"/>
      <c r="J34" s="2535"/>
      <c r="K34" s="2535"/>
      <c r="L34" s="2535"/>
      <c r="M34" s="2535"/>
      <c r="N34" s="2535"/>
      <c r="O34" s="2535"/>
      <c r="P34" s="2535"/>
      <c r="Q34" s="2537"/>
      <c r="R34" s="2491"/>
      <c r="S34" s="2492"/>
      <c r="T34" s="2492"/>
      <c r="U34" s="2492"/>
      <c r="V34" s="2492"/>
      <c r="W34" s="2492"/>
      <c r="X34" s="2492"/>
      <c r="Y34" s="2492"/>
      <c r="Z34" s="2492"/>
      <c r="AA34" s="2492"/>
      <c r="AB34" s="2492"/>
      <c r="AC34" s="2492"/>
      <c r="AD34" s="2492"/>
      <c r="AE34" s="2492"/>
      <c r="AF34" s="2492"/>
      <c r="AG34" s="2492"/>
      <c r="AH34" s="2492"/>
      <c r="AI34" s="2492"/>
      <c r="AJ34" s="2492"/>
      <c r="AK34" s="2492"/>
      <c r="AL34" s="2492"/>
      <c r="AM34" s="2492"/>
      <c r="AN34" s="2492"/>
      <c r="AO34" s="2492"/>
      <c r="AP34" s="2492"/>
      <c r="AQ34" s="2492"/>
      <c r="AR34" s="2492"/>
      <c r="AS34" s="2492"/>
      <c r="AT34" s="2492"/>
      <c r="AU34" s="2492"/>
      <c r="AV34" s="2492"/>
      <c r="AW34" s="2492"/>
      <c r="AX34" s="2492"/>
      <c r="AY34" s="2492"/>
      <c r="AZ34" s="2492"/>
      <c r="BA34" s="2492"/>
      <c r="BB34" s="2492"/>
      <c r="BC34" s="2492"/>
      <c r="BD34" s="2493"/>
      <c r="BE34" s="1202"/>
    </row>
    <row r="35" spans="1:58" ht="15.75" customHeight="1">
      <c r="A35" s="1206"/>
      <c r="B35" s="2502"/>
      <c r="C35" s="2503"/>
      <c r="D35" s="2503"/>
      <c r="E35" s="2503"/>
      <c r="F35" s="2503"/>
      <c r="G35" s="2503"/>
      <c r="H35" s="2503"/>
      <c r="I35" s="2503"/>
      <c r="J35" s="2535"/>
      <c r="K35" s="2535"/>
      <c r="L35" s="2535"/>
      <c r="M35" s="2535"/>
      <c r="N35" s="2535"/>
      <c r="O35" s="2535"/>
      <c r="P35" s="2535"/>
      <c r="Q35" s="2535"/>
      <c r="R35" s="2484">
        <v>0.3</v>
      </c>
      <c r="S35" s="2484"/>
      <c r="T35" s="2484"/>
      <c r="U35" s="2484"/>
      <c r="V35" s="2484">
        <v>0.4</v>
      </c>
      <c r="W35" s="2484"/>
      <c r="X35" s="2484"/>
      <c r="Y35" s="2484"/>
      <c r="Z35" s="2484">
        <v>0.5</v>
      </c>
      <c r="AA35" s="2484"/>
      <c r="AB35" s="2484"/>
      <c r="AC35" s="2484"/>
      <c r="AD35" s="2484">
        <v>0.6</v>
      </c>
      <c r="AE35" s="2484"/>
      <c r="AF35" s="2484"/>
      <c r="AG35" s="2484"/>
      <c r="AH35" s="2484">
        <v>0.7</v>
      </c>
      <c r="AI35" s="2484"/>
      <c r="AJ35" s="2484"/>
      <c r="AK35" s="2484"/>
      <c r="AL35" s="2505">
        <v>0.8</v>
      </c>
      <c r="AM35" s="2506"/>
      <c r="AN35" s="2506"/>
      <c r="AO35" s="2507"/>
      <c r="AP35" s="2508">
        <v>1.2</v>
      </c>
      <c r="AQ35" s="2509"/>
      <c r="AR35" s="2510"/>
      <c r="AS35" s="2511" t="s">
        <v>1803</v>
      </c>
      <c r="AT35" s="2512"/>
      <c r="AU35" s="2512"/>
      <c r="AV35" s="2512"/>
      <c r="AW35" s="2512"/>
      <c r="AX35" s="2513"/>
      <c r="AY35" s="2511" t="s">
        <v>1804</v>
      </c>
      <c r="AZ35" s="2512"/>
      <c r="BA35" s="2512"/>
      <c r="BB35" s="2512"/>
      <c r="BC35" s="2512"/>
      <c r="BD35" s="2514"/>
      <c r="BE35" s="1202"/>
    </row>
    <row r="36" spans="1:58" ht="15.75" customHeight="1">
      <c r="A36" s="1206"/>
      <c r="B36" s="2242" t="s">
        <v>1805</v>
      </c>
      <c r="C36" s="2243"/>
      <c r="D36" s="2243"/>
      <c r="E36" s="2243"/>
      <c r="F36" s="2243"/>
      <c r="G36" s="2243"/>
      <c r="H36" s="2243"/>
      <c r="I36" s="2243"/>
      <c r="J36" s="2474" t="s">
        <v>1806</v>
      </c>
      <c r="K36" s="2474"/>
      <c r="L36" s="2474"/>
      <c r="M36" s="2474"/>
      <c r="N36" s="2474">
        <v>55</v>
      </c>
      <c r="O36" s="2474"/>
      <c r="P36" s="2474"/>
      <c r="Q36" s="2474"/>
      <c r="R36" s="2220">
        <v>0</v>
      </c>
      <c r="S36" s="2220"/>
      <c r="T36" s="2220"/>
      <c r="U36" s="2220"/>
      <c r="V36" s="2220">
        <v>0</v>
      </c>
      <c r="W36" s="2220"/>
      <c r="X36" s="2220"/>
      <c r="Y36" s="2220"/>
      <c r="Z36" s="2220">
        <v>10</v>
      </c>
      <c r="AA36" s="2220"/>
      <c r="AB36" s="2220"/>
      <c r="AC36" s="2220"/>
      <c r="AD36" s="2220">
        <v>10</v>
      </c>
      <c r="AE36" s="2220"/>
      <c r="AF36" s="2220"/>
      <c r="AG36" s="2220"/>
      <c r="AH36" s="2220">
        <v>30</v>
      </c>
      <c r="AI36" s="2220"/>
      <c r="AJ36" s="2220"/>
      <c r="AK36" s="2220"/>
      <c r="AL36" s="2221">
        <v>0</v>
      </c>
      <c r="AM36" s="2222"/>
      <c r="AN36" s="2222"/>
      <c r="AO36" s="2223"/>
      <c r="AP36" s="2221">
        <v>0</v>
      </c>
      <c r="AQ36" s="2222"/>
      <c r="AR36" s="2223"/>
      <c r="AS36" s="2224">
        <f t="shared" ref="AS36:AS47" si="2">SUM(R36:AR36)</f>
        <v>50</v>
      </c>
      <c r="AT36" s="2225"/>
      <c r="AU36" s="2225"/>
      <c r="AV36" s="2225"/>
      <c r="AW36" s="2225"/>
      <c r="AX36" s="2226"/>
      <c r="AY36" s="2478">
        <f t="shared" ref="AY36:AY47" si="3">AS36/$J$29</f>
        <v>0.47619047619047616</v>
      </c>
      <c r="AZ36" s="2479"/>
      <c r="BA36" s="2479"/>
      <c r="BB36" s="2479"/>
      <c r="BC36" s="2479"/>
      <c r="BD36" s="2480"/>
      <c r="BE36" s="1202"/>
    </row>
    <row r="37" spans="1:58" ht="15.75" customHeight="1">
      <c r="A37" s="1206"/>
      <c r="B37" s="2242" t="s">
        <v>2474</v>
      </c>
      <c r="C37" s="2243"/>
      <c r="D37" s="2243"/>
      <c r="E37" s="2243"/>
      <c r="F37" s="2243"/>
      <c r="G37" s="2243"/>
      <c r="H37" s="2243"/>
      <c r="I37" s="2243"/>
      <c r="J37" s="2474" t="s">
        <v>1807</v>
      </c>
      <c r="K37" s="2474"/>
      <c r="L37" s="2474"/>
      <c r="M37" s="2474"/>
      <c r="N37" s="2474">
        <v>55</v>
      </c>
      <c r="O37" s="2474"/>
      <c r="P37" s="2474"/>
      <c r="Q37" s="2474"/>
      <c r="R37" s="2220">
        <v>10</v>
      </c>
      <c r="S37" s="2220"/>
      <c r="T37" s="2220"/>
      <c r="U37" s="2220"/>
      <c r="V37" s="2220"/>
      <c r="W37" s="2220"/>
      <c r="X37" s="2220"/>
      <c r="Y37" s="2220"/>
      <c r="Z37" s="2220"/>
      <c r="AA37" s="2220"/>
      <c r="AB37" s="2220"/>
      <c r="AC37" s="2220"/>
      <c r="AD37" s="2220"/>
      <c r="AE37" s="2220"/>
      <c r="AF37" s="2220"/>
      <c r="AG37" s="2220"/>
      <c r="AH37" s="2220"/>
      <c r="AI37" s="2220"/>
      <c r="AJ37" s="2220"/>
      <c r="AK37" s="2220"/>
      <c r="AL37" s="2221"/>
      <c r="AM37" s="2222"/>
      <c r="AN37" s="2222"/>
      <c r="AO37" s="2223"/>
      <c r="AP37" s="2221"/>
      <c r="AQ37" s="2222"/>
      <c r="AR37" s="2223"/>
      <c r="AS37" s="2224">
        <f t="shared" si="2"/>
        <v>10</v>
      </c>
      <c r="AT37" s="2225"/>
      <c r="AU37" s="2225"/>
      <c r="AV37" s="2225"/>
      <c r="AW37" s="2225"/>
      <c r="AX37" s="2226"/>
      <c r="AY37" s="2478">
        <f t="shared" si="3"/>
        <v>9.5238095238095233E-2</v>
      </c>
      <c r="AZ37" s="2479"/>
      <c r="BA37" s="2479"/>
      <c r="BB37" s="2479"/>
      <c r="BC37" s="2479"/>
      <c r="BD37" s="2480"/>
      <c r="BE37" s="1202"/>
    </row>
    <row r="38" spans="1:58" ht="15.75" customHeight="1">
      <c r="A38" s="1206"/>
      <c r="B38" s="2242" t="s">
        <v>2413</v>
      </c>
      <c r="C38" s="2243"/>
      <c r="D38" s="2243"/>
      <c r="E38" s="2243"/>
      <c r="F38" s="2243"/>
      <c r="G38" s="2243"/>
      <c r="H38" s="2243"/>
      <c r="I38" s="2243"/>
      <c r="J38" s="2474" t="s">
        <v>1808</v>
      </c>
      <c r="K38" s="2474"/>
      <c r="L38" s="2474"/>
      <c r="M38" s="2474"/>
      <c r="N38" s="2474">
        <v>55</v>
      </c>
      <c r="O38" s="2474"/>
      <c r="P38" s="2474"/>
      <c r="Q38" s="2474"/>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21"/>
      <c r="AM38" s="2222"/>
      <c r="AN38" s="2222"/>
      <c r="AO38" s="2223"/>
      <c r="AP38" s="2221"/>
      <c r="AQ38" s="2222"/>
      <c r="AR38" s="2223"/>
      <c r="AS38" s="2224">
        <f t="shared" si="2"/>
        <v>0</v>
      </c>
      <c r="AT38" s="2225"/>
      <c r="AU38" s="2225"/>
      <c r="AV38" s="2225"/>
      <c r="AW38" s="2225"/>
      <c r="AX38" s="2226"/>
      <c r="AY38" s="2478">
        <f t="shared" si="3"/>
        <v>0</v>
      </c>
      <c r="AZ38" s="2479"/>
      <c r="BA38" s="2479"/>
      <c r="BB38" s="2479"/>
      <c r="BC38" s="2479"/>
      <c r="BD38" s="2480"/>
      <c r="BE38" s="1202"/>
    </row>
    <row r="39" spans="1:58" ht="15.75" customHeight="1">
      <c r="A39" s="1206"/>
      <c r="B39" s="2242" t="s">
        <v>1809</v>
      </c>
      <c r="C39" s="2243"/>
      <c r="D39" s="2243"/>
      <c r="E39" s="2243"/>
      <c r="F39" s="2243"/>
      <c r="G39" s="2243"/>
      <c r="H39" s="2243"/>
      <c r="I39" s="2243"/>
      <c r="J39" s="2474"/>
      <c r="K39" s="2474"/>
      <c r="L39" s="2474"/>
      <c r="M39" s="2474"/>
      <c r="N39" s="2474"/>
      <c r="O39" s="2474"/>
      <c r="P39" s="2474"/>
      <c r="Q39" s="2474"/>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21"/>
      <c r="AM39" s="2222"/>
      <c r="AN39" s="2222"/>
      <c r="AO39" s="2223"/>
      <c r="AP39" s="2221"/>
      <c r="AQ39" s="2222"/>
      <c r="AR39" s="2223"/>
      <c r="AS39" s="2224">
        <f t="shared" si="2"/>
        <v>0</v>
      </c>
      <c r="AT39" s="2225"/>
      <c r="AU39" s="2225"/>
      <c r="AV39" s="2225"/>
      <c r="AW39" s="2225"/>
      <c r="AX39" s="2226"/>
      <c r="AY39" s="2478">
        <f t="shared" si="3"/>
        <v>0</v>
      </c>
      <c r="AZ39" s="2479"/>
      <c r="BA39" s="2479"/>
      <c r="BB39" s="2479"/>
      <c r="BC39" s="2479"/>
      <c r="BD39" s="2480"/>
      <c r="BE39" s="1202"/>
    </row>
    <row r="40" spans="1:58" ht="15.75" customHeight="1">
      <c r="A40" s="1206"/>
      <c r="B40" s="2242" t="s">
        <v>1809</v>
      </c>
      <c r="C40" s="2243"/>
      <c r="D40" s="2243"/>
      <c r="E40" s="2243"/>
      <c r="F40" s="2243"/>
      <c r="G40" s="2243"/>
      <c r="H40" s="2243"/>
      <c r="I40" s="2243"/>
      <c r="J40" s="2474"/>
      <c r="K40" s="2474"/>
      <c r="L40" s="2474"/>
      <c r="M40" s="2474"/>
      <c r="N40" s="2474"/>
      <c r="O40" s="2474"/>
      <c r="P40" s="2474"/>
      <c r="Q40" s="2474"/>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21"/>
      <c r="AM40" s="2222"/>
      <c r="AN40" s="2222"/>
      <c r="AO40" s="2223"/>
      <c r="AP40" s="2221"/>
      <c r="AQ40" s="2222"/>
      <c r="AR40" s="2223"/>
      <c r="AS40" s="2224">
        <f t="shared" si="2"/>
        <v>0</v>
      </c>
      <c r="AT40" s="2225"/>
      <c r="AU40" s="2225"/>
      <c r="AV40" s="2225"/>
      <c r="AW40" s="2225"/>
      <c r="AX40" s="2226"/>
      <c r="AY40" s="2478">
        <f t="shared" si="3"/>
        <v>0</v>
      </c>
      <c r="AZ40" s="2479"/>
      <c r="BA40" s="2479"/>
      <c r="BB40" s="2479"/>
      <c r="BC40" s="2479"/>
      <c r="BD40" s="2480"/>
      <c r="BE40" s="1202"/>
    </row>
    <row r="41" spans="1:58" ht="15.75" customHeight="1">
      <c r="A41" s="1206"/>
      <c r="B41" s="2242" t="s">
        <v>1810</v>
      </c>
      <c r="C41" s="2243"/>
      <c r="D41" s="2243"/>
      <c r="E41" s="2243"/>
      <c r="F41" s="2243"/>
      <c r="G41" s="2243"/>
      <c r="H41" s="2243"/>
      <c r="I41" s="2243"/>
      <c r="J41" s="2474"/>
      <c r="K41" s="2474"/>
      <c r="L41" s="2474"/>
      <c r="M41" s="2474"/>
      <c r="N41" s="2474"/>
      <c r="O41" s="2474"/>
      <c r="P41" s="2474"/>
      <c r="Q41" s="2474"/>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21"/>
      <c r="AM41" s="2222"/>
      <c r="AN41" s="2222"/>
      <c r="AO41" s="2223"/>
      <c r="AP41" s="2221"/>
      <c r="AQ41" s="2222"/>
      <c r="AR41" s="2223"/>
      <c r="AS41" s="2224">
        <f t="shared" si="2"/>
        <v>0</v>
      </c>
      <c r="AT41" s="2225"/>
      <c r="AU41" s="2225"/>
      <c r="AV41" s="2225"/>
      <c r="AW41" s="2225"/>
      <c r="AX41" s="2226"/>
      <c r="AY41" s="2478">
        <f t="shared" si="3"/>
        <v>0</v>
      </c>
      <c r="AZ41" s="2479"/>
      <c r="BA41" s="2479"/>
      <c r="BB41" s="2479"/>
      <c r="BC41" s="2479"/>
      <c r="BD41" s="2480"/>
      <c r="BE41" s="1202"/>
    </row>
    <row r="42" spans="1:58" ht="15.75" customHeight="1">
      <c r="A42" s="1206"/>
      <c r="B42" s="2242" t="s">
        <v>1810</v>
      </c>
      <c r="C42" s="2243"/>
      <c r="D42" s="2243"/>
      <c r="E42" s="2243"/>
      <c r="F42" s="2243"/>
      <c r="G42" s="2243"/>
      <c r="H42" s="2243"/>
      <c r="I42" s="2243"/>
      <c r="J42" s="2474"/>
      <c r="K42" s="2474"/>
      <c r="L42" s="2474"/>
      <c r="M42" s="2474"/>
      <c r="N42" s="2474"/>
      <c r="O42" s="2474"/>
      <c r="P42" s="2474"/>
      <c r="Q42" s="2474"/>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21"/>
      <c r="AM42" s="2222"/>
      <c r="AN42" s="2222"/>
      <c r="AO42" s="2223"/>
      <c r="AP42" s="2221"/>
      <c r="AQ42" s="2222"/>
      <c r="AR42" s="2223"/>
      <c r="AS42" s="2224">
        <f t="shared" si="2"/>
        <v>0</v>
      </c>
      <c r="AT42" s="2225"/>
      <c r="AU42" s="2225"/>
      <c r="AV42" s="2225"/>
      <c r="AW42" s="2225"/>
      <c r="AX42" s="2226"/>
      <c r="AY42" s="2478">
        <f t="shared" si="3"/>
        <v>0</v>
      </c>
      <c r="AZ42" s="2479"/>
      <c r="BA42" s="2479"/>
      <c r="BB42" s="2479"/>
      <c r="BC42" s="2479"/>
      <c r="BD42" s="2480"/>
      <c r="BE42" s="1202"/>
    </row>
    <row r="43" spans="1:58" ht="15.75" customHeight="1">
      <c r="A43" s="1206"/>
      <c r="B43" s="2213" t="s">
        <v>1811</v>
      </c>
      <c r="C43" s="2214"/>
      <c r="D43" s="2214"/>
      <c r="E43" s="2214"/>
      <c r="F43" s="2214"/>
      <c r="G43" s="2214"/>
      <c r="H43" s="2214"/>
      <c r="I43" s="2214"/>
      <c r="J43" s="2474"/>
      <c r="K43" s="2474"/>
      <c r="L43" s="2474"/>
      <c r="M43" s="2474"/>
      <c r="N43" s="2474"/>
      <c r="O43" s="2474"/>
      <c r="P43" s="2474"/>
      <c r="Q43" s="2474"/>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21"/>
      <c r="AM43" s="2222"/>
      <c r="AN43" s="2222"/>
      <c r="AO43" s="2223"/>
      <c r="AP43" s="2221"/>
      <c r="AQ43" s="2222"/>
      <c r="AR43" s="2223"/>
      <c r="AS43" s="2224">
        <f t="shared" si="2"/>
        <v>0</v>
      </c>
      <c r="AT43" s="2225"/>
      <c r="AU43" s="2225"/>
      <c r="AV43" s="2225"/>
      <c r="AW43" s="2225"/>
      <c r="AX43" s="2226"/>
      <c r="AY43" s="2478">
        <f t="shared" si="3"/>
        <v>0</v>
      </c>
      <c r="AZ43" s="2479"/>
      <c r="BA43" s="2479"/>
      <c r="BB43" s="2479"/>
      <c r="BC43" s="2479"/>
      <c r="BD43" s="2480"/>
      <c r="BE43" s="1202"/>
    </row>
    <row r="44" spans="1:58" ht="15.75" customHeight="1">
      <c r="A44" s="1206"/>
      <c r="B44" s="2213" t="s">
        <v>1812</v>
      </c>
      <c r="C44" s="2214"/>
      <c r="D44" s="2214"/>
      <c r="E44" s="2214"/>
      <c r="F44" s="2214"/>
      <c r="G44" s="2214"/>
      <c r="H44" s="2214"/>
      <c r="I44" s="2214"/>
      <c r="J44" s="2474"/>
      <c r="K44" s="2474"/>
      <c r="L44" s="2474"/>
      <c r="M44" s="2474"/>
      <c r="N44" s="2474"/>
      <c r="O44" s="2474"/>
      <c r="P44" s="2474"/>
      <c r="Q44" s="2474"/>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21"/>
      <c r="AM44" s="2222"/>
      <c r="AN44" s="2222"/>
      <c r="AO44" s="2223"/>
      <c r="AP44" s="2221"/>
      <c r="AQ44" s="2222"/>
      <c r="AR44" s="2223"/>
      <c r="AS44" s="2224">
        <f t="shared" si="2"/>
        <v>0</v>
      </c>
      <c r="AT44" s="2225"/>
      <c r="AU44" s="2225"/>
      <c r="AV44" s="2225"/>
      <c r="AW44" s="2225"/>
      <c r="AX44" s="2226"/>
      <c r="AY44" s="2478">
        <f t="shared" si="3"/>
        <v>0</v>
      </c>
      <c r="AZ44" s="2479"/>
      <c r="BA44" s="2479"/>
      <c r="BB44" s="2479"/>
      <c r="BC44" s="2479"/>
      <c r="BD44" s="2480"/>
      <c r="BE44" s="1202"/>
    </row>
    <row r="45" spans="1:58" ht="15.75" customHeight="1">
      <c r="A45" s="1206"/>
      <c r="B45" s="2213" t="s">
        <v>1813</v>
      </c>
      <c r="C45" s="2214"/>
      <c r="D45" s="2214"/>
      <c r="E45" s="2214"/>
      <c r="F45" s="2214"/>
      <c r="G45" s="2214"/>
      <c r="H45" s="2214"/>
      <c r="I45" s="2214"/>
      <c r="J45" s="2474"/>
      <c r="K45" s="2474"/>
      <c r="L45" s="2474"/>
      <c r="M45" s="2474"/>
      <c r="N45" s="2474"/>
      <c r="O45" s="2474"/>
      <c r="P45" s="2474"/>
      <c r="Q45" s="2474"/>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21"/>
      <c r="AM45" s="2222"/>
      <c r="AN45" s="2222"/>
      <c r="AO45" s="2223"/>
      <c r="AP45" s="2221"/>
      <c r="AQ45" s="2222"/>
      <c r="AR45" s="2223"/>
      <c r="AS45" s="2224">
        <f t="shared" si="2"/>
        <v>0</v>
      </c>
      <c r="AT45" s="2225"/>
      <c r="AU45" s="2225"/>
      <c r="AV45" s="2225"/>
      <c r="AW45" s="2225"/>
      <c r="AX45" s="2226"/>
      <c r="AY45" s="2478">
        <f t="shared" si="3"/>
        <v>0</v>
      </c>
      <c r="AZ45" s="2479"/>
      <c r="BA45" s="2479"/>
      <c r="BB45" s="2479"/>
      <c r="BC45" s="2479"/>
      <c r="BD45" s="2480"/>
      <c r="BE45" s="1202"/>
    </row>
    <row r="46" spans="1:58" ht="15.75" customHeight="1">
      <c r="A46" s="1206"/>
      <c r="B46" s="2213" t="s">
        <v>1814</v>
      </c>
      <c r="C46" s="2214"/>
      <c r="D46" s="2214"/>
      <c r="E46" s="2214"/>
      <c r="F46" s="2214"/>
      <c r="G46" s="2214"/>
      <c r="H46" s="2214"/>
      <c r="I46" s="2214"/>
      <c r="J46" s="2474"/>
      <c r="K46" s="2474"/>
      <c r="L46" s="2474"/>
      <c r="M46" s="2474"/>
      <c r="N46" s="2474">
        <v>99</v>
      </c>
      <c r="O46" s="2474"/>
      <c r="P46" s="2474"/>
      <c r="Q46" s="2474"/>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21"/>
      <c r="AM46" s="2222"/>
      <c r="AN46" s="2222"/>
      <c r="AO46" s="2223"/>
      <c r="AP46" s="2221"/>
      <c r="AQ46" s="2222"/>
      <c r="AR46" s="2223"/>
      <c r="AS46" s="2224">
        <f t="shared" si="2"/>
        <v>0</v>
      </c>
      <c r="AT46" s="2225"/>
      <c r="AU46" s="2225"/>
      <c r="AV46" s="2225"/>
      <c r="AW46" s="2225"/>
      <c r="AX46" s="2226"/>
      <c r="AY46" s="2478">
        <f t="shared" si="3"/>
        <v>0</v>
      </c>
      <c r="AZ46" s="2479"/>
      <c r="BA46" s="2479"/>
      <c r="BB46" s="2479"/>
      <c r="BC46" s="2479"/>
      <c r="BD46" s="2480"/>
      <c r="BE46" s="1202"/>
    </row>
    <row r="47" spans="1:58" ht="15.75" customHeight="1" thickBot="1">
      <c r="A47" s="1206"/>
      <c r="B47" s="2471" t="s">
        <v>301</v>
      </c>
      <c r="C47" s="2472"/>
      <c r="D47" s="2472"/>
      <c r="E47" s="2472"/>
      <c r="F47" s="2472"/>
      <c r="G47" s="2472"/>
      <c r="H47" s="2472"/>
      <c r="I47" s="2472"/>
      <c r="J47" s="2473"/>
      <c r="K47" s="2473"/>
      <c r="L47" s="2473"/>
      <c r="M47" s="2473"/>
      <c r="N47" s="2473"/>
      <c r="O47" s="2473"/>
      <c r="P47" s="2473"/>
      <c r="Q47" s="2473"/>
      <c r="R47" s="2467"/>
      <c r="S47" s="2467"/>
      <c r="T47" s="2467"/>
      <c r="U47" s="2467"/>
      <c r="V47" s="2467"/>
      <c r="W47" s="2467"/>
      <c r="X47" s="2467"/>
      <c r="Y47" s="2467"/>
      <c r="Z47" s="2467"/>
      <c r="AA47" s="2467"/>
      <c r="AB47" s="2467"/>
      <c r="AC47" s="2467"/>
      <c r="AD47" s="2467"/>
      <c r="AE47" s="2467"/>
      <c r="AF47" s="2467"/>
      <c r="AG47" s="2467"/>
      <c r="AH47" s="2467"/>
      <c r="AI47" s="2467"/>
      <c r="AJ47" s="2467"/>
      <c r="AK47" s="2467"/>
      <c r="AL47" s="2468"/>
      <c r="AM47" s="2469"/>
      <c r="AN47" s="2469"/>
      <c r="AO47" s="2470"/>
      <c r="AP47" s="2468"/>
      <c r="AQ47" s="2469"/>
      <c r="AR47" s="2470"/>
      <c r="AS47" s="2224">
        <f t="shared" si="2"/>
        <v>0</v>
      </c>
      <c r="AT47" s="2225"/>
      <c r="AU47" s="2225"/>
      <c r="AV47" s="2225"/>
      <c r="AW47" s="2225"/>
      <c r="AX47" s="2226"/>
      <c r="AY47" s="2475">
        <f t="shared" si="3"/>
        <v>0</v>
      </c>
      <c r="AZ47" s="2476"/>
      <c r="BA47" s="2476"/>
      <c r="BB47" s="2476"/>
      <c r="BC47" s="2476"/>
      <c r="BD47" s="2477"/>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5" t="s">
        <v>1815</v>
      </c>
      <c r="C50" s="2211"/>
      <c r="D50" s="2211"/>
      <c r="E50" s="2211"/>
      <c r="F50" s="2211"/>
      <c r="G50" s="2211"/>
      <c r="H50" s="2211"/>
      <c r="I50" s="2211"/>
      <c r="J50" s="2211"/>
      <c r="K50" s="2211"/>
      <c r="L50" s="2211"/>
      <c r="M50" s="2211"/>
      <c r="N50" s="2211"/>
      <c r="O50" s="2211"/>
      <c r="P50" s="2211"/>
      <c r="Q50" s="2211"/>
      <c r="R50" s="2211"/>
      <c r="S50" s="2211"/>
      <c r="T50" s="2211"/>
      <c r="U50" s="2211"/>
      <c r="V50" s="2211"/>
      <c r="W50" s="2211"/>
      <c r="X50" s="2211"/>
      <c r="Y50" s="2211"/>
      <c r="Z50" s="2211"/>
      <c r="AA50" s="2211"/>
      <c r="AB50" s="2211"/>
      <c r="AC50" s="2211"/>
      <c r="AD50" s="2211"/>
      <c r="AE50" s="2211"/>
      <c r="AF50" s="2211"/>
      <c r="AG50" s="2211"/>
      <c r="AH50" s="2211"/>
      <c r="AI50" s="2211"/>
      <c r="AJ50" s="2211"/>
      <c r="AK50" s="2211"/>
      <c r="AL50" s="2211"/>
      <c r="AM50" s="2211"/>
      <c r="AN50" s="2211"/>
      <c r="AO50" s="2212"/>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3" t="s">
        <v>1816</v>
      </c>
      <c r="C51" s="2174"/>
      <c r="D51" s="2174"/>
      <c r="E51" s="2174"/>
      <c r="F51" s="2174"/>
      <c r="G51" s="2174"/>
      <c r="H51" s="2174"/>
      <c r="I51" s="2174"/>
      <c r="J51" s="2174" t="s">
        <v>2476</v>
      </c>
      <c r="K51" s="2174"/>
      <c r="L51" s="2174"/>
      <c r="M51" s="2174"/>
      <c r="N51" s="2174"/>
      <c r="O51" s="2174"/>
      <c r="P51" s="2174"/>
      <c r="Q51" s="2174"/>
      <c r="R51" s="2465" t="s">
        <v>2477</v>
      </c>
      <c r="S51" s="2465"/>
      <c r="T51" s="2465"/>
      <c r="U51" s="2465"/>
      <c r="V51" s="2465"/>
      <c r="W51" s="2465"/>
      <c r="X51" s="2465"/>
      <c r="Y51" s="2465"/>
      <c r="Z51" s="2465" t="s">
        <v>1817</v>
      </c>
      <c r="AA51" s="2465"/>
      <c r="AB51" s="2465"/>
      <c r="AC51" s="2465"/>
      <c r="AD51" s="2465"/>
      <c r="AE51" s="2465"/>
      <c r="AF51" s="2465"/>
      <c r="AG51" s="2465"/>
      <c r="AH51" s="2465" t="s">
        <v>1818</v>
      </c>
      <c r="AI51" s="2465"/>
      <c r="AJ51" s="2465"/>
      <c r="AK51" s="2465"/>
      <c r="AL51" s="2465"/>
      <c r="AM51" s="2465"/>
      <c r="AN51" s="2465"/>
      <c r="AO51" s="2466"/>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3" t="s">
        <v>2184</v>
      </c>
      <c r="C52" s="2214"/>
      <c r="D52" s="2214"/>
      <c r="E52" s="2214"/>
      <c r="F52" s="2214"/>
      <c r="G52" s="2214"/>
      <c r="H52" s="2214"/>
      <c r="I52" s="2214"/>
      <c r="J52" s="2347">
        <v>0</v>
      </c>
      <c r="K52" s="2347"/>
      <c r="L52" s="2347"/>
      <c r="M52" s="2347"/>
      <c r="N52" s="2347"/>
      <c r="O52" s="2347"/>
      <c r="P52" s="2347"/>
      <c r="Q52" s="2347"/>
      <c r="R52" s="2453">
        <v>0</v>
      </c>
      <c r="S52" s="2453"/>
      <c r="T52" s="2453"/>
      <c r="U52" s="2453"/>
      <c r="V52" s="2453"/>
      <c r="W52" s="2453"/>
      <c r="X52" s="2453"/>
      <c r="Y52" s="2453"/>
      <c r="Z52" s="2454">
        <v>0</v>
      </c>
      <c r="AA52" s="2454"/>
      <c r="AB52" s="2454"/>
      <c r="AC52" s="2454"/>
      <c r="AD52" s="2454"/>
      <c r="AE52" s="2454"/>
      <c r="AF52" s="2454"/>
      <c r="AG52" s="2454"/>
      <c r="AH52" s="2455"/>
      <c r="AI52" s="2455"/>
      <c r="AJ52" s="2455"/>
      <c r="AK52" s="2455"/>
      <c r="AL52" s="2455"/>
      <c r="AM52" s="2455"/>
      <c r="AN52" s="2455"/>
      <c r="AO52" s="2456"/>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3" t="s">
        <v>2185</v>
      </c>
      <c r="C53" s="2214"/>
      <c r="D53" s="2214"/>
      <c r="E53" s="2214"/>
      <c r="F53" s="2214"/>
      <c r="G53" s="2214"/>
      <c r="H53" s="2214"/>
      <c r="I53" s="2214"/>
      <c r="J53" s="2347">
        <v>0</v>
      </c>
      <c r="K53" s="2347"/>
      <c r="L53" s="2347"/>
      <c r="M53" s="2347"/>
      <c r="N53" s="2347"/>
      <c r="O53" s="2347"/>
      <c r="P53" s="2347"/>
      <c r="Q53" s="2347"/>
      <c r="R53" s="2453">
        <v>0</v>
      </c>
      <c r="S53" s="2453"/>
      <c r="T53" s="2453"/>
      <c r="U53" s="2453"/>
      <c r="V53" s="2453"/>
      <c r="W53" s="2453"/>
      <c r="X53" s="2453"/>
      <c r="Y53" s="2453"/>
      <c r="Z53" s="2454">
        <v>0</v>
      </c>
      <c r="AA53" s="2454"/>
      <c r="AB53" s="2454"/>
      <c r="AC53" s="2454"/>
      <c r="AD53" s="2454"/>
      <c r="AE53" s="2454"/>
      <c r="AF53" s="2454"/>
      <c r="AG53" s="2454"/>
      <c r="AH53" s="2455"/>
      <c r="AI53" s="2455"/>
      <c r="AJ53" s="2455"/>
      <c r="AK53" s="2455"/>
      <c r="AL53" s="2455"/>
      <c r="AM53" s="2455"/>
      <c r="AN53" s="2455"/>
      <c r="AO53" s="2456"/>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3"/>
      <c r="C54" s="2214"/>
      <c r="D54" s="2214"/>
      <c r="E54" s="2214"/>
      <c r="F54" s="2214"/>
      <c r="G54" s="2214"/>
      <c r="H54" s="2214"/>
      <c r="I54" s="2214"/>
      <c r="J54" s="2347"/>
      <c r="K54" s="2347"/>
      <c r="L54" s="2347"/>
      <c r="M54" s="2347"/>
      <c r="N54" s="2347"/>
      <c r="O54" s="2347"/>
      <c r="P54" s="2347"/>
      <c r="Q54" s="2347"/>
      <c r="R54" s="2453"/>
      <c r="S54" s="2453"/>
      <c r="T54" s="2453"/>
      <c r="U54" s="2453"/>
      <c r="V54" s="2453"/>
      <c r="W54" s="2453"/>
      <c r="X54" s="2453"/>
      <c r="Y54" s="2453"/>
      <c r="Z54" s="2454"/>
      <c r="AA54" s="2454"/>
      <c r="AB54" s="2454"/>
      <c r="AC54" s="2454"/>
      <c r="AD54" s="2454"/>
      <c r="AE54" s="2454"/>
      <c r="AF54" s="2454"/>
      <c r="AG54" s="2454"/>
      <c r="AH54" s="2455"/>
      <c r="AI54" s="2455"/>
      <c r="AJ54" s="2455"/>
      <c r="AK54" s="2455"/>
      <c r="AL54" s="2455"/>
      <c r="AM54" s="2455"/>
      <c r="AN54" s="2455"/>
      <c r="AO54" s="2456"/>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3"/>
      <c r="C55" s="2214"/>
      <c r="D55" s="2214"/>
      <c r="E55" s="2214"/>
      <c r="F55" s="2214"/>
      <c r="G55" s="2214"/>
      <c r="H55" s="2214"/>
      <c r="I55" s="2214"/>
      <c r="J55" s="2347"/>
      <c r="K55" s="2347"/>
      <c r="L55" s="2347"/>
      <c r="M55" s="2347"/>
      <c r="N55" s="2347"/>
      <c r="O55" s="2347"/>
      <c r="P55" s="2347"/>
      <c r="Q55" s="2347"/>
      <c r="R55" s="2453"/>
      <c r="S55" s="2453"/>
      <c r="T55" s="2453"/>
      <c r="U55" s="2453"/>
      <c r="V55" s="2453"/>
      <c r="W55" s="2453"/>
      <c r="X55" s="2453"/>
      <c r="Y55" s="2453"/>
      <c r="Z55" s="2454"/>
      <c r="AA55" s="2454"/>
      <c r="AB55" s="2454"/>
      <c r="AC55" s="2454"/>
      <c r="AD55" s="2454"/>
      <c r="AE55" s="2454"/>
      <c r="AF55" s="2454"/>
      <c r="AG55" s="2454"/>
      <c r="AH55" s="2455"/>
      <c r="AI55" s="2455"/>
      <c r="AJ55" s="2455"/>
      <c r="AK55" s="2455"/>
      <c r="AL55" s="2455"/>
      <c r="AM55" s="2455"/>
      <c r="AN55" s="2455"/>
      <c r="AO55" s="2456"/>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3"/>
      <c r="C56" s="2214"/>
      <c r="D56" s="2214"/>
      <c r="E56" s="2214"/>
      <c r="F56" s="2214"/>
      <c r="G56" s="2214"/>
      <c r="H56" s="2214"/>
      <c r="I56" s="2214"/>
      <c r="J56" s="2347"/>
      <c r="K56" s="2347"/>
      <c r="L56" s="2347"/>
      <c r="M56" s="2347"/>
      <c r="N56" s="2347"/>
      <c r="O56" s="2347"/>
      <c r="P56" s="2347"/>
      <c r="Q56" s="2347"/>
      <c r="R56" s="2453"/>
      <c r="S56" s="2453"/>
      <c r="T56" s="2453"/>
      <c r="U56" s="2453"/>
      <c r="V56" s="2453"/>
      <c r="W56" s="2453"/>
      <c r="X56" s="2453"/>
      <c r="Y56" s="2453"/>
      <c r="Z56" s="2454"/>
      <c r="AA56" s="2454"/>
      <c r="AB56" s="2454"/>
      <c r="AC56" s="2454"/>
      <c r="AD56" s="2454"/>
      <c r="AE56" s="2454"/>
      <c r="AF56" s="2454"/>
      <c r="AG56" s="2454"/>
      <c r="AH56" s="2455"/>
      <c r="AI56" s="2455"/>
      <c r="AJ56" s="2455"/>
      <c r="AK56" s="2455"/>
      <c r="AL56" s="2455"/>
      <c r="AM56" s="2455"/>
      <c r="AN56" s="2455"/>
      <c r="AO56" s="2456"/>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7" t="s">
        <v>1697</v>
      </c>
      <c r="C57" s="2168"/>
      <c r="D57" s="2168"/>
      <c r="E57" s="2168"/>
      <c r="F57" s="2168"/>
      <c r="G57" s="2168"/>
      <c r="H57" s="2168"/>
      <c r="I57" s="2168"/>
      <c r="J57" s="2168"/>
      <c r="K57" s="2168"/>
      <c r="L57" s="2168"/>
      <c r="M57" s="2168"/>
      <c r="N57" s="2168"/>
      <c r="O57" s="2168"/>
      <c r="P57" s="2168"/>
      <c r="Q57" s="2168"/>
      <c r="R57" s="2457">
        <f>SUM(R52:Y56)</f>
        <v>0</v>
      </c>
      <c r="S57" s="2457"/>
      <c r="T57" s="2457"/>
      <c r="U57" s="2457"/>
      <c r="V57" s="2457"/>
      <c r="W57" s="2457"/>
      <c r="X57" s="2457"/>
      <c r="Y57" s="2457"/>
      <c r="Z57" s="2458">
        <f>SUM(Z52:AG56)</f>
        <v>0</v>
      </c>
      <c r="AA57" s="2458"/>
      <c r="AB57" s="2458"/>
      <c r="AC57" s="2458"/>
      <c r="AD57" s="2458"/>
      <c r="AE57" s="2458"/>
      <c r="AF57" s="2458"/>
      <c r="AG57" s="2458"/>
      <c r="AH57" s="2459"/>
      <c r="AI57" s="2459"/>
      <c r="AJ57" s="2459"/>
      <c r="AK57" s="2459"/>
      <c r="AL57" s="2459"/>
      <c r="AM57" s="2459"/>
      <c r="AN57" s="2459"/>
      <c r="AO57" s="2460"/>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1" t="s">
        <v>1816</v>
      </c>
      <c r="C59" s="2462"/>
      <c r="D59" s="2462"/>
      <c r="E59" s="2462"/>
      <c r="F59" s="2462"/>
      <c r="G59" s="2462"/>
      <c r="H59" s="2462"/>
      <c r="I59" s="2463"/>
      <c r="J59" s="2427" t="s">
        <v>2478</v>
      </c>
      <c r="K59" s="2427"/>
      <c r="L59" s="2427"/>
      <c r="M59" s="2427"/>
      <c r="N59" s="2427"/>
      <c r="O59" s="2427"/>
      <c r="P59" s="2427"/>
      <c r="Q59" s="2427"/>
      <c r="R59" s="2427"/>
      <c r="S59" s="2427"/>
      <c r="T59" s="2427"/>
      <c r="U59" s="2427"/>
      <c r="V59" s="2427"/>
      <c r="W59" s="2427"/>
      <c r="X59" s="2427"/>
      <c r="Y59" s="2427"/>
      <c r="Z59" s="2427"/>
      <c r="AA59" s="2427"/>
      <c r="AB59" s="2427"/>
      <c r="AC59" s="2427"/>
      <c r="AD59" s="2427"/>
      <c r="AE59" s="2427"/>
      <c r="AF59" s="2427"/>
      <c r="AG59" s="2427"/>
      <c r="AH59" s="2427"/>
      <c r="AI59" s="2427"/>
      <c r="AJ59" s="2427"/>
      <c r="AK59" s="2427"/>
      <c r="AL59" s="2427"/>
      <c r="AM59" s="2427"/>
      <c r="AN59" s="2427"/>
      <c r="AO59" s="2427"/>
      <c r="AP59" s="2427"/>
      <c r="AQ59" s="2427"/>
      <c r="AR59" s="2427"/>
      <c r="AS59" s="2427"/>
      <c r="AT59" s="2427"/>
      <c r="AU59" s="2427"/>
      <c r="AV59" s="2427"/>
      <c r="AW59" s="2428"/>
      <c r="AX59" s="1206"/>
      <c r="AY59" s="1206"/>
      <c r="AZ59" s="1206"/>
      <c r="BA59" s="1206"/>
      <c r="BB59" s="1206"/>
      <c r="BC59" s="1206"/>
      <c r="BD59" s="1206"/>
      <c r="BE59" s="1202"/>
    </row>
    <row r="60" spans="1:58" ht="15.75" customHeight="1">
      <c r="A60" s="1206"/>
      <c r="B60" s="2446" t="str">
        <f>IF(B52="", "", B52)</f>
        <v>Services Company 1</v>
      </c>
      <c r="C60" s="2447"/>
      <c r="D60" s="2447"/>
      <c r="E60" s="2447"/>
      <c r="F60" s="2447"/>
      <c r="G60" s="2447"/>
      <c r="H60" s="2447"/>
      <c r="I60" s="2448"/>
      <c r="J60" s="2449"/>
      <c r="K60" s="2350"/>
      <c r="L60" s="2350"/>
      <c r="M60" s="2350"/>
      <c r="N60" s="2350"/>
      <c r="O60" s="2350"/>
      <c r="P60" s="2350"/>
      <c r="Q60" s="2350"/>
      <c r="R60" s="2350"/>
      <c r="S60" s="2350"/>
      <c r="T60" s="2350"/>
      <c r="U60" s="2350"/>
      <c r="V60" s="2350"/>
      <c r="W60" s="2350"/>
      <c r="X60" s="2350"/>
      <c r="Y60" s="2350"/>
      <c r="Z60" s="2350"/>
      <c r="AA60" s="2350"/>
      <c r="AB60" s="2350"/>
      <c r="AC60" s="2350"/>
      <c r="AD60" s="2350"/>
      <c r="AE60" s="2350"/>
      <c r="AF60" s="2350"/>
      <c r="AG60" s="2350"/>
      <c r="AH60" s="2350"/>
      <c r="AI60" s="2350"/>
      <c r="AJ60" s="2350"/>
      <c r="AK60" s="2350"/>
      <c r="AL60" s="2350"/>
      <c r="AM60" s="2350"/>
      <c r="AN60" s="2350"/>
      <c r="AO60" s="2350"/>
      <c r="AP60" s="2350"/>
      <c r="AQ60" s="2350"/>
      <c r="AR60" s="2350"/>
      <c r="AS60" s="2350"/>
      <c r="AT60" s="2350"/>
      <c r="AU60" s="2350"/>
      <c r="AV60" s="2350"/>
      <c r="AW60" s="2351"/>
      <c r="AX60" s="1206"/>
      <c r="AY60" s="1206"/>
      <c r="AZ60" s="1206"/>
      <c r="BA60" s="1206"/>
      <c r="BB60" s="1206"/>
      <c r="BC60" s="1206"/>
      <c r="BD60" s="1206"/>
      <c r="BE60" s="1202"/>
    </row>
    <row r="61" spans="1:58" ht="15.75" customHeight="1">
      <c r="A61" s="1206"/>
      <c r="B61" s="2446" t="str">
        <f>IF(B53="", "", B53)</f>
        <v>Services Company 2</v>
      </c>
      <c r="C61" s="2447"/>
      <c r="D61" s="2447"/>
      <c r="E61" s="2447"/>
      <c r="F61" s="2447"/>
      <c r="G61" s="2447"/>
      <c r="H61" s="2447"/>
      <c r="I61" s="2448"/>
      <c r="J61" s="2449"/>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1"/>
      <c r="AX61" s="1206"/>
      <c r="AY61" s="1206"/>
      <c r="AZ61" s="1206"/>
      <c r="BA61" s="1206"/>
      <c r="BB61" s="1206"/>
      <c r="BC61" s="1206"/>
      <c r="BD61" s="1206"/>
      <c r="BE61" s="1202"/>
    </row>
    <row r="62" spans="1:58" ht="15.75" customHeight="1">
      <c r="A62" s="1206"/>
      <c r="B62" s="2446" t="str">
        <f>IF(B54="", "", B54)</f>
        <v/>
      </c>
      <c r="C62" s="2447"/>
      <c r="D62" s="2447"/>
      <c r="E62" s="2447"/>
      <c r="F62" s="2447"/>
      <c r="G62" s="2447"/>
      <c r="H62" s="2447"/>
      <c r="I62" s="2448"/>
      <c r="J62" s="2449"/>
      <c r="K62" s="2350"/>
      <c r="L62" s="2350"/>
      <c r="M62" s="2350"/>
      <c r="N62" s="2350"/>
      <c r="O62" s="2350"/>
      <c r="P62" s="2350"/>
      <c r="Q62" s="2350"/>
      <c r="R62" s="2350"/>
      <c r="S62" s="2350"/>
      <c r="T62" s="2350"/>
      <c r="U62" s="2350"/>
      <c r="V62" s="2350"/>
      <c r="W62" s="2350"/>
      <c r="X62" s="2350"/>
      <c r="Y62" s="2350"/>
      <c r="Z62" s="2350"/>
      <c r="AA62" s="2350"/>
      <c r="AB62" s="2350"/>
      <c r="AC62" s="2350"/>
      <c r="AD62" s="2350"/>
      <c r="AE62" s="2350"/>
      <c r="AF62" s="2350"/>
      <c r="AG62" s="2350"/>
      <c r="AH62" s="2350"/>
      <c r="AI62" s="2350"/>
      <c r="AJ62" s="2350"/>
      <c r="AK62" s="2350"/>
      <c r="AL62" s="2350"/>
      <c r="AM62" s="2350"/>
      <c r="AN62" s="2350"/>
      <c r="AO62" s="2350"/>
      <c r="AP62" s="2350"/>
      <c r="AQ62" s="2350"/>
      <c r="AR62" s="2350"/>
      <c r="AS62" s="2350"/>
      <c r="AT62" s="2350"/>
      <c r="AU62" s="2350"/>
      <c r="AV62" s="2350"/>
      <c r="AW62" s="2351"/>
      <c r="AX62" s="1206"/>
      <c r="AY62" s="1206"/>
      <c r="AZ62" s="1206"/>
      <c r="BA62" s="1206"/>
      <c r="BB62" s="1206"/>
      <c r="BC62" s="1206"/>
      <c r="BD62" s="1206"/>
      <c r="BE62" s="1202"/>
    </row>
    <row r="63" spans="1:58" ht="15.75" customHeight="1">
      <c r="A63" s="1206"/>
      <c r="B63" s="2446" t="str">
        <f>IF(B55="", "", B55)</f>
        <v/>
      </c>
      <c r="C63" s="2447"/>
      <c r="D63" s="2447"/>
      <c r="E63" s="2447"/>
      <c r="F63" s="2447"/>
      <c r="G63" s="2447"/>
      <c r="H63" s="2447"/>
      <c r="I63" s="2448"/>
      <c r="J63" s="2449"/>
      <c r="K63" s="2350"/>
      <c r="L63" s="2350"/>
      <c r="M63" s="2350"/>
      <c r="N63" s="2350"/>
      <c r="O63" s="2350"/>
      <c r="P63" s="2350"/>
      <c r="Q63" s="2350"/>
      <c r="R63" s="2350"/>
      <c r="S63" s="2350"/>
      <c r="T63" s="2350"/>
      <c r="U63" s="2350"/>
      <c r="V63" s="2350"/>
      <c r="W63" s="2350"/>
      <c r="X63" s="2350"/>
      <c r="Y63" s="2350"/>
      <c r="Z63" s="2350"/>
      <c r="AA63" s="2350"/>
      <c r="AB63" s="2350"/>
      <c r="AC63" s="2350"/>
      <c r="AD63" s="2350"/>
      <c r="AE63" s="2350"/>
      <c r="AF63" s="2350"/>
      <c r="AG63" s="2350"/>
      <c r="AH63" s="2350"/>
      <c r="AI63" s="2350"/>
      <c r="AJ63" s="2350"/>
      <c r="AK63" s="2350"/>
      <c r="AL63" s="2350"/>
      <c r="AM63" s="2350"/>
      <c r="AN63" s="2350"/>
      <c r="AO63" s="2350"/>
      <c r="AP63" s="2350"/>
      <c r="AQ63" s="2350"/>
      <c r="AR63" s="2350"/>
      <c r="AS63" s="2350"/>
      <c r="AT63" s="2350"/>
      <c r="AU63" s="2350"/>
      <c r="AV63" s="2350"/>
      <c r="AW63" s="2351"/>
      <c r="AX63" s="1206"/>
      <c r="AY63" s="1206"/>
      <c r="AZ63" s="1206"/>
      <c r="BA63" s="1206"/>
      <c r="BB63" s="1206"/>
      <c r="BC63" s="1206"/>
      <c r="BD63" s="1206"/>
      <c r="BE63" s="1202"/>
    </row>
    <row r="64" spans="1:58" ht="15.75" customHeight="1" thickBot="1">
      <c r="A64" s="1206"/>
      <c r="B64" s="2450" t="str">
        <f>IF(B56="", "", B56)</f>
        <v/>
      </c>
      <c r="C64" s="2451"/>
      <c r="D64" s="2451"/>
      <c r="E64" s="2451"/>
      <c r="F64" s="2451"/>
      <c r="G64" s="2451"/>
      <c r="H64" s="2451"/>
      <c r="I64" s="2452"/>
      <c r="J64" s="2464"/>
      <c r="K64" s="2444"/>
      <c r="L64" s="2444"/>
      <c r="M64" s="2444"/>
      <c r="N64" s="2444"/>
      <c r="O64" s="2444"/>
      <c r="P64" s="2444"/>
      <c r="Q64" s="2444"/>
      <c r="R64" s="2444"/>
      <c r="S64" s="2444"/>
      <c r="T64" s="2444"/>
      <c r="U64" s="2444"/>
      <c r="V64" s="2444"/>
      <c r="W64" s="2444"/>
      <c r="X64" s="2444"/>
      <c r="Y64" s="2444"/>
      <c r="Z64" s="2444"/>
      <c r="AA64" s="2444"/>
      <c r="AB64" s="2444"/>
      <c r="AC64" s="2444"/>
      <c r="AD64" s="2444"/>
      <c r="AE64" s="2444"/>
      <c r="AF64" s="2444"/>
      <c r="AG64" s="2444"/>
      <c r="AH64" s="2444"/>
      <c r="AI64" s="2444"/>
      <c r="AJ64" s="2444"/>
      <c r="AK64" s="2444"/>
      <c r="AL64" s="2444"/>
      <c r="AM64" s="2444"/>
      <c r="AN64" s="2444"/>
      <c r="AO64" s="2444"/>
      <c r="AP64" s="2444"/>
      <c r="AQ64" s="2444"/>
      <c r="AR64" s="2444"/>
      <c r="AS64" s="2444"/>
      <c r="AT64" s="2444"/>
      <c r="AU64" s="2444"/>
      <c r="AV64" s="2444"/>
      <c r="AW64" s="2445"/>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6" t="s">
        <v>1820</v>
      </c>
      <c r="C68" s="2427"/>
      <c r="D68" s="2427"/>
      <c r="E68" s="2427"/>
      <c r="F68" s="2427"/>
      <c r="G68" s="2427"/>
      <c r="H68" s="2427"/>
      <c r="I68" s="2427"/>
      <c r="J68" s="2427"/>
      <c r="K68" s="2427"/>
      <c r="L68" s="2427"/>
      <c r="M68" s="2427"/>
      <c r="N68" s="2427"/>
      <c r="O68" s="2427"/>
      <c r="P68" s="2427"/>
      <c r="Q68" s="2427"/>
      <c r="R68" s="2427"/>
      <c r="S68" s="2427"/>
      <c r="T68" s="2427"/>
      <c r="U68" s="2427"/>
      <c r="V68" s="2427"/>
      <c r="W68" s="2427"/>
      <c r="X68" s="2427"/>
      <c r="Y68" s="2427"/>
      <c r="Z68" s="2427"/>
      <c r="AA68" s="2428"/>
      <c r="AB68" s="1206"/>
      <c r="AC68" s="2178" t="s">
        <v>1821</v>
      </c>
      <c r="AD68" s="2179"/>
      <c r="AE68" s="2179"/>
      <c r="AF68" s="2179"/>
      <c r="AG68" s="2179"/>
      <c r="AH68" s="2179"/>
      <c r="AI68" s="2179"/>
      <c r="AJ68" s="2179"/>
      <c r="AK68" s="2179"/>
      <c r="AL68" s="2179"/>
      <c r="AM68" s="2179"/>
      <c r="AN68" s="2179"/>
      <c r="AO68" s="2179"/>
      <c r="AP68" s="2179"/>
      <c r="AQ68" s="2179"/>
      <c r="AR68" s="2179"/>
      <c r="AS68" s="2179"/>
      <c r="AT68" s="2179"/>
      <c r="AU68" s="2179"/>
      <c r="AV68" s="2229" t="s">
        <v>678</v>
      </c>
      <c r="AW68" s="2230"/>
      <c r="AX68" s="2230"/>
      <c r="AY68" s="2230"/>
      <c r="AZ68" s="2230"/>
      <c r="BA68" s="2230"/>
      <c r="BB68" s="2230"/>
      <c r="BC68" s="2231"/>
      <c r="BD68" s="1206"/>
      <c r="BE68" s="1202"/>
      <c r="BM68" s="1251" t="s">
        <v>2479</v>
      </c>
    </row>
    <row r="69" spans="1:65" ht="15.75" customHeight="1" thickTop="1" thickBot="1">
      <c r="A69" s="1206"/>
      <c r="B69" s="2232" t="s">
        <v>1822</v>
      </c>
      <c r="C69" s="2233"/>
      <c r="D69" s="2233"/>
      <c r="E69" s="2233"/>
      <c r="F69" s="2233"/>
      <c r="G69" s="2233"/>
      <c r="H69" s="2233"/>
      <c r="I69" s="2233"/>
      <c r="J69" s="2233"/>
      <c r="K69" s="2233"/>
      <c r="L69" s="2233"/>
      <c r="M69" s="2233"/>
      <c r="N69" s="2233"/>
      <c r="O69" s="2234" t="s">
        <v>1823</v>
      </c>
      <c r="P69" s="2235"/>
      <c r="Q69" s="2235"/>
      <c r="R69" s="2235"/>
      <c r="S69" s="2235"/>
      <c r="T69" s="2235"/>
      <c r="U69" s="2235"/>
      <c r="V69" s="2235"/>
      <c r="W69" s="2235"/>
      <c r="X69" s="2235"/>
      <c r="Y69" s="2235"/>
      <c r="Z69" s="2235"/>
      <c r="AA69" s="2236"/>
      <c r="AB69" s="1206"/>
      <c r="AC69" s="2237" t="s">
        <v>1824</v>
      </c>
      <c r="AD69" s="2238"/>
      <c r="AE69" s="2238"/>
      <c r="AF69" s="2238"/>
      <c r="AG69" s="2238"/>
      <c r="AH69" s="2238"/>
      <c r="AI69" s="2238"/>
      <c r="AJ69" s="2238"/>
      <c r="AK69" s="2238"/>
      <c r="AL69" s="2238"/>
      <c r="AM69" s="2238"/>
      <c r="AN69" s="2238"/>
      <c r="AO69" s="2238"/>
      <c r="AP69" s="2238"/>
      <c r="AQ69" s="2238"/>
      <c r="AR69" s="2238"/>
      <c r="AS69" s="2238"/>
      <c r="AT69" s="2238"/>
      <c r="AU69" s="2238"/>
      <c r="AV69" s="2239"/>
      <c r="AW69" s="2240"/>
      <c r="AX69" s="2240"/>
      <c r="AY69" s="2240"/>
      <c r="AZ69" s="2240"/>
      <c r="BA69" s="2240"/>
      <c r="BB69" s="2240"/>
      <c r="BC69" s="2241"/>
      <c r="BD69" s="1206"/>
      <c r="BE69" s="1202"/>
      <c r="BM69" s="1250" t="s">
        <v>554</v>
      </c>
    </row>
    <row r="70" spans="1:65" ht="15.75" customHeight="1">
      <c r="A70" s="1206"/>
      <c r="B70" s="2242" t="s">
        <v>2480</v>
      </c>
      <c r="C70" s="2243"/>
      <c r="D70" s="2243"/>
      <c r="E70" s="2243"/>
      <c r="F70" s="2243"/>
      <c r="G70" s="2243"/>
      <c r="H70" s="2243"/>
      <c r="I70" s="2243"/>
      <c r="J70" s="2243"/>
      <c r="K70" s="2243"/>
      <c r="L70" s="2243"/>
      <c r="M70" s="2243"/>
      <c r="N70" s="2243"/>
      <c r="O70" s="2207">
        <v>0</v>
      </c>
      <c r="P70" s="2207"/>
      <c r="Q70" s="2207"/>
      <c r="R70" s="2207"/>
      <c r="S70" s="2207"/>
      <c r="T70" s="2207"/>
      <c r="U70" s="2207"/>
      <c r="V70" s="2207"/>
      <c r="W70" s="2207"/>
      <c r="X70" s="2207"/>
      <c r="Y70" s="2207"/>
      <c r="Z70" s="2207"/>
      <c r="AA70" s="2208"/>
      <c r="AB70" s="1206"/>
      <c r="AC70" s="2415" t="s">
        <v>1825</v>
      </c>
      <c r="AD70" s="2211"/>
      <c r="AE70" s="2211"/>
      <c r="AF70" s="2440"/>
      <c r="AG70" s="2440"/>
      <c r="AH70" s="2440"/>
      <c r="AI70" s="2440"/>
      <c r="AJ70" s="2440"/>
      <c r="AK70" s="2440"/>
      <c r="AL70" s="2440"/>
      <c r="AM70" s="2440"/>
      <c r="AN70" s="2440"/>
      <c r="AO70" s="2440"/>
      <c r="AP70" s="2440"/>
      <c r="AQ70" s="2440"/>
      <c r="AR70" s="2440"/>
      <c r="AS70" s="2440"/>
      <c r="AT70" s="2440"/>
      <c r="AU70" s="2441"/>
      <c r="AV70" s="1206"/>
      <c r="AW70" s="1206"/>
      <c r="AX70" s="1206"/>
      <c r="AY70" s="1206"/>
      <c r="AZ70" s="1206"/>
      <c r="BA70" s="1206"/>
      <c r="BB70" s="1206"/>
      <c r="BC70" s="1206"/>
      <c r="BD70" s="1206"/>
      <c r="BE70" s="1202"/>
      <c r="BM70" s="1249" t="s">
        <v>678</v>
      </c>
    </row>
    <row r="71" spans="1:65" ht="15.75" customHeight="1" thickBot="1">
      <c r="A71" s="1206"/>
      <c r="B71" s="2242" t="s">
        <v>2481</v>
      </c>
      <c r="C71" s="2243"/>
      <c r="D71" s="2243"/>
      <c r="E71" s="2243"/>
      <c r="F71" s="2243"/>
      <c r="G71" s="2243"/>
      <c r="H71" s="2243"/>
      <c r="I71" s="2243"/>
      <c r="J71" s="2243"/>
      <c r="K71" s="2243"/>
      <c r="L71" s="2243"/>
      <c r="M71" s="2243"/>
      <c r="N71" s="2243"/>
      <c r="O71" s="2207">
        <v>0</v>
      </c>
      <c r="P71" s="2207"/>
      <c r="Q71" s="2207"/>
      <c r="R71" s="2207"/>
      <c r="S71" s="2207"/>
      <c r="T71" s="2207"/>
      <c r="U71" s="2207"/>
      <c r="V71" s="2207"/>
      <c r="W71" s="2207"/>
      <c r="X71" s="2207"/>
      <c r="Y71" s="2207"/>
      <c r="Z71" s="2207"/>
      <c r="AA71" s="2208"/>
      <c r="AB71" s="1206"/>
      <c r="AC71" s="2442" t="s">
        <v>1826</v>
      </c>
      <c r="AD71" s="2443"/>
      <c r="AE71" s="2443"/>
      <c r="AF71" s="2444"/>
      <c r="AG71" s="2444"/>
      <c r="AH71" s="2444"/>
      <c r="AI71" s="2444"/>
      <c r="AJ71" s="2444"/>
      <c r="AK71" s="2444"/>
      <c r="AL71" s="2444"/>
      <c r="AM71" s="2444"/>
      <c r="AN71" s="2444"/>
      <c r="AO71" s="2444"/>
      <c r="AP71" s="2444"/>
      <c r="AQ71" s="2444"/>
      <c r="AR71" s="2444"/>
      <c r="AS71" s="2444"/>
      <c r="AT71" s="2444"/>
      <c r="AU71" s="2445"/>
      <c r="AV71" s="1206"/>
      <c r="AW71" s="1206"/>
      <c r="AX71" s="1206"/>
      <c r="AY71" s="1206"/>
      <c r="AZ71" s="1206"/>
      <c r="BA71" s="1206"/>
      <c r="BB71" s="1206"/>
      <c r="BC71" s="1206"/>
      <c r="BD71" s="1206"/>
      <c r="BE71" s="1202"/>
      <c r="BM71" s="1197" t="s">
        <v>2482</v>
      </c>
    </row>
    <row r="72" spans="1:65" ht="15.75" customHeight="1">
      <c r="A72" s="1206"/>
      <c r="B72" s="2242" t="s">
        <v>2483</v>
      </c>
      <c r="C72" s="2243"/>
      <c r="D72" s="2243"/>
      <c r="E72" s="2243"/>
      <c r="F72" s="2243"/>
      <c r="G72" s="2243"/>
      <c r="H72" s="2243"/>
      <c r="I72" s="2243"/>
      <c r="J72" s="2243"/>
      <c r="K72" s="2243"/>
      <c r="L72" s="2243"/>
      <c r="M72" s="2243"/>
      <c r="N72" s="2243"/>
      <c r="O72" s="2207">
        <v>0</v>
      </c>
      <c r="P72" s="2207"/>
      <c r="Q72" s="2207"/>
      <c r="R72" s="2207"/>
      <c r="S72" s="2207"/>
      <c r="T72" s="2207"/>
      <c r="U72" s="2207"/>
      <c r="V72" s="2207"/>
      <c r="W72" s="2207"/>
      <c r="X72" s="2207"/>
      <c r="Y72" s="2207"/>
      <c r="Z72" s="2207"/>
      <c r="AA72" s="2208"/>
      <c r="AB72" s="1206"/>
      <c r="AC72" s="2209" t="s">
        <v>2484</v>
      </c>
      <c r="AD72" s="2210"/>
      <c r="AE72" s="2210"/>
      <c r="AF72" s="2210"/>
      <c r="AG72" s="2210"/>
      <c r="AH72" s="2210"/>
      <c r="AI72" s="2210"/>
      <c r="AJ72" s="2210"/>
      <c r="AK72" s="2210"/>
      <c r="AL72" s="2210"/>
      <c r="AM72" s="2210"/>
      <c r="AN72" s="2210"/>
      <c r="AO72" s="2210"/>
      <c r="AP72" s="2210"/>
      <c r="AQ72" s="2210"/>
      <c r="AR72" s="2210"/>
      <c r="AS72" s="2210"/>
      <c r="AT72" s="2210"/>
      <c r="AU72" s="2210"/>
      <c r="AV72" s="2211"/>
      <c r="AW72" s="2211"/>
      <c r="AX72" s="2211"/>
      <c r="AY72" s="2211"/>
      <c r="AZ72" s="2211"/>
      <c r="BA72" s="2211"/>
      <c r="BB72" s="2211"/>
      <c r="BC72" s="2212"/>
      <c r="BD72" s="1206"/>
      <c r="BE72" s="1202"/>
    </row>
    <row r="73" spans="1:65" ht="15.75" customHeight="1">
      <c r="A73" s="1206"/>
      <c r="B73" s="2213" t="s">
        <v>2485</v>
      </c>
      <c r="C73" s="2214"/>
      <c r="D73" s="2214"/>
      <c r="E73" s="2214"/>
      <c r="F73" s="2214"/>
      <c r="G73" s="2214"/>
      <c r="H73" s="2214"/>
      <c r="I73" s="2214"/>
      <c r="J73" s="2214"/>
      <c r="K73" s="2214"/>
      <c r="L73" s="2214"/>
      <c r="M73" s="2214"/>
      <c r="N73" s="2214"/>
      <c r="O73" s="2207">
        <v>0</v>
      </c>
      <c r="P73" s="2207"/>
      <c r="Q73" s="2207"/>
      <c r="R73" s="2207"/>
      <c r="S73" s="2207"/>
      <c r="T73" s="2207"/>
      <c r="U73" s="2207"/>
      <c r="V73" s="2207"/>
      <c r="W73" s="2207"/>
      <c r="X73" s="2207"/>
      <c r="Y73" s="2207"/>
      <c r="Z73" s="2207"/>
      <c r="AA73" s="2208"/>
      <c r="AB73" s="1206"/>
      <c r="AC73" s="2397" t="s">
        <v>2186</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6"/>
      <c r="BE73" s="1202"/>
    </row>
    <row r="74" spans="1:65" ht="15.75" customHeight="1">
      <c r="A74" s="1206"/>
      <c r="B74" s="2346"/>
      <c r="C74" s="2347"/>
      <c r="D74" s="2347"/>
      <c r="E74" s="2347"/>
      <c r="F74" s="2347"/>
      <c r="G74" s="2347"/>
      <c r="H74" s="2347"/>
      <c r="I74" s="2347"/>
      <c r="J74" s="2347"/>
      <c r="K74" s="2347"/>
      <c r="L74" s="2347"/>
      <c r="M74" s="2347"/>
      <c r="N74" s="2347"/>
      <c r="O74" s="2207"/>
      <c r="P74" s="2207"/>
      <c r="Q74" s="2207"/>
      <c r="R74" s="2207"/>
      <c r="S74" s="2207"/>
      <c r="T74" s="2207"/>
      <c r="U74" s="2207"/>
      <c r="V74" s="2207"/>
      <c r="W74" s="2207"/>
      <c r="X74" s="2207"/>
      <c r="Y74" s="2207"/>
      <c r="Z74" s="2207"/>
      <c r="AA74" s="2208"/>
      <c r="AB74" s="1206"/>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6"/>
      <c r="BE74" s="1202"/>
    </row>
    <row r="75" spans="1:65" ht="15.75" customHeight="1" thickBot="1">
      <c r="A75" s="1206"/>
      <c r="B75" s="2438" t="s">
        <v>124</v>
      </c>
      <c r="C75" s="2439"/>
      <c r="D75" s="2439"/>
      <c r="E75" s="2439"/>
      <c r="F75" s="2439"/>
      <c r="G75" s="2439"/>
      <c r="H75" s="2439"/>
      <c r="I75" s="2439"/>
      <c r="J75" s="2439"/>
      <c r="K75" s="2439"/>
      <c r="L75" s="2439"/>
      <c r="M75" s="2439"/>
      <c r="N75" s="2439"/>
      <c r="O75" s="2215">
        <f>SUM(O70:AA74)</f>
        <v>0</v>
      </c>
      <c r="P75" s="2215"/>
      <c r="Q75" s="2215"/>
      <c r="R75" s="2215"/>
      <c r="S75" s="2215"/>
      <c r="T75" s="2215"/>
      <c r="U75" s="2215"/>
      <c r="V75" s="2215"/>
      <c r="W75" s="2215"/>
      <c r="X75" s="2215"/>
      <c r="Y75" s="2215"/>
      <c r="Z75" s="2215"/>
      <c r="AA75" s="2216"/>
      <c r="AB75" s="1206"/>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7"/>
      <c r="G79" s="2228"/>
      <c r="H79" s="2228"/>
      <c r="I79" s="2228"/>
      <c r="J79" s="2228"/>
      <c r="K79" s="2228"/>
      <c r="L79" s="2228"/>
      <c r="M79" s="2195"/>
      <c r="N79" s="2195"/>
      <c r="O79" s="2195"/>
      <c r="P79" s="2195"/>
      <c r="Q79" s="219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200" t="e">
        <f>BR96/SUM($BR$96:$BR$98)</f>
        <v>#DIV/0!</v>
      </c>
      <c r="P80" s="2201"/>
      <c r="Q80" s="220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1" t="s">
        <v>2550</v>
      </c>
      <c r="P81" s="2192"/>
      <c r="Q81" s="219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7" t="s">
        <v>2169</v>
      </c>
      <c r="C83" s="2578"/>
      <c r="D83" s="2578"/>
      <c r="E83" s="2578"/>
      <c r="F83" s="2578"/>
      <c r="G83" s="2578"/>
      <c r="H83" s="2578"/>
      <c r="I83" s="2578"/>
      <c r="J83" s="2578"/>
      <c r="K83" s="2578"/>
      <c r="L83" s="2578"/>
      <c r="M83" s="2578"/>
      <c r="N83" s="2578"/>
      <c r="O83" s="2578"/>
      <c r="P83" s="2578"/>
      <c r="Q83" s="2578"/>
      <c r="R83" s="2578"/>
      <c r="S83" s="2578"/>
      <c r="T83" s="2578"/>
      <c r="U83" s="2578"/>
      <c r="V83" s="2578"/>
      <c r="W83" s="2578"/>
      <c r="X83" s="2578"/>
      <c r="Y83" s="2578"/>
      <c r="Z83" s="2578"/>
      <c r="AA83" s="2578"/>
      <c r="AB83" s="2578"/>
      <c r="AC83" s="2578"/>
      <c r="AD83" s="2578"/>
      <c r="AE83" s="2578"/>
      <c r="AF83" s="2578"/>
      <c r="AG83" s="2578"/>
      <c r="AH83" s="2579"/>
      <c r="AI83" s="1206"/>
      <c r="AJ83" s="2181" t="s">
        <v>2617</v>
      </c>
      <c r="AK83" s="2182"/>
      <c r="AL83" s="2182"/>
      <c r="AM83" s="2182"/>
      <c r="AN83" s="2182"/>
      <c r="AO83" s="2182"/>
      <c r="AP83" s="2182"/>
      <c r="AQ83" s="2182"/>
      <c r="AR83" s="2182"/>
      <c r="AS83" s="2182"/>
      <c r="AT83" s="2182"/>
      <c r="AU83" s="2182"/>
      <c r="AV83" s="2182"/>
      <c r="AW83" s="2182"/>
      <c r="AX83" s="2182"/>
      <c r="AY83" s="2203" t="s">
        <v>554</v>
      </c>
      <c r="AZ83" s="2203"/>
      <c r="BA83" s="2203"/>
      <c r="BB83" s="2204"/>
      <c r="BC83" s="1206"/>
      <c r="BD83" s="1206"/>
      <c r="BE83" s="1202"/>
    </row>
    <row r="84" spans="1:70" ht="15.75" customHeight="1">
      <c r="A84" s="1206"/>
      <c r="B84" s="2173"/>
      <c r="C84" s="2174"/>
      <c r="D84" s="2174"/>
      <c r="E84" s="2174"/>
      <c r="F84" s="2174"/>
      <c r="G84" s="2174"/>
      <c r="H84" s="2174"/>
      <c r="I84" s="2174" t="s">
        <v>1827</v>
      </c>
      <c r="J84" s="2174"/>
      <c r="K84" s="2174"/>
      <c r="L84" s="2174"/>
      <c r="M84" s="2174"/>
      <c r="N84" s="2174"/>
      <c r="O84" s="2174" t="s">
        <v>1828</v>
      </c>
      <c r="P84" s="2174"/>
      <c r="Q84" s="2174"/>
      <c r="R84" s="2174"/>
      <c r="S84" s="2174"/>
      <c r="T84" s="2174"/>
      <c r="U84" s="2174"/>
      <c r="V84" s="2175" t="s">
        <v>2187</v>
      </c>
      <c r="W84" s="2175"/>
      <c r="X84" s="2175"/>
      <c r="Y84" s="2175"/>
      <c r="Z84" s="2175"/>
      <c r="AA84" s="2175"/>
      <c r="AB84" s="2176" t="s">
        <v>1829</v>
      </c>
      <c r="AC84" s="2176"/>
      <c r="AD84" s="2176"/>
      <c r="AE84" s="2176"/>
      <c r="AF84" s="2176"/>
      <c r="AG84" s="2176"/>
      <c r="AH84" s="2177"/>
      <c r="AI84" s="1206"/>
      <c r="AJ84" s="2183"/>
      <c r="AK84" s="2184"/>
      <c r="AL84" s="2184"/>
      <c r="AM84" s="2184"/>
      <c r="AN84" s="2184"/>
      <c r="AO84" s="2184"/>
      <c r="AP84" s="2184"/>
      <c r="AQ84" s="2184"/>
      <c r="AR84" s="2184"/>
      <c r="AS84" s="2184"/>
      <c r="AT84" s="2184"/>
      <c r="AU84" s="2184"/>
      <c r="AV84" s="2184"/>
      <c r="AW84" s="2184"/>
      <c r="AX84" s="2184"/>
      <c r="AY84" s="2205"/>
      <c r="AZ84" s="2205"/>
      <c r="BA84" s="2205"/>
      <c r="BB84" s="2206"/>
      <c r="BC84" s="1206"/>
      <c r="BD84" s="1206"/>
      <c r="BE84" s="1202"/>
    </row>
    <row r="85" spans="1:70" ht="15.75" customHeight="1">
      <c r="A85" s="1206"/>
      <c r="B85" s="2173"/>
      <c r="C85" s="2174"/>
      <c r="D85" s="2174"/>
      <c r="E85" s="2174"/>
      <c r="F85" s="2174"/>
      <c r="G85" s="2174"/>
      <c r="H85" s="2174"/>
      <c r="I85" s="2174"/>
      <c r="J85" s="2174"/>
      <c r="K85" s="2174"/>
      <c r="L85" s="2174"/>
      <c r="M85" s="2174"/>
      <c r="N85" s="2174"/>
      <c r="O85" s="2174"/>
      <c r="P85" s="2174"/>
      <c r="Q85" s="2174"/>
      <c r="R85" s="2174"/>
      <c r="S85" s="2174"/>
      <c r="T85" s="2174"/>
      <c r="U85" s="2174"/>
      <c r="V85" s="2175"/>
      <c r="W85" s="2175"/>
      <c r="X85" s="2175"/>
      <c r="Y85" s="2175"/>
      <c r="Z85" s="2175"/>
      <c r="AA85" s="2175"/>
      <c r="AB85" s="2176"/>
      <c r="AC85" s="2176"/>
      <c r="AD85" s="2176"/>
      <c r="AE85" s="2176"/>
      <c r="AF85" s="2176"/>
      <c r="AG85" s="2176"/>
      <c r="AH85" s="2177"/>
      <c r="AI85" s="1206"/>
      <c r="AJ85" s="2183"/>
      <c r="AK85" s="2184"/>
      <c r="AL85" s="2184"/>
      <c r="AM85" s="2184"/>
      <c r="AN85" s="2184"/>
      <c r="AO85" s="2184"/>
      <c r="AP85" s="2184"/>
      <c r="AQ85" s="2184"/>
      <c r="AR85" s="2184"/>
      <c r="AS85" s="2184"/>
      <c r="AT85" s="2184"/>
      <c r="AU85" s="2184"/>
      <c r="AV85" s="2184"/>
      <c r="AW85" s="2184"/>
      <c r="AX85" s="2184"/>
      <c r="AY85" s="2205"/>
      <c r="AZ85" s="2205"/>
      <c r="BA85" s="2205"/>
      <c r="BB85" s="2206"/>
      <c r="BC85" s="1206"/>
      <c r="BD85" s="1206"/>
      <c r="BE85" s="1202"/>
    </row>
    <row r="86" spans="1:70" ht="15.75" customHeight="1">
      <c r="A86" s="1206"/>
      <c r="B86" s="2173" t="s">
        <v>2170</v>
      </c>
      <c r="C86" s="2174"/>
      <c r="D86" s="2174"/>
      <c r="E86" s="2174"/>
      <c r="F86" s="2174"/>
      <c r="G86" s="2174"/>
      <c r="H86" s="2174"/>
      <c r="I86" s="2171">
        <v>0</v>
      </c>
      <c r="J86" s="2171"/>
      <c r="K86" s="2171"/>
      <c r="L86" s="2171"/>
      <c r="M86" s="2171"/>
      <c r="N86" s="2171"/>
      <c r="O86" s="2171">
        <v>0</v>
      </c>
      <c r="P86" s="2171"/>
      <c r="Q86" s="2171"/>
      <c r="R86" s="2171"/>
      <c r="S86" s="2171"/>
      <c r="T86" s="2171"/>
      <c r="U86" s="2171"/>
      <c r="V86" s="2171">
        <v>0</v>
      </c>
      <c r="W86" s="2171"/>
      <c r="X86" s="2171"/>
      <c r="Y86" s="2171"/>
      <c r="Z86" s="2171"/>
      <c r="AA86" s="2171"/>
      <c r="AB86" s="2171">
        <v>0</v>
      </c>
      <c r="AC86" s="2171"/>
      <c r="AD86" s="2171"/>
      <c r="AE86" s="2171"/>
      <c r="AF86" s="2171"/>
      <c r="AG86" s="2171"/>
      <c r="AH86" s="2172"/>
      <c r="AI86" s="1206"/>
      <c r="AJ86" s="2183"/>
      <c r="AK86" s="2184"/>
      <c r="AL86" s="2184"/>
      <c r="AM86" s="2184"/>
      <c r="AN86" s="2184"/>
      <c r="AO86" s="2184"/>
      <c r="AP86" s="2184"/>
      <c r="AQ86" s="2184"/>
      <c r="AR86" s="2184"/>
      <c r="AS86" s="2184"/>
      <c r="AT86" s="2184"/>
      <c r="AU86" s="2184"/>
      <c r="AV86" s="2184"/>
      <c r="AW86" s="2184"/>
      <c r="AX86" s="2184"/>
      <c r="AY86" s="2205"/>
      <c r="AZ86" s="2205"/>
      <c r="BA86" s="2205"/>
      <c r="BB86" s="2206"/>
      <c r="BC86" s="1206"/>
      <c r="BD86" s="1206"/>
      <c r="BE86" s="1202"/>
    </row>
    <row r="87" spans="1:70" ht="15.75" customHeight="1">
      <c r="A87" s="1206"/>
      <c r="B87" s="2173" t="s">
        <v>2171</v>
      </c>
      <c r="C87" s="2174"/>
      <c r="D87" s="2174"/>
      <c r="E87" s="2174"/>
      <c r="F87" s="2174"/>
      <c r="G87" s="2174"/>
      <c r="H87" s="2174"/>
      <c r="I87" s="2171">
        <v>0</v>
      </c>
      <c r="J87" s="2171"/>
      <c r="K87" s="2171"/>
      <c r="L87" s="2171"/>
      <c r="M87" s="2171"/>
      <c r="N87" s="2171"/>
      <c r="O87" s="2171">
        <v>0</v>
      </c>
      <c r="P87" s="2171"/>
      <c r="Q87" s="2171"/>
      <c r="R87" s="2171"/>
      <c r="S87" s="2171"/>
      <c r="T87" s="2171"/>
      <c r="U87" s="2171"/>
      <c r="V87" s="2171">
        <v>0</v>
      </c>
      <c r="W87" s="2171"/>
      <c r="X87" s="2171"/>
      <c r="Y87" s="2171"/>
      <c r="Z87" s="2171"/>
      <c r="AA87" s="2171"/>
      <c r="AB87" s="2171">
        <v>0</v>
      </c>
      <c r="AC87" s="2171"/>
      <c r="AD87" s="2171"/>
      <c r="AE87" s="2171"/>
      <c r="AF87" s="2171"/>
      <c r="AG87" s="2171"/>
      <c r="AH87" s="2172"/>
      <c r="AI87" s="1206"/>
      <c r="AJ87" s="2185" t="s">
        <v>2486</v>
      </c>
      <c r="AK87" s="2186"/>
      <c r="AL87" s="2186"/>
      <c r="AM87" s="2186"/>
      <c r="AN87" s="2186"/>
      <c r="AO87" s="2186"/>
      <c r="AP87" s="2186"/>
      <c r="AQ87" s="2186"/>
      <c r="AR87" s="2186"/>
      <c r="AS87" s="2186"/>
      <c r="AT87" s="2186"/>
      <c r="AU87" s="2186"/>
      <c r="AV87" s="2186"/>
      <c r="AW87" s="2186"/>
      <c r="AX87" s="2186"/>
      <c r="AY87" s="2186"/>
      <c r="AZ87" s="2186"/>
      <c r="BA87" s="2186"/>
      <c r="BB87" s="2187"/>
      <c r="BC87" s="1206"/>
      <c r="BD87" s="1206"/>
      <c r="BE87" s="1202"/>
    </row>
    <row r="88" spans="1:70" ht="15.75" customHeight="1" thickBot="1">
      <c r="A88" s="1206"/>
      <c r="B88" s="2167" t="s">
        <v>1830</v>
      </c>
      <c r="C88" s="2168"/>
      <c r="D88" s="2168"/>
      <c r="E88" s="2168"/>
      <c r="F88" s="2168"/>
      <c r="G88" s="2168"/>
      <c r="H88" s="2168"/>
      <c r="I88" s="2169">
        <v>0</v>
      </c>
      <c r="J88" s="2169"/>
      <c r="K88" s="2169"/>
      <c r="L88" s="2169"/>
      <c r="M88" s="2169"/>
      <c r="N88" s="2169"/>
      <c r="O88" s="2169">
        <v>0</v>
      </c>
      <c r="P88" s="2169"/>
      <c r="Q88" s="2169"/>
      <c r="R88" s="2169"/>
      <c r="S88" s="2169"/>
      <c r="T88" s="2169"/>
      <c r="U88" s="2169"/>
      <c r="V88" s="2169">
        <v>0</v>
      </c>
      <c r="W88" s="2169"/>
      <c r="X88" s="2169"/>
      <c r="Y88" s="2169"/>
      <c r="Z88" s="2169"/>
      <c r="AA88" s="2169"/>
      <c r="AB88" s="2169">
        <v>0</v>
      </c>
      <c r="AC88" s="2169"/>
      <c r="AD88" s="2169"/>
      <c r="AE88" s="2169"/>
      <c r="AF88" s="2169"/>
      <c r="AG88" s="2169"/>
      <c r="AH88" s="2170"/>
      <c r="AI88" s="1206"/>
      <c r="AJ88" s="2188"/>
      <c r="AK88" s="2189"/>
      <c r="AL88" s="2189"/>
      <c r="AM88" s="2189"/>
      <c r="AN88" s="2189"/>
      <c r="AO88" s="2189"/>
      <c r="AP88" s="2189"/>
      <c r="AQ88" s="2189"/>
      <c r="AR88" s="2189"/>
      <c r="AS88" s="2189"/>
      <c r="AT88" s="2189"/>
      <c r="AU88" s="2189"/>
      <c r="AV88" s="2189"/>
      <c r="AW88" s="2189"/>
      <c r="AX88" s="2189"/>
      <c r="AY88" s="2189"/>
      <c r="AZ88" s="2189"/>
      <c r="BA88" s="2189"/>
      <c r="BB88" s="2190"/>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4"/>
      <c r="G92" s="2195"/>
      <c r="H92" s="2195"/>
      <c r="I92" s="2195"/>
      <c r="J92" s="2195"/>
      <c r="K92" s="2195"/>
      <c r="L92" s="2195"/>
      <c r="M92" s="2195"/>
      <c r="N92" s="2195"/>
      <c r="O92" s="2195"/>
      <c r="P92" s="2195"/>
      <c r="Q92" s="219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200" t="e">
        <f>BR97/SUM($BR$96:$BR$98)</f>
        <v>#DIV/0!</v>
      </c>
      <c r="P93" s="2201"/>
      <c r="Q93" s="220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1" t="s">
        <v>2550</v>
      </c>
      <c r="P94" s="2192"/>
      <c r="Q94" s="219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7" t="s">
        <v>2614</v>
      </c>
      <c r="C96" s="2578"/>
      <c r="D96" s="2578"/>
      <c r="E96" s="2578"/>
      <c r="F96" s="2578"/>
      <c r="G96" s="2578"/>
      <c r="H96" s="2578"/>
      <c r="I96" s="2578"/>
      <c r="J96" s="2578"/>
      <c r="K96" s="2578"/>
      <c r="L96" s="2578"/>
      <c r="M96" s="2578"/>
      <c r="N96" s="2578"/>
      <c r="O96" s="2578"/>
      <c r="P96" s="2578"/>
      <c r="Q96" s="2578"/>
      <c r="R96" s="2578"/>
      <c r="S96" s="2578"/>
      <c r="T96" s="2578"/>
      <c r="U96" s="2578"/>
      <c r="V96" s="2578"/>
      <c r="W96" s="2578"/>
      <c r="X96" s="2578"/>
      <c r="Y96" s="2578"/>
      <c r="Z96" s="2578"/>
      <c r="AA96" s="2578"/>
      <c r="AB96" s="2578"/>
      <c r="AC96" s="2578"/>
      <c r="AD96" s="2578"/>
      <c r="AE96" s="2578"/>
      <c r="AF96" s="2578"/>
      <c r="AG96" s="2578"/>
      <c r="AH96" s="2579"/>
      <c r="AI96" s="1206"/>
      <c r="AJ96" s="2181" t="s">
        <v>2613</v>
      </c>
      <c r="AK96" s="2182"/>
      <c r="AL96" s="2182"/>
      <c r="AM96" s="2182"/>
      <c r="AN96" s="2182"/>
      <c r="AO96" s="2182"/>
      <c r="AP96" s="2182"/>
      <c r="AQ96" s="2182"/>
      <c r="AR96" s="2182"/>
      <c r="AS96" s="2182"/>
      <c r="AT96" s="2182"/>
      <c r="AU96" s="2182"/>
      <c r="AV96" s="2182"/>
      <c r="AW96" s="2182"/>
      <c r="AX96" s="2182"/>
      <c r="AY96" s="2203" t="s">
        <v>554</v>
      </c>
      <c r="AZ96" s="2203"/>
      <c r="BA96" s="2203"/>
      <c r="BB96" s="2204"/>
      <c r="BC96" s="1206"/>
      <c r="BD96" s="1206"/>
      <c r="BE96" s="1202"/>
      <c r="BQ96" s="1245" t="str">
        <f>Application!M243</f>
        <v xml:space="preserve">Kingdom Vivante, LLC </v>
      </c>
      <c r="BR96" s="1245">
        <f>Application!AH245</f>
        <v>0</v>
      </c>
    </row>
    <row r="97" spans="1:70" ht="15.75" customHeight="1">
      <c r="A97" s="1206"/>
      <c r="B97" s="2173"/>
      <c r="C97" s="2174"/>
      <c r="D97" s="2174"/>
      <c r="E97" s="2174"/>
      <c r="F97" s="2174"/>
      <c r="G97" s="2174"/>
      <c r="H97" s="2174"/>
      <c r="I97" s="2174" t="s">
        <v>1827</v>
      </c>
      <c r="J97" s="2174"/>
      <c r="K97" s="2174"/>
      <c r="L97" s="2174"/>
      <c r="M97" s="2174"/>
      <c r="N97" s="2174"/>
      <c r="O97" s="2174" t="s">
        <v>1828</v>
      </c>
      <c r="P97" s="2174"/>
      <c r="Q97" s="2174"/>
      <c r="R97" s="2174"/>
      <c r="S97" s="2174"/>
      <c r="T97" s="2174"/>
      <c r="U97" s="2174"/>
      <c r="V97" s="2175" t="s">
        <v>2187</v>
      </c>
      <c r="W97" s="2175"/>
      <c r="X97" s="2175"/>
      <c r="Y97" s="2175"/>
      <c r="Z97" s="2175"/>
      <c r="AA97" s="2175"/>
      <c r="AB97" s="2176" t="s">
        <v>1829</v>
      </c>
      <c r="AC97" s="2176"/>
      <c r="AD97" s="2176"/>
      <c r="AE97" s="2176"/>
      <c r="AF97" s="2176"/>
      <c r="AG97" s="2176"/>
      <c r="AH97" s="2177"/>
      <c r="AI97" s="1206"/>
      <c r="AJ97" s="2183"/>
      <c r="AK97" s="2184"/>
      <c r="AL97" s="2184"/>
      <c r="AM97" s="2184"/>
      <c r="AN97" s="2184"/>
      <c r="AO97" s="2184"/>
      <c r="AP97" s="2184"/>
      <c r="AQ97" s="2184"/>
      <c r="AR97" s="2184"/>
      <c r="AS97" s="2184"/>
      <c r="AT97" s="2184"/>
      <c r="AU97" s="2184"/>
      <c r="AV97" s="2184"/>
      <c r="AW97" s="2184"/>
      <c r="AX97" s="2184"/>
      <c r="AY97" s="2205"/>
      <c r="AZ97" s="2205"/>
      <c r="BA97" s="2205"/>
      <c r="BB97" s="2206"/>
      <c r="BC97" s="1206"/>
      <c r="BD97" s="1206"/>
      <c r="BE97" s="1202"/>
      <c r="BQ97" s="1245" t="str">
        <f>Application!M251</f>
        <v xml:space="preserve">OAHS Shiloh AGP LLC </v>
      </c>
      <c r="BR97" s="1245">
        <f>Application!AH253</f>
        <v>0</v>
      </c>
    </row>
    <row r="98" spans="1:70" ht="15.75" customHeight="1">
      <c r="A98" s="1206"/>
      <c r="B98" s="2173"/>
      <c r="C98" s="2174"/>
      <c r="D98" s="2174"/>
      <c r="E98" s="2174"/>
      <c r="F98" s="2174"/>
      <c r="G98" s="2174"/>
      <c r="H98" s="2174"/>
      <c r="I98" s="2174"/>
      <c r="J98" s="2174"/>
      <c r="K98" s="2174"/>
      <c r="L98" s="2174"/>
      <c r="M98" s="2174"/>
      <c r="N98" s="2174"/>
      <c r="O98" s="2174"/>
      <c r="P98" s="2174"/>
      <c r="Q98" s="2174"/>
      <c r="R98" s="2174"/>
      <c r="S98" s="2174"/>
      <c r="T98" s="2174"/>
      <c r="U98" s="2174"/>
      <c r="V98" s="2175"/>
      <c r="W98" s="2175"/>
      <c r="X98" s="2175"/>
      <c r="Y98" s="2175"/>
      <c r="Z98" s="2175"/>
      <c r="AA98" s="2175"/>
      <c r="AB98" s="2176"/>
      <c r="AC98" s="2176"/>
      <c r="AD98" s="2176"/>
      <c r="AE98" s="2176"/>
      <c r="AF98" s="2176"/>
      <c r="AG98" s="2176"/>
      <c r="AH98" s="2177"/>
      <c r="AI98" s="1206"/>
      <c r="AJ98" s="2183"/>
      <c r="AK98" s="2184"/>
      <c r="AL98" s="2184"/>
      <c r="AM98" s="2184"/>
      <c r="AN98" s="2184"/>
      <c r="AO98" s="2184"/>
      <c r="AP98" s="2184"/>
      <c r="AQ98" s="2184"/>
      <c r="AR98" s="2184"/>
      <c r="AS98" s="2184"/>
      <c r="AT98" s="2184"/>
      <c r="AU98" s="2184"/>
      <c r="AV98" s="2184"/>
      <c r="AW98" s="2184"/>
      <c r="AX98" s="2184"/>
      <c r="AY98" s="2205"/>
      <c r="AZ98" s="2205"/>
      <c r="BA98" s="2205"/>
      <c r="BB98" s="2206"/>
      <c r="BC98" s="1206"/>
      <c r="BD98" s="1206"/>
      <c r="BE98" s="1202"/>
      <c r="BQ98" s="1245">
        <f>Application!M259</f>
        <v>0</v>
      </c>
      <c r="BR98" s="1245">
        <f>Application!AH261</f>
        <v>0</v>
      </c>
    </row>
    <row r="99" spans="1:70" ht="15.75" customHeight="1">
      <c r="A99" s="1206"/>
      <c r="B99" s="2173" t="s">
        <v>2170</v>
      </c>
      <c r="C99" s="2174"/>
      <c r="D99" s="2174"/>
      <c r="E99" s="2174"/>
      <c r="F99" s="2174"/>
      <c r="G99" s="2174"/>
      <c r="H99" s="2174"/>
      <c r="I99" s="2171">
        <v>0</v>
      </c>
      <c r="J99" s="2171"/>
      <c r="K99" s="2171"/>
      <c r="L99" s="2171"/>
      <c r="M99" s="2171"/>
      <c r="N99" s="2171"/>
      <c r="O99" s="2171">
        <v>0</v>
      </c>
      <c r="P99" s="2171"/>
      <c r="Q99" s="2171"/>
      <c r="R99" s="2171"/>
      <c r="S99" s="2171"/>
      <c r="T99" s="2171"/>
      <c r="U99" s="2171"/>
      <c r="V99" s="2171">
        <v>0</v>
      </c>
      <c r="W99" s="2171"/>
      <c r="X99" s="2171"/>
      <c r="Y99" s="2171"/>
      <c r="Z99" s="2171"/>
      <c r="AA99" s="2171"/>
      <c r="AB99" s="2171">
        <v>0</v>
      </c>
      <c r="AC99" s="2171"/>
      <c r="AD99" s="2171"/>
      <c r="AE99" s="2171"/>
      <c r="AF99" s="2171"/>
      <c r="AG99" s="2171"/>
      <c r="AH99" s="2172"/>
      <c r="AI99" s="1206"/>
      <c r="AJ99" s="2183"/>
      <c r="AK99" s="2184"/>
      <c r="AL99" s="2184"/>
      <c r="AM99" s="2184"/>
      <c r="AN99" s="2184"/>
      <c r="AO99" s="2184"/>
      <c r="AP99" s="2184"/>
      <c r="AQ99" s="2184"/>
      <c r="AR99" s="2184"/>
      <c r="AS99" s="2184"/>
      <c r="AT99" s="2184"/>
      <c r="AU99" s="2184"/>
      <c r="AV99" s="2184"/>
      <c r="AW99" s="2184"/>
      <c r="AX99" s="2184"/>
      <c r="AY99" s="2205"/>
      <c r="AZ99" s="2205"/>
      <c r="BA99" s="2205"/>
      <c r="BB99" s="2206"/>
      <c r="BC99" s="1206"/>
      <c r="BD99" s="1206"/>
      <c r="BE99" s="1202"/>
    </row>
    <row r="100" spans="1:70" ht="15.75" customHeight="1">
      <c r="A100" s="1206"/>
      <c r="B100" s="2173" t="s">
        <v>2171</v>
      </c>
      <c r="C100" s="2174"/>
      <c r="D100" s="2174"/>
      <c r="E100" s="2174"/>
      <c r="F100" s="2174"/>
      <c r="G100" s="2174"/>
      <c r="H100" s="2174"/>
      <c r="I100" s="2171">
        <v>0</v>
      </c>
      <c r="J100" s="2171"/>
      <c r="K100" s="2171"/>
      <c r="L100" s="2171"/>
      <c r="M100" s="2171"/>
      <c r="N100" s="2171"/>
      <c r="O100" s="2171">
        <v>0</v>
      </c>
      <c r="P100" s="2171"/>
      <c r="Q100" s="2171"/>
      <c r="R100" s="2171"/>
      <c r="S100" s="2171"/>
      <c r="T100" s="2171"/>
      <c r="U100" s="2171"/>
      <c r="V100" s="2171">
        <v>0</v>
      </c>
      <c r="W100" s="2171"/>
      <c r="X100" s="2171"/>
      <c r="Y100" s="2171"/>
      <c r="Z100" s="2171"/>
      <c r="AA100" s="2171"/>
      <c r="AB100" s="2171">
        <v>0</v>
      </c>
      <c r="AC100" s="2171"/>
      <c r="AD100" s="2171"/>
      <c r="AE100" s="2171"/>
      <c r="AF100" s="2171"/>
      <c r="AG100" s="2171"/>
      <c r="AH100" s="2172"/>
      <c r="AI100" s="1206"/>
      <c r="AJ100" s="2185" t="s">
        <v>2486</v>
      </c>
      <c r="AK100" s="2186"/>
      <c r="AL100" s="2186"/>
      <c r="AM100" s="2186"/>
      <c r="AN100" s="2186"/>
      <c r="AO100" s="2186"/>
      <c r="AP100" s="2186"/>
      <c r="AQ100" s="2186"/>
      <c r="AR100" s="2186"/>
      <c r="AS100" s="2186"/>
      <c r="AT100" s="2186"/>
      <c r="AU100" s="2186"/>
      <c r="AV100" s="2186"/>
      <c r="AW100" s="2186"/>
      <c r="AX100" s="2186"/>
      <c r="AY100" s="2186"/>
      <c r="AZ100" s="2186"/>
      <c r="BA100" s="2186"/>
      <c r="BB100" s="2187"/>
      <c r="BC100" s="1206"/>
      <c r="BD100" s="1206"/>
      <c r="BE100" s="1202"/>
    </row>
    <row r="101" spans="1:70" ht="15.75" customHeight="1" thickBot="1">
      <c r="A101" s="1206"/>
      <c r="B101" s="2167" t="s">
        <v>1830</v>
      </c>
      <c r="C101" s="2168"/>
      <c r="D101" s="2168"/>
      <c r="E101" s="2168"/>
      <c r="F101" s="2168"/>
      <c r="G101" s="2168"/>
      <c r="H101" s="2168"/>
      <c r="I101" s="2169">
        <v>0</v>
      </c>
      <c r="J101" s="2169"/>
      <c r="K101" s="2169"/>
      <c r="L101" s="2169"/>
      <c r="M101" s="2169"/>
      <c r="N101" s="2169"/>
      <c r="O101" s="2169">
        <v>0</v>
      </c>
      <c r="P101" s="2169"/>
      <c r="Q101" s="2169"/>
      <c r="R101" s="2169"/>
      <c r="S101" s="2169"/>
      <c r="T101" s="2169"/>
      <c r="U101" s="2169"/>
      <c r="V101" s="2169">
        <v>0</v>
      </c>
      <c r="W101" s="2169"/>
      <c r="X101" s="2169"/>
      <c r="Y101" s="2169"/>
      <c r="Z101" s="2169"/>
      <c r="AA101" s="2169"/>
      <c r="AB101" s="2169">
        <v>0</v>
      </c>
      <c r="AC101" s="2169"/>
      <c r="AD101" s="2169"/>
      <c r="AE101" s="2169"/>
      <c r="AF101" s="2169"/>
      <c r="AG101" s="2169"/>
      <c r="AH101" s="2170"/>
      <c r="AI101" s="1206"/>
      <c r="AJ101" s="2188"/>
      <c r="AK101" s="2189"/>
      <c r="AL101" s="2189"/>
      <c r="AM101" s="2189"/>
      <c r="AN101" s="2189"/>
      <c r="AO101" s="2189"/>
      <c r="AP101" s="2189"/>
      <c r="AQ101" s="2189"/>
      <c r="AR101" s="2189"/>
      <c r="AS101" s="2189"/>
      <c r="AT101" s="2189"/>
      <c r="AU101" s="2189"/>
      <c r="AV101" s="2189"/>
      <c r="AW101" s="2189"/>
      <c r="AX101" s="2189"/>
      <c r="AY101" s="2189"/>
      <c r="AZ101" s="2189"/>
      <c r="BA101" s="2189"/>
      <c r="BB101" s="2190"/>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7"/>
      <c r="G104" s="2198"/>
      <c r="H104" s="2198"/>
      <c r="I104" s="2198"/>
      <c r="J104" s="2198"/>
      <c r="K104" s="2198"/>
      <c r="L104" s="2198"/>
      <c r="M104" s="2198"/>
      <c r="N104" s="2198"/>
      <c r="O104" s="2198"/>
      <c r="P104" s="2198"/>
      <c r="Q104" s="2198"/>
      <c r="R104" s="2199"/>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1" t="e">
        <f>BR98/SUM(BR96:BR98)</f>
        <v>#DIV/0!</v>
      </c>
      <c r="P105" s="2192"/>
      <c r="Q105" s="2192"/>
      <c r="R105" s="219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8" t="s">
        <v>2610</v>
      </c>
      <c r="C107" s="2179"/>
      <c r="D107" s="2179"/>
      <c r="E107" s="2179"/>
      <c r="F107" s="2179"/>
      <c r="G107" s="2179"/>
      <c r="H107" s="2179"/>
      <c r="I107" s="2179"/>
      <c r="J107" s="2179"/>
      <c r="K107" s="2179"/>
      <c r="L107" s="2179"/>
      <c r="M107" s="2179"/>
      <c r="N107" s="2179"/>
      <c r="O107" s="2179"/>
      <c r="P107" s="2179"/>
      <c r="Q107" s="2179"/>
      <c r="R107" s="2179"/>
      <c r="S107" s="2179"/>
      <c r="T107" s="2179"/>
      <c r="U107" s="2179"/>
      <c r="V107" s="2179"/>
      <c r="W107" s="2179"/>
      <c r="X107" s="2179"/>
      <c r="Y107" s="2179"/>
      <c r="Z107" s="2179"/>
      <c r="AA107" s="2179"/>
      <c r="AB107" s="2179"/>
      <c r="AC107" s="2179"/>
      <c r="AD107" s="2179"/>
      <c r="AE107" s="2179"/>
      <c r="AF107" s="2179"/>
      <c r="AG107" s="2179"/>
      <c r="AH107" s="2180"/>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3"/>
      <c r="C108" s="2174"/>
      <c r="D108" s="2174"/>
      <c r="E108" s="2174"/>
      <c r="F108" s="2174"/>
      <c r="G108" s="2174"/>
      <c r="H108" s="2174"/>
      <c r="I108" s="2174" t="s">
        <v>1827</v>
      </c>
      <c r="J108" s="2174"/>
      <c r="K108" s="2174"/>
      <c r="L108" s="2174"/>
      <c r="M108" s="2174"/>
      <c r="N108" s="2174"/>
      <c r="O108" s="2174" t="s">
        <v>1828</v>
      </c>
      <c r="P108" s="2174"/>
      <c r="Q108" s="2174"/>
      <c r="R108" s="2174"/>
      <c r="S108" s="2174"/>
      <c r="T108" s="2174"/>
      <c r="U108" s="2174"/>
      <c r="V108" s="2175" t="s">
        <v>2187</v>
      </c>
      <c r="W108" s="2175"/>
      <c r="X108" s="2175"/>
      <c r="Y108" s="2175"/>
      <c r="Z108" s="2175"/>
      <c r="AA108" s="2175"/>
      <c r="AB108" s="2176" t="s">
        <v>1829</v>
      </c>
      <c r="AC108" s="2176"/>
      <c r="AD108" s="2176"/>
      <c r="AE108" s="2176"/>
      <c r="AF108" s="2176"/>
      <c r="AG108" s="2176"/>
      <c r="AH108" s="2177"/>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3"/>
      <c r="C109" s="2174"/>
      <c r="D109" s="2174"/>
      <c r="E109" s="2174"/>
      <c r="F109" s="2174"/>
      <c r="G109" s="2174"/>
      <c r="H109" s="2174"/>
      <c r="I109" s="2174"/>
      <c r="J109" s="2174"/>
      <c r="K109" s="2174"/>
      <c r="L109" s="2174"/>
      <c r="M109" s="2174"/>
      <c r="N109" s="2174"/>
      <c r="O109" s="2174"/>
      <c r="P109" s="2174"/>
      <c r="Q109" s="2174"/>
      <c r="R109" s="2174"/>
      <c r="S109" s="2174"/>
      <c r="T109" s="2174"/>
      <c r="U109" s="2174"/>
      <c r="V109" s="2175"/>
      <c r="W109" s="2175"/>
      <c r="X109" s="2175"/>
      <c r="Y109" s="2175"/>
      <c r="Z109" s="2175"/>
      <c r="AA109" s="2175"/>
      <c r="AB109" s="2176"/>
      <c r="AC109" s="2176"/>
      <c r="AD109" s="2176"/>
      <c r="AE109" s="2176"/>
      <c r="AF109" s="2176"/>
      <c r="AG109" s="2176"/>
      <c r="AH109" s="2177"/>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3" t="s">
        <v>2170</v>
      </c>
      <c r="C110" s="2174"/>
      <c r="D110" s="2174"/>
      <c r="E110" s="2174"/>
      <c r="F110" s="2174"/>
      <c r="G110" s="2174"/>
      <c r="H110" s="2174"/>
      <c r="I110" s="2171">
        <v>0</v>
      </c>
      <c r="J110" s="2171"/>
      <c r="K110" s="2171"/>
      <c r="L110" s="2171"/>
      <c r="M110" s="2171"/>
      <c r="N110" s="2171"/>
      <c r="O110" s="2171">
        <v>0</v>
      </c>
      <c r="P110" s="2171"/>
      <c r="Q110" s="2171"/>
      <c r="R110" s="2171"/>
      <c r="S110" s="2171"/>
      <c r="T110" s="2171"/>
      <c r="U110" s="2171"/>
      <c r="V110" s="2171">
        <v>0</v>
      </c>
      <c r="W110" s="2171"/>
      <c r="X110" s="2171"/>
      <c r="Y110" s="2171"/>
      <c r="Z110" s="2171"/>
      <c r="AA110" s="2171"/>
      <c r="AB110" s="2171">
        <v>0</v>
      </c>
      <c r="AC110" s="2171"/>
      <c r="AD110" s="2171"/>
      <c r="AE110" s="2171"/>
      <c r="AF110" s="2171"/>
      <c r="AG110" s="2171"/>
      <c r="AH110" s="217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3" t="s">
        <v>2171</v>
      </c>
      <c r="C111" s="2174"/>
      <c r="D111" s="2174"/>
      <c r="E111" s="2174"/>
      <c r="F111" s="2174"/>
      <c r="G111" s="2174"/>
      <c r="H111" s="2174"/>
      <c r="I111" s="2171">
        <v>0</v>
      </c>
      <c r="J111" s="2171"/>
      <c r="K111" s="2171"/>
      <c r="L111" s="2171"/>
      <c r="M111" s="2171"/>
      <c r="N111" s="2171"/>
      <c r="O111" s="2171">
        <v>0</v>
      </c>
      <c r="P111" s="2171"/>
      <c r="Q111" s="2171"/>
      <c r="R111" s="2171"/>
      <c r="S111" s="2171"/>
      <c r="T111" s="2171"/>
      <c r="U111" s="2171"/>
      <c r="V111" s="2171">
        <v>0</v>
      </c>
      <c r="W111" s="2171"/>
      <c r="X111" s="2171"/>
      <c r="Y111" s="2171"/>
      <c r="Z111" s="2171"/>
      <c r="AA111" s="2171"/>
      <c r="AB111" s="2171">
        <v>0</v>
      </c>
      <c r="AC111" s="2171"/>
      <c r="AD111" s="2171"/>
      <c r="AE111" s="2171"/>
      <c r="AF111" s="2171"/>
      <c r="AG111" s="2171"/>
      <c r="AH111" s="217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7" t="s">
        <v>1830</v>
      </c>
      <c r="C112" s="2168"/>
      <c r="D112" s="2168"/>
      <c r="E112" s="2168"/>
      <c r="F112" s="2168"/>
      <c r="G112" s="2168"/>
      <c r="H112" s="2168"/>
      <c r="I112" s="2169">
        <v>0</v>
      </c>
      <c r="J112" s="2169"/>
      <c r="K112" s="2169"/>
      <c r="L112" s="2169"/>
      <c r="M112" s="2169"/>
      <c r="N112" s="2169"/>
      <c r="O112" s="2169">
        <v>0</v>
      </c>
      <c r="P112" s="2169"/>
      <c r="Q112" s="2169"/>
      <c r="R112" s="2169"/>
      <c r="S112" s="2169"/>
      <c r="T112" s="2169"/>
      <c r="U112" s="2169"/>
      <c r="V112" s="2169">
        <v>0</v>
      </c>
      <c r="W112" s="2169"/>
      <c r="X112" s="2169"/>
      <c r="Y112" s="2169"/>
      <c r="Z112" s="2169"/>
      <c r="AA112" s="2169"/>
      <c r="AB112" s="2169">
        <v>0</v>
      </c>
      <c r="AC112" s="2169"/>
      <c r="AD112" s="2169"/>
      <c r="AE112" s="2169"/>
      <c r="AF112" s="2169"/>
      <c r="AG112" s="2169"/>
      <c r="AH112" s="2170"/>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7"/>
      <c r="G115" s="2198"/>
      <c r="H115" s="2198"/>
      <c r="I115" s="2198"/>
      <c r="J115" s="2198"/>
      <c r="K115" s="2198"/>
      <c r="L115" s="2198"/>
      <c r="M115" s="2198"/>
      <c r="N115" s="2198"/>
      <c r="O115" s="2198"/>
      <c r="P115" s="2198"/>
      <c r="Q115" s="2198"/>
      <c r="R115" s="2199"/>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1" t="s">
        <v>2487</v>
      </c>
      <c r="C117" s="2182"/>
      <c r="D117" s="2182"/>
      <c r="E117" s="2182"/>
      <c r="F117" s="2182"/>
      <c r="G117" s="2182"/>
      <c r="H117" s="2182"/>
      <c r="I117" s="2182"/>
      <c r="J117" s="2182"/>
      <c r="K117" s="2182"/>
      <c r="L117" s="2182"/>
      <c r="M117" s="2182"/>
      <c r="N117" s="2182"/>
      <c r="O117" s="2182"/>
      <c r="P117" s="2182"/>
      <c r="Q117" s="2203" t="s">
        <v>554</v>
      </c>
      <c r="R117" s="2203"/>
      <c r="S117" s="2203"/>
      <c r="T117" s="2204"/>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3"/>
      <c r="C118" s="2184"/>
      <c r="D118" s="2184"/>
      <c r="E118" s="2184"/>
      <c r="F118" s="2184"/>
      <c r="G118" s="2184"/>
      <c r="H118" s="2184"/>
      <c r="I118" s="2184"/>
      <c r="J118" s="2184"/>
      <c r="K118" s="2184"/>
      <c r="L118" s="2184"/>
      <c r="M118" s="2184"/>
      <c r="N118" s="2184"/>
      <c r="O118" s="2184"/>
      <c r="P118" s="2184"/>
      <c r="Q118" s="2205"/>
      <c r="R118" s="2205"/>
      <c r="S118" s="2205"/>
      <c r="T118" s="2206"/>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3"/>
      <c r="C119" s="2184"/>
      <c r="D119" s="2184"/>
      <c r="E119" s="2184"/>
      <c r="F119" s="2184"/>
      <c r="G119" s="2184"/>
      <c r="H119" s="2184"/>
      <c r="I119" s="2184"/>
      <c r="J119" s="2184"/>
      <c r="K119" s="2184"/>
      <c r="L119" s="2184"/>
      <c r="M119" s="2184"/>
      <c r="N119" s="2184"/>
      <c r="O119" s="2184"/>
      <c r="P119" s="2184"/>
      <c r="Q119" s="2205"/>
      <c r="R119" s="2205"/>
      <c r="S119" s="2205"/>
      <c r="T119" s="2206"/>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3"/>
      <c r="C120" s="2184"/>
      <c r="D120" s="2184"/>
      <c r="E120" s="2184"/>
      <c r="F120" s="2184"/>
      <c r="G120" s="2184"/>
      <c r="H120" s="2184"/>
      <c r="I120" s="2184"/>
      <c r="J120" s="2184"/>
      <c r="K120" s="2184"/>
      <c r="L120" s="2184"/>
      <c r="M120" s="2184"/>
      <c r="N120" s="2184"/>
      <c r="O120" s="2184"/>
      <c r="P120" s="2184"/>
      <c r="Q120" s="2205"/>
      <c r="R120" s="2205"/>
      <c r="S120" s="2205"/>
      <c r="T120" s="2206"/>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5" t="s">
        <v>2188</v>
      </c>
      <c r="C121" s="2186"/>
      <c r="D121" s="2186"/>
      <c r="E121" s="2186"/>
      <c r="F121" s="2186"/>
      <c r="G121" s="2186"/>
      <c r="H121" s="2186"/>
      <c r="I121" s="2186"/>
      <c r="J121" s="2186"/>
      <c r="K121" s="2186"/>
      <c r="L121" s="2186"/>
      <c r="M121" s="2186"/>
      <c r="N121" s="2186"/>
      <c r="O121" s="2186"/>
      <c r="P121" s="2186"/>
      <c r="Q121" s="2186"/>
      <c r="R121" s="2186"/>
      <c r="S121" s="2186"/>
      <c r="T121" s="218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8"/>
      <c r="C122" s="2189"/>
      <c r="D122" s="2189"/>
      <c r="E122" s="2189"/>
      <c r="F122" s="2189"/>
      <c r="G122" s="2189"/>
      <c r="H122" s="2189"/>
      <c r="I122" s="2189"/>
      <c r="J122" s="2189"/>
      <c r="K122" s="2189"/>
      <c r="L122" s="2189"/>
      <c r="M122" s="2189"/>
      <c r="N122" s="2189"/>
      <c r="O122" s="2189"/>
      <c r="P122" s="2189"/>
      <c r="Q122" s="2189"/>
      <c r="R122" s="2189"/>
      <c r="S122" s="2189"/>
      <c r="T122" s="219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1" t="s">
        <v>2172</v>
      </c>
      <c r="Y125" s="2182"/>
      <c r="Z125" s="2182"/>
      <c r="AA125" s="2182"/>
      <c r="AB125" s="2182"/>
      <c r="AC125" s="2182"/>
      <c r="AD125" s="2182"/>
      <c r="AE125" s="2182"/>
      <c r="AF125" s="2182"/>
      <c r="AG125" s="2182"/>
      <c r="AH125" s="2182"/>
      <c r="AI125" s="2182"/>
      <c r="AJ125" s="2182"/>
      <c r="AK125" s="2182"/>
      <c r="AL125" s="2182"/>
      <c r="AM125" s="2182"/>
      <c r="AN125" s="2182"/>
      <c r="AO125" s="2182"/>
      <c r="AP125" s="2182"/>
      <c r="AQ125" s="2182"/>
      <c r="AR125" s="2182"/>
      <c r="AS125" s="2182"/>
      <c r="AT125" s="2182"/>
      <c r="AU125" s="2182"/>
      <c r="AV125" s="2182"/>
      <c r="AW125" s="2182"/>
      <c r="AX125" s="2182"/>
      <c r="AY125" s="2182"/>
      <c r="AZ125" s="2182"/>
      <c r="BA125" s="2182"/>
      <c r="BB125" s="2182"/>
      <c r="BC125" s="2182"/>
      <c r="BD125" s="2429"/>
      <c r="BE125" s="1202"/>
    </row>
    <row r="126" spans="1:57" ht="15.75" customHeight="1">
      <c r="A126" s="1206"/>
      <c r="B126" s="2431" t="s">
        <v>1687</v>
      </c>
      <c r="C126" s="2432"/>
      <c r="D126" s="2432"/>
      <c r="E126" s="2432"/>
      <c r="F126" s="2432"/>
      <c r="G126" s="2432"/>
      <c r="H126" s="2432"/>
      <c r="I126" s="2432"/>
      <c r="J126" s="2432"/>
      <c r="K126" s="2432"/>
      <c r="L126" s="2432"/>
      <c r="M126" s="2432"/>
      <c r="N126" s="2432"/>
      <c r="O126" s="2432"/>
      <c r="P126" s="2432"/>
      <c r="Q126" s="2432"/>
      <c r="R126" s="2432"/>
      <c r="S126" s="2432"/>
      <c r="T126" s="2432"/>
      <c r="U126" s="2433"/>
      <c r="V126" s="1206"/>
      <c r="W126" s="1206"/>
      <c r="X126" s="2183"/>
      <c r="Y126" s="2184"/>
      <c r="Z126" s="2184"/>
      <c r="AA126" s="2184"/>
      <c r="AB126" s="2184"/>
      <c r="AC126" s="2184"/>
      <c r="AD126" s="2184"/>
      <c r="AE126" s="2184"/>
      <c r="AF126" s="2184"/>
      <c r="AG126" s="2184"/>
      <c r="AH126" s="2184"/>
      <c r="AI126" s="2184"/>
      <c r="AJ126" s="2184"/>
      <c r="AK126" s="2184"/>
      <c r="AL126" s="2184"/>
      <c r="AM126" s="2184"/>
      <c r="AN126" s="2184"/>
      <c r="AO126" s="2184"/>
      <c r="AP126" s="2184"/>
      <c r="AQ126" s="2184"/>
      <c r="AR126" s="2184"/>
      <c r="AS126" s="2184"/>
      <c r="AT126" s="2184"/>
      <c r="AU126" s="2184"/>
      <c r="AV126" s="2184"/>
      <c r="AW126" s="2184"/>
      <c r="AX126" s="2184"/>
      <c r="AY126" s="2184"/>
      <c r="AZ126" s="2184"/>
      <c r="BA126" s="2184"/>
      <c r="BB126" s="2184"/>
      <c r="BC126" s="2184"/>
      <c r="BD126" s="2430"/>
      <c r="BE126" s="1202"/>
    </row>
    <row r="127" spans="1:57" ht="15.75" customHeight="1">
      <c r="A127" s="1206"/>
      <c r="B127" s="2394"/>
      <c r="C127" s="2395"/>
      <c r="D127" s="2395"/>
      <c r="E127" s="2395"/>
      <c r="F127" s="2395"/>
      <c r="G127" s="2395"/>
      <c r="H127" s="2395"/>
      <c r="I127" s="2174" t="s">
        <v>2173</v>
      </c>
      <c r="J127" s="2174"/>
      <c r="K127" s="2174"/>
      <c r="L127" s="2174"/>
      <c r="M127" s="2174"/>
      <c r="N127" s="2174"/>
      <c r="O127" s="2434" t="s">
        <v>2174</v>
      </c>
      <c r="P127" s="2434"/>
      <c r="Q127" s="2434"/>
      <c r="R127" s="2434"/>
      <c r="S127" s="2434"/>
      <c r="T127" s="2434"/>
      <c r="U127" s="2435"/>
      <c r="V127" s="1206"/>
      <c r="W127" s="1206"/>
      <c r="X127" s="2397" t="s">
        <v>2186</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2"/>
    </row>
    <row r="128" spans="1:57" ht="15.75" customHeight="1">
      <c r="A128" s="1206"/>
      <c r="B128" s="2411" t="s">
        <v>2175</v>
      </c>
      <c r="C128" s="2412"/>
      <c r="D128" s="2412"/>
      <c r="E128" s="2412"/>
      <c r="F128" s="2412"/>
      <c r="G128" s="2412"/>
      <c r="H128" s="2412"/>
      <c r="I128" s="2171">
        <v>0</v>
      </c>
      <c r="J128" s="2171"/>
      <c r="K128" s="2171"/>
      <c r="L128" s="2171"/>
      <c r="M128" s="2171"/>
      <c r="N128" s="2171"/>
      <c r="O128" s="2171">
        <v>0</v>
      </c>
      <c r="P128" s="2171"/>
      <c r="Q128" s="2171"/>
      <c r="R128" s="2171"/>
      <c r="S128" s="2171"/>
      <c r="T128" s="2171"/>
      <c r="U128" s="2172"/>
      <c r="V128" s="1206"/>
      <c r="W128" s="1206"/>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2"/>
    </row>
    <row r="129" spans="1:57" ht="15.75" customHeight="1" thickBot="1">
      <c r="A129" s="1206"/>
      <c r="B129" s="2413" t="s">
        <v>2176</v>
      </c>
      <c r="C129" s="2414"/>
      <c r="D129" s="2414"/>
      <c r="E129" s="2414"/>
      <c r="F129" s="2414"/>
      <c r="G129" s="2414"/>
      <c r="H129" s="2414"/>
      <c r="I129" s="2169">
        <v>0</v>
      </c>
      <c r="J129" s="2169"/>
      <c r="K129" s="2169"/>
      <c r="L129" s="2169"/>
      <c r="M129" s="2169"/>
      <c r="N129" s="2169"/>
      <c r="O129" s="2436"/>
      <c r="P129" s="2436"/>
      <c r="Q129" s="2436"/>
      <c r="R129" s="2436"/>
      <c r="S129" s="2436"/>
      <c r="T129" s="2436"/>
      <c r="U129" s="2437"/>
      <c r="V129" s="1206"/>
      <c r="W129" s="1206"/>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2"/>
    </row>
    <row r="133" spans="1:57" ht="15.75" customHeight="1">
      <c r="A133" s="1206"/>
      <c r="B133" s="2426" t="s">
        <v>1833</v>
      </c>
      <c r="C133" s="2427"/>
      <c r="D133" s="2427"/>
      <c r="E133" s="2427"/>
      <c r="F133" s="2427"/>
      <c r="G133" s="2427"/>
      <c r="H133" s="2427"/>
      <c r="I133" s="2427"/>
      <c r="J133" s="2427"/>
      <c r="K133" s="2427"/>
      <c r="L133" s="2427"/>
      <c r="M133" s="2427"/>
      <c r="N133" s="2427"/>
      <c r="O133" s="2427"/>
      <c r="P133" s="2427"/>
      <c r="Q133" s="2427"/>
      <c r="R133" s="2427"/>
      <c r="S133" s="2427"/>
      <c r="T133" s="2427"/>
      <c r="U133" s="2428"/>
      <c r="V133" s="1206"/>
      <c r="W133" s="1206"/>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2"/>
    </row>
    <row r="134" spans="1:57" ht="15.75" customHeight="1">
      <c r="A134" s="1206"/>
      <c r="B134" s="2394"/>
      <c r="C134" s="2395"/>
      <c r="D134" s="2395"/>
      <c r="E134" s="2395"/>
      <c r="F134" s="2395"/>
      <c r="G134" s="2395"/>
      <c r="H134" s="2395"/>
      <c r="I134" s="2409" t="s">
        <v>1828</v>
      </c>
      <c r="J134" s="2409"/>
      <c r="K134" s="2409"/>
      <c r="L134" s="2409"/>
      <c r="M134" s="2409"/>
      <c r="N134" s="2409"/>
      <c r="O134" s="2409"/>
      <c r="P134" s="2409" t="s">
        <v>2187</v>
      </c>
      <c r="Q134" s="2409"/>
      <c r="R134" s="2409"/>
      <c r="S134" s="2409"/>
      <c r="T134" s="2409"/>
      <c r="U134" s="2410"/>
      <c r="V134" s="1206"/>
      <c r="W134" s="1206"/>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2"/>
    </row>
    <row r="135" spans="1:57" ht="15.75" customHeight="1">
      <c r="A135" s="1206"/>
      <c r="B135" s="2394"/>
      <c r="C135" s="2395"/>
      <c r="D135" s="2395"/>
      <c r="E135" s="2395"/>
      <c r="F135" s="2395"/>
      <c r="G135" s="2395"/>
      <c r="H135" s="2395"/>
      <c r="I135" s="2409"/>
      <c r="J135" s="2409"/>
      <c r="K135" s="2409"/>
      <c r="L135" s="2409"/>
      <c r="M135" s="2409"/>
      <c r="N135" s="2409"/>
      <c r="O135" s="2409"/>
      <c r="P135" s="2409"/>
      <c r="Q135" s="2409"/>
      <c r="R135" s="2409"/>
      <c r="S135" s="2409"/>
      <c r="T135" s="2409"/>
      <c r="U135" s="2410"/>
      <c r="V135" s="1206"/>
      <c r="W135" s="1206"/>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2"/>
    </row>
    <row r="136" spans="1:57" ht="15.75" customHeight="1">
      <c r="A136" s="1206"/>
      <c r="B136" s="2411" t="s">
        <v>2175</v>
      </c>
      <c r="C136" s="2412"/>
      <c r="D136" s="2412"/>
      <c r="E136" s="2412"/>
      <c r="F136" s="2412"/>
      <c r="G136" s="2412"/>
      <c r="H136" s="2412"/>
      <c r="I136" s="2171">
        <v>0</v>
      </c>
      <c r="J136" s="2171"/>
      <c r="K136" s="2171"/>
      <c r="L136" s="2171"/>
      <c r="M136" s="2171"/>
      <c r="N136" s="2171"/>
      <c r="O136" s="2171"/>
      <c r="P136" s="2171">
        <v>0</v>
      </c>
      <c r="Q136" s="2171"/>
      <c r="R136" s="2171"/>
      <c r="S136" s="2171"/>
      <c r="T136" s="2171"/>
      <c r="U136" s="2172"/>
      <c r="V136" s="1206"/>
      <c r="W136" s="1206"/>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2"/>
    </row>
    <row r="137" spans="1:57" ht="15.75" customHeight="1" thickBot="1">
      <c r="A137" s="1206"/>
      <c r="B137" s="2413" t="s">
        <v>2176</v>
      </c>
      <c r="C137" s="2414"/>
      <c r="D137" s="2414"/>
      <c r="E137" s="2414"/>
      <c r="F137" s="2414"/>
      <c r="G137" s="2414"/>
      <c r="H137" s="2414"/>
      <c r="I137" s="2169">
        <v>0</v>
      </c>
      <c r="J137" s="2169"/>
      <c r="K137" s="2169"/>
      <c r="L137" s="2169"/>
      <c r="M137" s="2169"/>
      <c r="N137" s="2169"/>
      <c r="O137" s="2169"/>
      <c r="P137" s="2169">
        <v>0</v>
      </c>
      <c r="Q137" s="2169"/>
      <c r="R137" s="2169"/>
      <c r="S137" s="2169"/>
      <c r="T137" s="2169"/>
      <c r="U137" s="2170"/>
      <c r="V137" s="1206"/>
      <c r="W137" s="1206"/>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1" t="s">
        <v>1834</v>
      </c>
      <c r="C139" s="2392"/>
      <c r="D139" s="2392"/>
      <c r="E139" s="2392"/>
      <c r="F139" s="2392"/>
      <c r="G139" s="2392"/>
      <c r="H139" s="2392"/>
      <c r="I139" s="2392"/>
      <c r="J139" s="2392"/>
      <c r="K139" s="2392"/>
      <c r="L139" s="2392"/>
      <c r="M139" s="2392"/>
      <c r="N139" s="2392"/>
      <c r="O139" s="2392"/>
      <c r="P139" s="2392"/>
      <c r="Q139" s="2392"/>
      <c r="R139" s="2392"/>
      <c r="S139" s="2392"/>
      <c r="T139" s="2392"/>
      <c r="U139" s="2392"/>
      <c r="V139" s="2392"/>
      <c r="W139" s="2392"/>
      <c r="X139" s="2392"/>
      <c r="Y139" s="2392"/>
      <c r="Z139" s="2392"/>
      <c r="AA139" s="2392"/>
      <c r="AB139" s="2392"/>
      <c r="AC139" s="2392"/>
      <c r="AD139" s="2392"/>
      <c r="AE139" s="2392"/>
      <c r="AF139" s="2392"/>
      <c r="AG139" s="2392"/>
      <c r="AH139" s="2230" t="s">
        <v>554</v>
      </c>
      <c r="AI139" s="2230"/>
      <c r="AJ139" s="2230"/>
      <c r="AK139" s="2230"/>
      <c r="AL139" s="2230"/>
      <c r="AM139" s="2230"/>
      <c r="AN139" s="2230"/>
      <c r="AO139" s="2230"/>
      <c r="AP139" s="2230"/>
      <c r="AQ139" s="2230"/>
      <c r="AR139" s="2230"/>
      <c r="AS139" s="2230"/>
      <c r="AT139" s="2230"/>
      <c r="AU139" s="2230"/>
      <c r="AV139" s="2230"/>
      <c r="AW139" s="2230"/>
      <c r="AX139" s="2231"/>
      <c r="AY139" s="1206"/>
      <c r="AZ139" s="1206"/>
      <c r="BA139" s="1206"/>
      <c r="BB139" s="1206"/>
      <c r="BC139" s="1206"/>
      <c r="BD139" s="1206"/>
      <c r="BE139" s="1202"/>
    </row>
    <row r="140" spans="1:57" ht="15.75" customHeight="1">
      <c r="A140" s="1206"/>
      <c r="B140" s="2416" t="s">
        <v>1835</v>
      </c>
      <c r="C140" s="2417"/>
      <c r="D140" s="2417"/>
      <c r="E140" s="2417"/>
      <c r="F140" s="2417"/>
      <c r="G140" s="2417"/>
      <c r="H140" s="2417"/>
      <c r="I140" s="2417"/>
      <c r="J140" s="2417"/>
      <c r="K140" s="2417"/>
      <c r="L140" s="2417"/>
      <c r="M140" s="2417"/>
      <c r="N140" s="2417"/>
      <c r="O140" s="2417"/>
      <c r="P140" s="2417"/>
      <c r="Q140" s="2417"/>
      <c r="R140" s="2418" t="s">
        <v>2189</v>
      </c>
      <c r="S140" s="2418"/>
      <c r="T140" s="2418"/>
      <c r="U140" s="2418"/>
      <c r="V140" s="2418"/>
      <c r="W140" s="2418"/>
      <c r="X140" s="2418"/>
      <c r="Y140" s="2418"/>
      <c r="Z140" s="2418"/>
      <c r="AA140" s="2418"/>
      <c r="AB140" s="2418"/>
      <c r="AC140" s="2418"/>
      <c r="AD140" s="2418"/>
      <c r="AE140" s="2418"/>
      <c r="AF140" s="2418"/>
      <c r="AG140" s="2418"/>
      <c r="AH140" s="2418"/>
      <c r="AI140" s="2418"/>
      <c r="AJ140" s="2418"/>
      <c r="AK140" s="2418"/>
      <c r="AL140" s="2418"/>
      <c r="AM140" s="2418"/>
      <c r="AN140" s="2418"/>
      <c r="AO140" s="2418"/>
      <c r="AP140" s="2418"/>
      <c r="AQ140" s="2418"/>
      <c r="AR140" s="2418"/>
      <c r="AS140" s="2418"/>
      <c r="AT140" s="2418"/>
      <c r="AU140" s="2418"/>
      <c r="AV140" s="2418"/>
      <c r="AW140" s="2418"/>
      <c r="AX140" s="2419"/>
      <c r="AY140" s="1206"/>
      <c r="AZ140" s="1206"/>
      <c r="BA140" s="1206"/>
      <c r="BB140" s="1206"/>
      <c r="BC140" s="1206" t="s">
        <v>251</v>
      </c>
      <c r="BD140" s="1206"/>
      <c r="BE140" s="1202"/>
    </row>
    <row r="141" spans="1:57" ht="15.75" customHeight="1">
      <c r="A141" s="1206"/>
      <c r="B141" s="2420" t="s">
        <v>2190</v>
      </c>
      <c r="C141" s="2421"/>
      <c r="D141" s="2421"/>
      <c r="E141" s="2421"/>
      <c r="F141" s="2421"/>
      <c r="G141" s="2421"/>
      <c r="H141" s="2421"/>
      <c r="I141" s="2421"/>
      <c r="J141" s="2421"/>
      <c r="K141" s="2421"/>
      <c r="L141" s="2421"/>
      <c r="M141" s="2421"/>
      <c r="N141" s="2421"/>
      <c r="O141" s="2421"/>
      <c r="P141" s="2421"/>
      <c r="Q141" s="2421"/>
      <c r="R141" s="2421"/>
      <c r="S141" s="2421"/>
      <c r="T141" s="2421"/>
      <c r="U141" s="2421"/>
      <c r="V141" s="2421"/>
      <c r="W141" s="2421"/>
      <c r="X141" s="2421"/>
      <c r="Y141" s="2421"/>
      <c r="Z141" s="2421"/>
      <c r="AA141" s="2421"/>
      <c r="AB141" s="2421"/>
      <c r="AC141" s="2421"/>
      <c r="AD141" s="2421"/>
      <c r="AE141" s="2421"/>
      <c r="AF141" s="2421"/>
      <c r="AG141" s="2421"/>
      <c r="AH141" s="2421"/>
      <c r="AI141" s="2421"/>
      <c r="AJ141" s="2421"/>
      <c r="AK141" s="2421"/>
      <c r="AL141" s="2421"/>
      <c r="AM141" s="2421"/>
      <c r="AN141" s="2421"/>
      <c r="AO141" s="2421"/>
      <c r="AP141" s="2421"/>
      <c r="AQ141" s="2421"/>
      <c r="AR141" s="2421"/>
      <c r="AS141" s="2421"/>
      <c r="AT141" s="2421"/>
      <c r="AU141" s="2421"/>
      <c r="AV141" s="2421"/>
      <c r="AW141" s="2421"/>
      <c r="AX141" s="2422"/>
      <c r="AY141" s="1206"/>
      <c r="AZ141" s="1206"/>
      <c r="BA141" s="1206"/>
      <c r="BB141" s="1206"/>
      <c r="BC141" s="1206"/>
      <c r="BD141" s="1206"/>
      <c r="BE141" s="1202"/>
    </row>
    <row r="142" spans="1:57" ht="15.75" customHeight="1">
      <c r="A142" s="1206"/>
      <c r="B142" s="2420"/>
      <c r="C142" s="2421"/>
      <c r="D142" s="2421"/>
      <c r="E142" s="2421"/>
      <c r="F142" s="2421"/>
      <c r="G142" s="2421"/>
      <c r="H142" s="2421"/>
      <c r="I142" s="2421"/>
      <c r="J142" s="2421"/>
      <c r="K142" s="2421"/>
      <c r="L142" s="2421"/>
      <c r="M142" s="2421"/>
      <c r="N142" s="2421"/>
      <c r="O142" s="2421"/>
      <c r="P142" s="2421"/>
      <c r="Q142" s="2421"/>
      <c r="R142" s="2421"/>
      <c r="S142" s="2421"/>
      <c r="T142" s="2421"/>
      <c r="U142" s="2421"/>
      <c r="V142" s="2421"/>
      <c r="W142" s="2421"/>
      <c r="X142" s="2421"/>
      <c r="Y142" s="2421"/>
      <c r="Z142" s="2421"/>
      <c r="AA142" s="2421"/>
      <c r="AB142" s="2421"/>
      <c r="AC142" s="2421"/>
      <c r="AD142" s="2421"/>
      <c r="AE142" s="2421"/>
      <c r="AF142" s="2421"/>
      <c r="AG142" s="2421"/>
      <c r="AH142" s="2421"/>
      <c r="AI142" s="2421"/>
      <c r="AJ142" s="2421"/>
      <c r="AK142" s="2421"/>
      <c r="AL142" s="2421"/>
      <c r="AM142" s="2421"/>
      <c r="AN142" s="2421"/>
      <c r="AO142" s="2421"/>
      <c r="AP142" s="2421"/>
      <c r="AQ142" s="2421"/>
      <c r="AR142" s="2421"/>
      <c r="AS142" s="2421"/>
      <c r="AT142" s="2421"/>
      <c r="AU142" s="2421"/>
      <c r="AV142" s="2421"/>
      <c r="AW142" s="2421"/>
      <c r="AX142" s="2422"/>
      <c r="AY142" s="1206"/>
      <c r="AZ142" s="1206"/>
      <c r="BA142" s="1206"/>
      <c r="BB142" s="1206"/>
      <c r="BC142" s="1206"/>
      <c r="BD142" s="1206"/>
      <c r="BE142" s="1202"/>
    </row>
    <row r="143" spans="1:57" ht="15.75" customHeight="1">
      <c r="A143" s="1206"/>
      <c r="B143" s="2420"/>
      <c r="C143" s="2421"/>
      <c r="D143" s="2421"/>
      <c r="E143" s="2421"/>
      <c r="F143" s="2421"/>
      <c r="G143" s="2421"/>
      <c r="H143" s="2421"/>
      <c r="I143" s="2421"/>
      <c r="J143" s="2421"/>
      <c r="K143" s="2421"/>
      <c r="L143" s="2421"/>
      <c r="M143" s="2421"/>
      <c r="N143" s="2421"/>
      <c r="O143" s="2421"/>
      <c r="P143" s="2421"/>
      <c r="Q143" s="2421"/>
      <c r="R143" s="2421"/>
      <c r="S143" s="2421"/>
      <c r="T143" s="2421"/>
      <c r="U143" s="2421"/>
      <c r="V143" s="2421"/>
      <c r="W143" s="2421"/>
      <c r="X143" s="2421"/>
      <c r="Y143" s="2421"/>
      <c r="Z143" s="2421"/>
      <c r="AA143" s="2421"/>
      <c r="AB143" s="2421"/>
      <c r="AC143" s="2421"/>
      <c r="AD143" s="2421"/>
      <c r="AE143" s="2421"/>
      <c r="AF143" s="2421"/>
      <c r="AG143" s="2421"/>
      <c r="AH143" s="2421"/>
      <c r="AI143" s="2421"/>
      <c r="AJ143" s="2421"/>
      <c r="AK143" s="2421"/>
      <c r="AL143" s="2421"/>
      <c r="AM143" s="2421"/>
      <c r="AN143" s="2421"/>
      <c r="AO143" s="2421"/>
      <c r="AP143" s="2421"/>
      <c r="AQ143" s="2421"/>
      <c r="AR143" s="2421"/>
      <c r="AS143" s="2421"/>
      <c r="AT143" s="2421"/>
      <c r="AU143" s="2421"/>
      <c r="AV143" s="2421"/>
      <c r="AW143" s="2421"/>
      <c r="AX143" s="2422"/>
      <c r="AY143" s="1206"/>
      <c r="AZ143" s="1206"/>
      <c r="BA143" s="1206"/>
      <c r="BB143" s="1206"/>
      <c r="BC143" s="1206"/>
      <c r="BD143" s="1206"/>
      <c r="BE143" s="1202"/>
    </row>
    <row r="144" spans="1:57" ht="15.75" customHeight="1">
      <c r="A144" s="1206"/>
      <c r="B144" s="2420"/>
      <c r="C144" s="2421"/>
      <c r="D144" s="2421"/>
      <c r="E144" s="2421"/>
      <c r="F144" s="2421"/>
      <c r="G144" s="2421"/>
      <c r="H144" s="2421"/>
      <c r="I144" s="2421"/>
      <c r="J144" s="2421"/>
      <c r="K144" s="2421"/>
      <c r="L144" s="2421"/>
      <c r="M144" s="2421"/>
      <c r="N144" s="2421"/>
      <c r="O144" s="2421"/>
      <c r="P144" s="2421"/>
      <c r="Q144" s="2421"/>
      <c r="R144" s="2421"/>
      <c r="S144" s="2421"/>
      <c r="T144" s="2421"/>
      <c r="U144" s="2421"/>
      <c r="V144" s="2421"/>
      <c r="W144" s="2421"/>
      <c r="X144" s="2421"/>
      <c r="Y144" s="2421"/>
      <c r="Z144" s="2421"/>
      <c r="AA144" s="2421"/>
      <c r="AB144" s="2421"/>
      <c r="AC144" s="2421"/>
      <c r="AD144" s="2421"/>
      <c r="AE144" s="2421"/>
      <c r="AF144" s="2421"/>
      <c r="AG144" s="2421"/>
      <c r="AH144" s="2421"/>
      <c r="AI144" s="2421"/>
      <c r="AJ144" s="2421"/>
      <c r="AK144" s="2421"/>
      <c r="AL144" s="2421"/>
      <c r="AM144" s="2421"/>
      <c r="AN144" s="2421"/>
      <c r="AO144" s="2421"/>
      <c r="AP144" s="2421"/>
      <c r="AQ144" s="2421"/>
      <c r="AR144" s="2421"/>
      <c r="AS144" s="2421"/>
      <c r="AT144" s="2421"/>
      <c r="AU144" s="2421"/>
      <c r="AV144" s="2421"/>
      <c r="AW144" s="2421"/>
      <c r="AX144" s="2422"/>
      <c r="AY144" s="1206"/>
      <c r="AZ144" s="1206"/>
      <c r="BA144" s="1206"/>
      <c r="BB144" s="1206"/>
      <c r="BC144" s="1206"/>
      <c r="BD144" s="1206"/>
      <c r="BE144" s="1202"/>
    </row>
    <row r="145" spans="1:57" ht="15.75" customHeight="1">
      <c r="A145" s="1206"/>
      <c r="B145" s="2420"/>
      <c r="C145" s="2421"/>
      <c r="D145" s="2421"/>
      <c r="E145" s="2421"/>
      <c r="F145" s="2421"/>
      <c r="G145" s="2421"/>
      <c r="H145" s="2421"/>
      <c r="I145" s="2421"/>
      <c r="J145" s="2421"/>
      <c r="K145" s="2421"/>
      <c r="L145" s="2421"/>
      <c r="M145" s="2421"/>
      <c r="N145" s="2421"/>
      <c r="O145" s="2421"/>
      <c r="P145" s="2421"/>
      <c r="Q145" s="2421"/>
      <c r="R145" s="2421"/>
      <c r="S145" s="2421"/>
      <c r="T145" s="2421"/>
      <c r="U145" s="2421"/>
      <c r="V145" s="2421"/>
      <c r="W145" s="2421"/>
      <c r="X145" s="2421"/>
      <c r="Y145" s="2421"/>
      <c r="Z145" s="2421"/>
      <c r="AA145" s="2421"/>
      <c r="AB145" s="2421"/>
      <c r="AC145" s="2421"/>
      <c r="AD145" s="2421"/>
      <c r="AE145" s="2421"/>
      <c r="AF145" s="2421"/>
      <c r="AG145" s="2421"/>
      <c r="AH145" s="2421"/>
      <c r="AI145" s="2421"/>
      <c r="AJ145" s="2421"/>
      <c r="AK145" s="2421"/>
      <c r="AL145" s="2421"/>
      <c r="AM145" s="2421"/>
      <c r="AN145" s="2421"/>
      <c r="AO145" s="2421"/>
      <c r="AP145" s="2421"/>
      <c r="AQ145" s="2421"/>
      <c r="AR145" s="2421"/>
      <c r="AS145" s="2421"/>
      <c r="AT145" s="2421"/>
      <c r="AU145" s="2421"/>
      <c r="AV145" s="2421"/>
      <c r="AW145" s="2421"/>
      <c r="AX145" s="2422"/>
      <c r="AY145" s="1206"/>
      <c r="AZ145" s="1206"/>
      <c r="BA145" s="1206"/>
      <c r="BB145" s="1206"/>
      <c r="BC145" s="1206"/>
      <c r="BD145" s="1206"/>
      <c r="BE145" s="1202"/>
    </row>
    <row r="146" spans="1:57" ht="15.75" customHeight="1">
      <c r="A146" s="1206"/>
      <c r="B146" s="2420"/>
      <c r="C146" s="2421"/>
      <c r="D146" s="2421"/>
      <c r="E146" s="2421"/>
      <c r="F146" s="2421"/>
      <c r="G146" s="2421"/>
      <c r="H146" s="2421"/>
      <c r="I146" s="2421"/>
      <c r="J146" s="2421"/>
      <c r="K146" s="2421"/>
      <c r="L146" s="2421"/>
      <c r="M146" s="2421"/>
      <c r="N146" s="2421"/>
      <c r="O146" s="2421"/>
      <c r="P146" s="2421"/>
      <c r="Q146" s="2421"/>
      <c r="R146" s="2421"/>
      <c r="S146" s="2421"/>
      <c r="T146" s="2421"/>
      <c r="U146" s="2421"/>
      <c r="V146" s="2421"/>
      <c r="W146" s="2421"/>
      <c r="X146" s="2421"/>
      <c r="Y146" s="2421"/>
      <c r="Z146" s="2421"/>
      <c r="AA146" s="2421"/>
      <c r="AB146" s="2421"/>
      <c r="AC146" s="2421"/>
      <c r="AD146" s="2421"/>
      <c r="AE146" s="2421"/>
      <c r="AF146" s="2421"/>
      <c r="AG146" s="2421"/>
      <c r="AH146" s="2421"/>
      <c r="AI146" s="2421"/>
      <c r="AJ146" s="2421"/>
      <c r="AK146" s="2421"/>
      <c r="AL146" s="2421"/>
      <c r="AM146" s="2421"/>
      <c r="AN146" s="2421"/>
      <c r="AO146" s="2421"/>
      <c r="AP146" s="2421"/>
      <c r="AQ146" s="2421"/>
      <c r="AR146" s="2421"/>
      <c r="AS146" s="2421"/>
      <c r="AT146" s="2421"/>
      <c r="AU146" s="2421"/>
      <c r="AV146" s="2421"/>
      <c r="AW146" s="2421"/>
      <c r="AX146" s="2422"/>
      <c r="AY146" s="1206"/>
      <c r="AZ146" s="1206"/>
      <c r="BA146" s="1206"/>
      <c r="BB146" s="1206"/>
      <c r="BC146" s="1206"/>
      <c r="BD146" s="1206"/>
      <c r="BE146" s="1202"/>
    </row>
    <row r="147" spans="1:57" ht="15.75" customHeight="1">
      <c r="A147" s="1206"/>
      <c r="B147" s="2420"/>
      <c r="C147" s="2421"/>
      <c r="D147" s="2421"/>
      <c r="E147" s="2421"/>
      <c r="F147" s="2421"/>
      <c r="G147" s="2421"/>
      <c r="H147" s="2421"/>
      <c r="I147" s="2421"/>
      <c r="J147" s="2421"/>
      <c r="K147" s="2421"/>
      <c r="L147" s="2421"/>
      <c r="M147" s="2421"/>
      <c r="N147" s="2421"/>
      <c r="O147" s="2421"/>
      <c r="P147" s="2421"/>
      <c r="Q147" s="2421"/>
      <c r="R147" s="2421"/>
      <c r="S147" s="2421"/>
      <c r="T147" s="2421"/>
      <c r="U147" s="2421"/>
      <c r="V147" s="2421"/>
      <c r="W147" s="2421"/>
      <c r="X147" s="2421"/>
      <c r="Y147" s="2421"/>
      <c r="Z147" s="2421"/>
      <c r="AA147" s="2421"/>
      <c r="AB147" s="2421"/>
      <c r="AC147" s="2421"/>
      <c r="AD147" s="2421"/>
      <c r="AE147" s="2421"/>
      <c r="AF147" s="2421"/>
      <c r="AG147" s="2421"/>
      <c r="AH147" s="2421"/>
      <c r="AI147" s="2421"/>
      <c r="AJ147" s="2421"/>
      <c r="AK147" s="2421"/>
      <c r="AL147" s="2421"/>
      <c r="AM147" s="2421"/>
      <c r="AN147" s="2421"/>
      <c r="AO147" s="2421"/>
      <c r="AP147" s="2421"/>
      <c r="AQ147" s="2421"/>
      <c r="AR147" s="2421"/>
      <c r="AS147" s="2421"/>
      <c r="AT147" s="2421"/>
      <c r="AU147" s="2421"/>
      <c r="AV147" s="2421"/>
      <c r="AW147" s="2421"/>
      <c r="AX147" s="2422"/>
      <c r="AY147" s="1206"/>
      <c r="AZ147" s="1206"/>
      <c r="BA147" s="1206"/>
      <c r="BB147" s="1206"/>
      <c r="BC147" s="1206"/>
      <c r="BD147" s="1206"/>
      <c r="BE147" s="1202"/>
    </row>
    <row r="148" spans="1:57" ht="15.75" customHeight="1">
      <c r="A148" s="1206"/>
      <c r="B148" s="2420"/>
      <c r="C148" s="2421"/>
      <c r="D148" s="2421"/>
      <c r="E148" s="2421"/>
      <c r="F148" s="2421"/>
      <c r="G148" s="2421"/>
      <c r="H148" s="2421"/>
      <c r="I148" s="2421"/>
      <c r="J148" s="2421"/>
      <c r="K148" s="2421"/>
      <c r="L148" s="2421"/>
      <c r="M148" s="2421"/>
      <c r="N148" s="2421"/>
      <c r="O148" s="2421"/>
      <c r="P148" s="2421"/>
      <c r="Q148" s="2421"/>
      <c r="R148" s="2421"/>
      <c r="S148" s="2421"/>
      <c r="T148" s="2421"/>
      <c r="U148" s="2421"/>
      <c r="V148" s="2421"/>
      <c r="W148" s="2421"/>
      <c r="X148" s="2421"/>
      <c r="Y148" s="2421"/>
      <c r="Z148" s="2421"/>
      <c r="AA148" s="2421"/>
      <c r="AB148" s="2421"/>
      <c r="AC148" s="2421"/>
      <c r="AD148" s="2421"/>
      <c r="AE148" s="2421"/>
      <c r="AF148" s="2421"/>
      <c r="AG148" s="2421"/>
      <c r="AH148" s="2421"/>
      <c r="AI148" s="2421"/>
      <c r="AJ148" s="2421"/>
      <c r="AK148" s="2421"/>
      <c r="AL148" s="2421"/>
      <c r="AM148" s="2421"/>
      <c r="AN148" s="2421"/>
      <c r="AO148" s="2421"/>
      <c r="AP148" s="2421"/>
      <c r="AQ148" s="2421"/>
      <c r="AR148" s="2421"/>
      <c r="AS148" s="2421"/>
      <c r="AT148" s="2421"/>
      <c r="AU148" s="2421"/>
      <c r="AV148" s="2421"/>
      <c r="AW148" s="2421"/>
      <c r="AX148" s="2422"/>
      <c r="AY148" s="1206"/>
      <c r="AZ148" s="1206"/>
      <c r="BA148" s="1206"/>
      <c r="BB148" s="1206"/>
      <c r="BC148" s="1206"/>
      <c r="BD148" s="1206"/>
      <c r="BE148" s="1202"/>
    </row>
    <row r="149" spans="1:57" ht="15.75" customHeight="1">
      <c r="A149" s="1206"/>
      <c r="B149" s="2420"/>
      <c r="C149" s="2421"/>
      <c r="D149" s="2421"/>
      <c r="E149" s="2421"/>
      <c r="F149" s="2421"/>
      <c r="G149" s="2421"/>
      <c r="H149" s="2421"/>
      <c r="I149" s="2421"/>
      <c r="J149" s="2421"/>
      <c r="K149" s="2421"/>
      <c r="L149" s="2421"/>
      <c r="M149" s="2421"/>
      <c r="N149" s="2421"/>
      <c r="O149" s="2421"/>
      <c r="P149" s="2421"/>
      <c r="Q149" s="2421"/>
      <c r="R149" s="2421"/>
      <c r="S149" s="2421"/>
      <c r="T149" s="2421"/>
      <c r="U149" s="2421"/>
      <c r="V149" s="2421"/>
      <c r="W149" s="2421"/>
      <c r="X149" s="2421"/>
      <c r="Y149" s="2421"/>
      <c r="Z149" s="2421"/>
      <c r="AA149" s="2421"/>
      <c r="AB149" s="2421"/>
      <c r="AC149" s="2421"/>
      <c r="AD149" s="2421"/>
      <c r="AE149" s="2421"/>
      <c r="AF149" s="2421"/>
      <c r="AG149" s="2421"/>
      <c r="AH149" s="2421"/>
      <c r="AI149" s="2421"/>
      <c r="AJ149" s="2421"/>
      <c r="AK149" s="2421"/>
      <c r="AL149" s="2421"/>
      <c r="AM149" s="2421"/>
      <c r="AN149" s="2421"/>
      <c r="AO149" s="2421"/>
      <c r="AP149" s="2421"/>
      <c r="AQ149" s="2421"/>
      <c r="AR149" s="2421"/>
      <c r="AS149" s="2421"/>
      <c r="AT149" s="2421"/>
      <c r="AU149" s="2421"/>
      <c r="AV149" s="2421"/>
      <c r="AW149" s="2421"/>
      <c r="AX149" s="2422"/>
      <c r="AY149" s="1206"/>
      <c r="AZ149" s="1206"/>
      <c r="BA149" s="1206"/>
      <c r="BB149" s="1206"/>
      <c r="BC149" s="1206"/>
      <c r="BD149" s="1206"/>
      <c r="BE149" s="1202"/>
    </row>
    <row r="150" spans="1:57" ht="15.75" customHeight="1" thickBot="1">
      <c r="A150" s="1206"/>
      <c r="B150" s="2423"/>
      <c r="C150" s="2424"/>
      <c r="D150" s="2424"/>
      <c r="E150" s="2424"/>
      <c r="F150" s="2424"/>
      <c r="G150" s="2424"/>
      <c r="H150" s="2424"/>
      <c r="I150" s="2424"/>
      <c r="J150" s="2424"/>
      <c r="K150" s="2424"/>
      <c r="L150" s="2424"/>
      <c r="M150" s="2424"/>
      <c r="N150" s="2424"/>
      <c r="O150" s="2424"/>
      <c r="P150" s="2424"/>
      <c r="Q150" s="2424"/>
      <c r="R150" s="2424"/>
      <c r="S150" s="2424"/>
      <c r="T150" s="2424"/>
      <c r="U150" s="2424"/>
      <c r="V150" s="2424"/>
      <c r="W150" s="2424"/>
      <c r="X150" s="2424"/>
      <c r="Y150" s="2424"/>
      <c r="Z150" s="2424"/>
      <c r="AA150" s="2424"/>
      <c r="AB150" s="2424"/>
      <c r="AC150" s="2424"/>
      <c r="AD150" s="2424"/>
      <c r="AE150" s="2424"/>
      <c r="AF150" s="2424"/>
      <c r="AG150" s="2424"/>
      <c r="AH150" s="2424"/>
      <c r="AI150" s="2424"/>
      <c r="AJ150" s="2424"/>
      <c r="AK150" s="2424"/>
      <c r="AL150" s="2424"/>
      <c r="AM150" s="2424"/>
      <c r="AN150" s="2424"/>
      <c r="AO150" s="2424"/>
      <c r="AP150" s="2424"/>
      <c r="AQ150" s="2424"/>
      <c r="AR150" s="2424"/>
      <c r="AS150" s="2424"/>
      <c r="AT150" s="2424"/>
      <c r="AU150" s="2424"/>
      <c r="AV150" s="2424"/>
      <c r="AW150" s="2424"/>
      <c r="AX150" s="2425"/>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5" t="s">
        <v>1837</v>
      </c>
      <c r="C154" s="2211"/>
      <c r="D154" s="2211"/>
      <c r="E154" s="2211"/>
      <c r="F154" s="2211"/>
      <c r="G154" s="2211"/>
      <c r="H154" s="2211"/>
      <c r="I154" s="2211"/>
      <c r="J154" s="2211"/>
      <c r="K154" s="2211"/>
      <c r="L154" s="2211"/>
      <c r="M154" s="2211"/>
      <c r="N154" s="2211"/>
      <c r="O154" s="2211"/>
      <c r="P154" s="2211"/>
      <c r="Q154" s="2211"/>
      <c r="R154" s="2211"/>
      <c r="S154" s="2211"/>
      <c r="T154" s="2211"/>
      <c r="U154" s="2212"/>
      <c r="V154" s="1206"/>
      <c r="W154" s="1214"/>
      <c r="X154" s="2415" t="s">
        <v>2192</v>
      </c>
      <c r="Y154" s="2211"/>
      <c r="Z154" s="2211"/>
      <c r="AA154" s="2211"/>
      <c r="AB154" s="2211"/>
      <c r="AC154" s="2211"/>
      <c r="AD154" s="2211"/>
      <c r="AE154" s="2211"/>
      <c r="AF154" s="2211"/>
      <c r="AG154" s="2211"/>
      <c r="AH154" s="2211"/>
      <c r="AI154" s="2211"/>
      <c r="AJ154" s="2211"/>
      <c r="AK154" s="2211"/>
      <c r="AL154" s="2211"/>
      <c r="AM154" s="2211"/>
      <c r="AN154" s="2211"/>
      <c r="AO154" s="2211"/>
      <c r="AP154" s="2211"/>
      <c r="AQ154" s="2212"/>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4"/>
      <c r="C155" s="2395"/>
      <c r="D155" s="2395"/>
      <c r="E155" s="2395"/>
      <c r="F155" s="2395"/>
      <c r="G155" s="2395"/>
      <c r="H155" s="2395"/>
      <c r="I155" s="2409" t="s">
        <v>1828</v>
      </c>
      <c r="J155" s="2409"/>
      <c r="K155" s="2409"/>
      <c r="L155" s="2409"/>
      <c r="M155" s="2409"/>
      <c r="N155" s="2409"/>
      <c r="O155" s="2409"/>
      <c r="P155" s="2409" t="s">
        <v>2193</v>
      </c>
      <c r="Q155" s="2409"/>
      <c r="R155" s="2409"/>
      <c r="S155" s="2409"/>
      <c r="T155" s="2409"/>
      <c r="U155" s="2410"/>
      <c r="V155" s="1206"/>
      <c r="W155" s="1206"/>
      <c r="X155" s="2394"/>
      <c r="Y155" s="2395"/>
      <c r="Z155" s="2395"/>
      <c r="AA155" s="2395"/>
      <c r="AB155" s="2395"/>
      <c r="AC155" s="2395"/>
      <c r="AD155" s="2395"/>
      <c r="AE155" s="2409" t="s">
        <v>1828</v>
      </c>
      <c r="AF155" s="2409"/>
      <c r="AG155" s="2409"/>
      <c r="AH155" s="2409"/>
      <c r="AI155" s="2409"/>
      <c r="AJ155" s="2409"/>
      <c r="AK155" s="2409"/>
      <c r="AL155" s="2409" t="s">
        <v>2187</v>
      </c>
      <c r="AM155" s="2409"/>
      <c r="AN155" s="2409"/>
      <c r="AO155" s="2409"/>
      <c r="AP155" s="2409"/>
      <c r="AQ155" s="2410"/>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4"/>
      <c r="C156" s="2395"/>
      <c r="D156" s="2395"/>
      <c r="E156" s="2395"/>
      <c r="F156" s="2395"/>
      <c r="G156" s="2395"/>
      <c r="H156" s="2395"/>
      <c r="I156" s="2409"/>
      <c r="J156" s="2409"/>
      <c r="K156" s="2409"/>
      <c r="L156" s="2409"/>
      <c r="M156" s="2409"/>
      <c r="N156" s="2409"/>
      <c r="O156" s="2409"/>
      <c r="P156" s="2409"/>
      <c r="Q156" s="2409"/>
      <c r="R156" s="2409"/>
      <c r="S156" s="2409"/>
      <c r="T156" s="2409"/>
      <c r="U156" s="2410"/>
      <c r="V156" s="1206"/>
      <c r="W156" s="1206"/>
      <c r="X156" s="2394"/>
      <c r="Y156" s="2395"/>
      <c r="Z156" s="2395"/>
      <c r="AA156" s="2395"/>
      <c r="AB156" s="2395"/>
      <c r="AC156" s="2395"/>
      <c r="AD156" s="2395"/>
      <c r="AE156" s="2409"/>
      <c r="AF156" s="2409"/>
      <c r="AG156" s="2409"/>
      <c r="AH156" s="2409"/>
      <c r="AI156" s="2409"/>
      <c r="AJ156" s="2409"/>
      <c r="AK156" s="2409"/>
      <c r="AL156" s="2409"/>
      <c r="AM156" s="2409"/>
      <c r="AN156" s="2409"/>
      <c r="AO156" s="2409"/>
      <c r="AP156" s="2409"/>
      <c r="AQ156" s="2410"/>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1" t="s">
        <v>2175</v>
      </c>
      <c r="C157" s="2412"/>
      <c r="D157" s="2412"/>
      <c r="E157" s="2412"/>
      <c r="F157" s="2412"/>
      <c r="G157" s="2412"/>
      <c r="H157" s="2412"/>
      <c r="I157" s="2171">
        <v>0</v>
      </c>
      <c r="J157" s="2171"/>
      <c r="K157" s="2171"/>
      <c r="L157" s="2171"/>
      <c r="M157" s="2171"/>
      <c r="N157" s="2171"/>
      <c r="O157" s="2171"/>
      <c r="P157" s="2171">
        <v>0</v>
      </c>
      <c r="Q157" s="2171"/>
      <c r="R157" s="2171"/>
      <c r="S157" s="2171"/>
      <c r="T157" s="2171"/>
      <c r="U157" s="2172"/>
      <c r="V157" s="1206"/>
      <c r="W157" s="1206"/>
      <c r="X157" s="2413" t="s">
        <v>2175</v>
      </c>
      <c r="Y157" s="2414"/>
      <c r="Z157" s="2414"/>
      <c r="AA157" s="2414"/>
      <c r="AB157" s="2414"/>
      <c r="AC157" s="2414"/>
      <c r="AD157" s="2414"/>
      <c r="AE157" s="2169">
        <v>0</v>
      </c>
      <c r="AF157" s="2169"/>
      <c r="AG157" s="2169"/>
      <c r="AH157" s="2169"/>
      <c r="AI157" s="2169"/>
      <c r="AJ157" s="2169"/>
      <c r="AK157" s="2169"/>
      <c r="AL157" s="2169">
        <v>0</v>
      </c>
      <c r="AM157" s="2169"/>
      <c r="AN157" s="2169"/>
      <c r="AO157" s="2169"/>
      <c r="AP157" s="2169"/>
      <c r="AQ157" s="2170"/>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3" t="s">
        <v>2176</v>
      </c>
      <c r="C158" s="2414"/>
      <c r="D158" s="2414"/>
      <c r="E158" s="2414"/>
      <c r="F158" s="2414"/>
      <c r="G158" s="2414"/>
      <c r="H158" s="2414"/>
      <c r="I158" s="2169">
        <v>0</v>
      </c>
      <c r="J158" s="2169"/>
      <c r="K158" s="2169"/>
      <c r="L158" s="2169"/>
      <c r="M158" s="2169"/>
      <c r="N158" s="2169"/>
      <c r="O158" s="2169"/>
      <c r="P158" s="2169">
        <v>0</v>
      </c>
      <c r="Q158" s="2169"/>
      <c r="R158" s="2169"/>
      <c r="S158" s="2169"/>
      <c r="T158" s="2169"/>
      <c r="U158" s="2170"/>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5" t="s">
        <v>2177</v>
      </c>
      <c r="D160" s="2211"/>
      <c r="E160" s="2211"/>
      <c r="F160" s="2211"/>
      <c r="G160" s="2211"/>
      <c r="H160" s="2211"/>
      <c r="I160" s="2211"/>
      <c r="J160" s="2211"/>
      <c r="K160" s="2211"/>
      <c r="L160" s="2211"/>
      <c r="M160" s="2211"/>
      <c r="N160" s="2211"/>
      <c r="O160" s="2211"/>
      <c r="P160" s="2211"/>
      <c r="Q160" s="2211"/>
      <c r="R160" s="2211"/>
      <c r="S160" s="2211"/>
      <c r="T160" s="2211"/>
      <c r="U160" s="2211"/>
      <c r="V160" s="2211"/>
      <c r="W160" s="2211"/>
      <c r="X160" s="2211"/>
      <c r="Y160" s="2211"/>
      <c r="Z160" s="2211"/>
      <c r="AA160" s="2211"/>
      <c r="AB160" s="2211"/>
      <c r="AC160" s="2211"/>
      <c r="AD160" s="2211"/>
      <c r="AE160" s="2211"/>
      <c r="AF160" s="2211"/>
      <c r="AG160" s="221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4" t="s">
        <v>1838</v>
      </c>
      <c r="D161" s="2395"/>
      <c r="E161" s="2395"/>
      <c r="F161" s="2395"/>
      <c r="G161" s="2395"/>
      <c r="H161" s="2395"/>
      <c r="I161" s="2395"/>
      <c r="J161" s="2395"/>
      <c r="K161" s="2395"/>
      <c r="L161" s="2395"/>
      <c r="M161" s="2395"/>
      <c r="N161" s="2395"/>
      <c r="O161" s="2395"/>
      <c r="P161" s="2395"/>
      <c r="Q161" s="2395" t="s">
        <v>1839</v>
      </c>
      <c r="R161" s="2395"/>
      <c r="S161" s="2395"/>
      <c r="T161" s="2176" t="s">
        <v>2178</v>
      </c>
      <c r="U161" s="2176"/>
      <c r="V161" s="2176"/>
      <c r="W161" s="2176"/>
      <c r="X161" s="2176"/>
      <c r="Y161" s="2176"/>
      <c r="Z161" s="2176"/>
      <c r="AA161" s="2176"/>
      <c r="AB161" s="2395" t="s">
        <v>1840</v>
      </c>
      <c r="AC161" s="2395"/>
      <c r="AD161" s="2395"/>
      <c r="AE161" s="2395"/>
      <c r="AF161" s="2395"/>
      <c r="AG161" s="239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3" t="s">
        <v>1841</v>
      </c>
      <c r="D162" s="2404"/>
      <c r="E162" s="2404"/>
      <c r="F162" s="2404"/>
      <c r="G162" s="2404"/>
      <c r="H162" s="2404"/>
      <c r="I162" s="2404"/>
      <c r="J162" s="2404"/>
      <c r="K162" s="2404"/>
      <c r="L162" s="2404"/>
      <c r="M162" s="2404"/>
      <c r="N162" s="2404"/>
      <c r="O162" s="2404"/>
      <c r="P162" s="2404"/>
      <c r="Q162" s="2353">
        <v>55</v>
      </c>
      <c r="R162" s="2353"/>
      <c r="S162" s="2353"/>
      <c r="T162" s="2367"/>
      <c r="U162" s="2367"/>
      <c r="V162" s="2367"/>
      <c r="W162" s="2367"/>
      <c r="X162" s="2367"/>
      <c r="Y162" s="2367"/>
      <c r="Z162" s="2367"/>
      <c r="AA162" s="2367"/>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3" t="s">
        <v>1842</v>
      </c>
      <c r="D163" s="2404"/>
      <c r="E163" s="2404"/>
      <c r="F163" s="2404"/>
      <c r="G163" s="2404"/>
      <c r="H163" s="2404"/>
      <c r="I163" s="2404"/>
      <c r="J163" s="2404"/>
      <c r="K163" s="2404"/>
      <c r="L163" s="2404"/>
      <c r="M163" s="2404"/>
      <c r="N163" s="2404"/>
      <c r="O163" s="2404"/>
      <c r="P163" s="2404"/>
      <c r="Q163" s="2353">
        <v>55</v>
      </c>
      <c r="R163" s="2353"/>
      <c r="S163" s="2353"/>
      <c r="T163" s="2406"/>
      <c r="U163" s="2406"/>
      <c r="V163" s="2406"/>
      <c r="W163" s="2406"/>
      <c r="X163" s="2406"/>
      <c r="Y163" s="2406"/>
      <c r="Z163" s="2406"/>
      <c r="AA163" s="240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3" t="s">
        <v>1843</v>
      </c>
      <c r="D164" s="2404"/>
      <c r="E164" s="2404"/>
      <c r="F164" s="2404"/>
      <c r="G164" s="2404"/>
      <c r="H164" s="2404"/>
      <c r="I164" s="2404"/>
      <c r="J164" s="2404"/>
      <c r="K164" s="2404"/>
      <c r="L164" s="2404"/>
      <c r="M164" s="2404"/>
      <c r="N164" s="2404"/>
      <c r="O164" s="2404"/>
      <c r="P164" s="2404"/>
      <c r="Q164" s="2353">
        <v>55</v>
      </c>
      <c r="R164" s="2353"/>
      <c r="S164" s="2353"/>
      <c r="T164" s="2367"/>
      <c r="U164" s="2367"/>
      <c r="V164" s="2367"/>
      <c r="W164" s="2367"/>
      <c r="X164" s="2367"/>
      <c r="Y164" s="2367"/>
      <c r="Z164" s="2367"/>
      <c r="AA164" s="236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3" t="s">
        <v>1814</v>
      </c>
      <c r="D165" s="2404"/>
      <c r="E165" s="2404"/>
      <c r="F165" s="2404"/>
      <c r="G165" s="2404"/>
      <c r="H165" s="2404"/>
      <c r="I165" s="2404"/>
      <c r="J165" s="2404"/>
      <c r="K165" s="2404"/>
      <c r="L165" s="2404"/>
      <c r="M165" s="2404"/>
      <c r="N165" s="2404"/>
      <c r="O165" s="2404"/>
      <c r="P165" s="2404"/>
      <c r="Q165" s="2353">
        <v>55</v>
      </c>
      <c r="R165" s="2353"/>
      <c r="S165" s="2353"/>
      <c r="T165" s="2367"/>
      <c r="U165" s="2367"/>
      <c r="V165" s="2367"/>
      <c r="W165" s="2367"/>
      <c r="X165" s="2367"/>
      <c r="Y165" s="2367"/>
      <c r="Z165" s="2367"/>
      <c r="AA165" s="2367"/>
      <c r="AB165" s="2407">
        <v>0</v>
      </c>
      <c r="AC165" s="2407"/>
      <c r="AD165" s="2407"/>
      <c r="AE165" s="2407"/>
      <c r="AF165" s="2407"/>
      <c r="AG165" s="2408"/>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3" t="s">
        <v>170</v>
      </c>
      <c r="D166" s="2404"/>
      <c r="E166" s="2404"/>
      <c r="F166" s="2405" t="s">
        <v>1844</v>
      </c>
      <c r="G166" s="2405"/>
      <c r="H166" s="2405"/>
      <c r="I166" s="2405"/>
      <c r="J166" s="2405"/>
      <c r="K166" s="2405"/>
      <c r="L166" s="2405"/>
      <c r="M166" s="2405"/>
      <c r="N166" s="2405"/>
      <c r="O166" s="2405"/>
      <c r="P166" s="2405"/>
      <c r="Q166" s="2353">
        <v>55</v>
      </c>
      <c r="R166" s="2353"/>
      <c r="S166" s="2353"/>
      <c r="T166" s="2406"/>
      <c r="U166" s="2406"/>
      <c r="V166" s="2406"/>
      <c r="W166" s="2406"/>
      <c r="X166" s="2406"/>
      <c r="Y166" s="2406"/>
      <c r="Z166" s="2406"/>
      <c r="AA166" s="2406"/>
      <c r="AB166" s="2407">
        <v>0</v>
      </c>
      <c r="AC166" s="2407"/>
      <c r="AD166" s="2407"/>
      <c r="AE166" s="2407"/>
      <c r="AF166" s="2407"/>
      <c r="AG166" s="2408"/>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3" t="s">
        <v>170</v>
      </c>
      <c r="D167" s="2404"/>
      <c r="E167" s="2404"/>
      <c r="F167" s="2405" t="s">
        <v>1844</v>
      </c>
      <c r="G167" s="2405"/>
      <c r="H167" s="2405"/>
      <c r="I167" s="2405"/>
      <c r="J167" s="2405"/>
      <c r="K167" s="2405"/>
      <c r="L167" s="2405"/>
      <c r="M167" s="2405"/>
      <c r="N167" s="2405"/>
      <c r="O167" s="2405"/>
      <c r="P167" s="2405"/>
      <c r="Q167" s="2353">
        <v>55</v>
      </c>
      <c r="R167" s="2353"/>
      <c r="S167" s="2353"/>
      <c r="T167" s="2406"/>
      <c r="U167" s="2406"/>
      <c r="V167" s="2406"/>
      <c r="W167" s="2406"/>
      <c r="X167" s="2406"/>
      <c r="Y167" s="2406"/>
      <c r="Z167" s="2406"/>
      <c r="AA167" s="2406"/>
      <c r="AB167" s="2407">
        <v>0</v>
      </c>
      <c r="AC167" s="2407"/>
      <c r="AD167" s="2407"/>
      <c r="AE167" s="2407"/>
      <c r="AF167" s="2407"/>
      <c r="AG167" s="2408"/>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4" t="s">
        <v>170</v>
      </c>
      <c r="D168" s="2375"/>
      <c r="E168" s="2375"/>
      <c r="F168" s="2376" t="s">
        <v>1844</v>
      </c>
      <c r="G168" s="2376"/>
      <c r="H168" s="2376"/>
      <c r="I168" s="2376"/>
      <c r="J168" s="2376"/>
      <c r="K168" s="2376"/>
      <c r="L168" s="2376"/>
      <c r="M168" s="2376"/>
      <c r="N168" s="2376"/>
      <c r="O168" s="2376"/>
      <c r="P168" s="2376"/>
      <c r="Q168" s="2377">
        <v>55</v>
      </c>
      <c r="R168" s="2377"/>
      <c r="S168" s="2377"/>
      <c r="T168" s="2378"/>
      <c r="U168" s="2378"/>
      <c r="V168" s="2378"/>
      <c r="W168" s="2378"/>
      <c r="X168" s="2378"/>
      <c r="Y168" s="2378"/>
      <c r="Z168" s="2378"/>
      <c r="AA168" s="2378"/>
      <c r="AB168" s="2379">
        <v>0</v>
      </c>
      <c r="AC168" s="2379"/>
      <c r="AD168" s="2379"/>
      <c r="AE168" s="2379"/>
      <c r="AF168" s="2379"/>
      <c r="AG168" s="238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8" t="s">
        <v>1845</v>
      </c>
      <c r="D170" s="2179"/>
      <c r="E170" s="2179"/>
      <c r="F170" s="2179"/>
      <c r="G170" s="2179"/>
      <c r="H170" s="2179"/>
      <c r="I170" s="2179"/>
      <c r="J170" s="2179"/>
      <c r="K170" s="2179"/>
      <c r="L170" s="2179"/>
      <c r="M170" s="2179"/>
      <c r="N170" s="2180"/>
      <c r="O170" s="1206"/>
      <c r="P170" s="2391" t="s">
        <v>1846</v>
      </c>
      <c r="Q170" s="2392"/>
      <c r="R170" s="2392"/>
      <c r="S170" s="2392"/>
      <c r="T170" s="2392"/>
      <c r="U170" s="2392"/>
      <c r="V170" s="2392"/>
      <c r="W170" s="2392"/>
      <c r="X170" s="2392"/>
      <c r="Y170" s="2392"/>
      <c r="Z170" s="2392"/>
      <c r="AA170" s="2392"/>
      <c r="AB170" s="2392"/>
      <c r="AC170" s="2392"/>
      <c r="AD170" s="2392"/>
      <c r="AE170" s="2392"/>
      <c r="AF170" s="2392"/>
      <c r="AG170" s="2392"/>
      <c r="AH170" s="2392"/>
      <c r="AI170" s="2392"/>
      <c r="AJ170" s="2392"/>
      <c r="AK170" s="2392"/>
      <c r="AL170" s="2392"/>
      <c r="AM170" s="2392"/>
      <c r="AN170" s="2392"/>
      <c r="AO170" s="2393"/>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4" t="s">
        <v>1847</v>
      </c>
      <c r="D171" s="2395"/>
      <c r="E171" s="2395"/>
      <c r="F171" s="2395"/>
      <c r="G171" s="2395"/>
      <c r="H171" s="2395"/>
      <c r="I171" s="2395" t="s">
        <v>1848</v>
      </c>
      <c r="J171" s="2395"/>
      <c r="K171" s="2395"/>
      <c r="L171" s="2395"/>
      <c r="M171" s="2395"/>
      <c r="N171" s="2396"/>
      <c r="O171" s="1206"/>
      <c r="P171" s="2397" t="s">
        <v>2186</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6"/>
      <c r="D172" s="2347"/>
      <c r="E172" s="2347"/>
      <c r="F172" s="2347"/>
      <c r="G172" s="2347"/>
      <c r="H172" s="2347"/>
      <c r="I172" s="2367"/>
      <c r="J172" s="2367"/>
      <c r="K172" s="2367"/>
      <c r="L172" s="2367"/>
      <c r="M172" s="2367"/>
      <c r="N172" s="2368"/>
      <c r="O172" s="1206"/>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6"/>
      <c r="D173" s="2347"/>
      <c r="E173" s="2347"/>
      <c r="F173" s="2347"/>
      <c r="G173" s="2347"/>
      <c r="H173" s="2347"/>
      <c r="I173" s="2367"/>
      <c r="J173" s="2367"/>
      <c r="K173" s="2367"/>
      <c r="L173" s="2367"/>
      <c r="M173" s="2367"/>
      <c r="N173" s="2368"/>
      <c r="O173" s="1206"/>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6"/>
      <c r="D174" s="2347"/>
      <c r="E174" s="2347"/>
      <c r="F174" s="2347"/>
      <c r="G174" s="2347"/>
      <c r="H174" s="2347"/>
      <c r="I174" s="2367"/>
      <c r="J174" s="2367"/>
      <c r="K174" s="2367"/>
      <c r="L174" s="2367"/>
      <c r="M174" s="2367"/>
      <c r="N174" s="2368"/>
      <c r="O174" s="1206"/>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6"/>
      <c r="D175" s="2347"/>
      <c r="E175" s="2347"/>
      <c r="F175" s="2347"/>
      <c r="G175" s="2347"/>
      <c r="H175" s="2347"/>
      <c r="I175" s="2367"/>
      <c r="J175" s="2367"/>
      <c r="K175" s="2367"/>
      <c r="L175" s="2367"/>
      <c r="M175" s="2367"/>
      <c r="N175" s="2368"/>
      <c r="O175" s="1206"/>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6"/>
      <c r="D176" s="2347"/>
      <c r="E176" s="2347"/>
      <c r="F176" s="2347"/>
      <c r="G176" s="2347"/>
      <c r="H176" s="2347"/>
      <c r="I176" s="2367"/>
      <c r="J176" s="2367"/>
      <c r="K176" s="2367"/>
      <c r="L176" s="2367"/>
      <c r="M176" s="2367"/>
      <c r="N176" s="2368"/>
      <c r="O176" s="1206"/>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6"/>
      <c r="D177" s="2347"/>
      <c r="E177" s="2347"/>
      <c r="F177" s="2347"/>
      <c r="G177" s="2347"/>
      <c r="H177" s="2347"/>
      <c r="I177" s="2367"/>
      <c r="J177" s="2367"/>
      <c r="K177" s="2367"/>
      <c r="L177" s="2367"/>
      <c r="M177" s="2367"/>
      <c r="N177" s="2368"/>
      <c r="O177" s="1206"/>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1"/>
      <c r="D178" s="2382"/>
      <c r="E178" s="2382"/>
      <c r="F178" s="2382"/>
      <c r="G178" s="2382"/>
      <c r="H178" s="2382"/>
      <c r="I178" s="2383"/>
      <c r="J178" s="2383"/>
      <c r="K178" s="2383"/>
      <c r="L178" s="2383"/>
      <c r="M178" s="2383"/>
      <c r="N178" s="2384"/>
      <c r="O178" s="1206"/>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5" t="s">
        <v>2488</v>
      </c>
      <c r="D180" s="2386"/>
      <c r="E180" s="2386"/>
      <c r="F180" s="2386"/>
      <c r="G180" s="2386"/>
      <c r="H180" s="2386"/>
      <c r="I180" s="2386"/>
      <c r="J180" s="2386"/>
      <c r="K180" s="2386"/>
      <c r="L180" s="2386"/>
      <c r="M180" s="2386"/>
      <c r="N180" s="2386"/>
      <c r="O180" s="2386"/>
      <c r="P180" s="2386"/>
      <c r="Q180" s="2386"/>
      <c r="R180" s="2386"/>
      <c r="S180" s="2386"/>
      <c r="T180" s="2386"/>
      <c r="U180" s="2386"/>
      <c r="V180" s="2386"/>
      <c r="W180" s="2386"/>
      <c r="X180" s="2386"/>
      <c r="Y180" s="2386"/>
      <c r="Z180" s="2386"/>
      <c r="AA180" s="2386"/>
      <c r="AB180" s="2386"/>
      <c r="AC180" s="2386"/>
      <c r="AD180" s="2386"/>
      <c r="AE180" s="2387"/>
      <c r="AF180" s="1206"/>
      <c r="AG180" s="1206"/>
      <c r="AH180" s="2580" t="s">
        <v>2603</v>
      </c>
      <c r="AI180" s="2581"/>
      <c r="AJ180" s="2581"/>
      <c r="AK180" s="2581"/>
      <c r="AL180" s="2581"/>
      <c r="AM180" s="2581"/>
      <c r="AN180" s="2581"/>
      <c r="AO180" s="2581"/>
      <c r="AP180" s="2581"/>
      <c r="AQ180" s="2581"/>
      <c r="AR180" s="2581"/>
      <c r="AS180" s="2581"/>
      <c r="AT180" s="2581"/>
      <c r="AU180" s="2581"/>
      <c r="AV180" s="2581"/>
      <c r="AW180" s="2581"/>
      <c r="AX180" s="2581"/>
      <c r="AY180" s="2581"/>
      <c r="AZ180" s="2581"/>
      <c r="BA180" s="2581"/>
      <c r="BB180" s="2581"/>
      <c r="BC180" s="2581"/>
      <c r="BD180" s="2581"/>
      <c r="BE180" s="2582"/>
    </row>
    <row r="181" spans="1:57" ht="15.75" customHeight="1" thickBot="1">
      <c r="A181" s="1206"/>
      <c r="B181" s="1206"/>
      <c r="C181" s="2388"/>
      <c r="D181" s="2389"/>
      <c r="E181" s="2389"/>
      <c r="F181" s="2389"/>
      <c r="G181" s="2389"/>
      <c r="H181" s="2389"/>
      <c r="I181" s="2389"/>
      <c r="J181" s="2389"/>
      <c r="K181" s="2389"/>
      <c r="L181" s="2389"/>
      <c r="M181" s="2389"/>
      <c r="N181" s="2389"/>
      <c r="O181" s="2389"/>
      <c r="P181" s="2389"/>
      <c r="Q181" s="2389"/>
      <c r="R181" s="2389"/>
      <c r="S181" s="2389"/>
      <c r="T181" s="2389"/>
      <c r="U181" s="2389"/>
      <c r="V181" s="2389"/>
      <c r="W181" s="2389"/>
      <c r="X181" s="2389"/>
      <c r="Y181" s="2389"/>
      <c r="Z181" s="2389"/>
      <c r="AA181" s="2389"/>
      <c r="AB181" s="2389"/>
      <c r="AC181" s="2389"/>
      <c r="AD181" s="2389"/>
      <c r="AE181" s="2390"/>
      <c r="AF181" s="1206"/>
      <c r="AG181" s="1206"/>
      <c r="AH181" s="2583" t="s">
        <v>2624</v>
      </c>
      <c r="AI181" s="2583"/>
      <c r="AJ181" s="2583"/>
      <c r="AK181" s="2583"/>
      <c r="AL181" s="2583"/>
      <c r="AM181" s="2583"/>
      <c r="AN181" s="2583"/>
      <c r="AO181" s="2583"/>
      <c r="AP181" s="2583"/>
      <c r="AQ181" s="2583"/>
      <c r="AR181" s="2583"/>
      <c r="AS181" s="2583"/>
      <c r="AT181" s="2583"/>
      <c r="AU181" s="2583"/>
      <c r="AV181" s="2583"/>
      <c r="AW181" s="2583"/>
      <c r="AX181" s="2583"/>
      <c r="AY181" s="2583"/>
      <c r="AZ181" s="2583"/>
      <c r="BA181" s="2583"/>
      <c r="BB181" s="2583"/>
      <c r="BC181" s="2583"/>
      <c r="BD181" s="2583"/>
      <c r="BE181" s="2583"/>
    </row>
    <row r="182" spans="1:57" ht="15.75" customHeight="1">
      <c r="A182" s="1206"/>
      <c r="B182" s="1206"/>
      <c r="C182" s="2178" t="s">
        <v>1838</v>
      </c>
      <c r="D182" s="2179"/>
      <c r="E182" s="2179"/>
      <c r="F182" s="2179"/>
      <c r="G182" s="2179"/>
      <c r="H182" s="2179"/>
      <c r="I182" s="2179"/>
      <c r="J182" s="2179"/>
      <c r="K182" s="2179"/>
      <c r="L182" s="2179"/>
      <c r="M182" s="2179"/>
      <c r="N182" s="2179" t="s">
        <v>1849</v>
      </c>
      <c r="O182" s="2179"/>
      <c r="P182" s="2179"/>
      <c r="Q182" s="2179"/>
      <c r="R182" s="2179"/>
      <c r="S182" s="2179"/>
      <c r="T182" s="2179"/>
      <c r="U182" s="2211" t="s">
        <v>1838</v>
      </c>
      <c r="V182" s="2211"/>
      <c r="W182" s="2211"/>
      <c r="X182" s="2211"/>
      <c r="Y182" s="2211"/>
      <c r="Z182" s="2211"/>
      <c r="AA182" s="2211"/>
      <c r="AB182" s="2211"/>
      <c r="AC182" s="2211"/>
      <c r="AD182" s="2211"/>
      <c r="AE182" s="2212"/>
      <c r="AF182" s="1206"/>
      <c r="AG182" s="1206"/>
      <c r="AH182" s="2366" t="s">
        <v>2608</v>
      </c>
      <c r="AI182" s="2366"/>
      <c r="AJ182" s="2366"/>
      <c r="AK182" s="2366"/>
      <c r="AL182" s="2366"/>
      <c r="AM182" s="2366"/>
      <c r="AN182" s="2366"/>
      <c r="AO182" s="2366"/>
      <c r="AP182" s="2366"/>
      <c r="AQ182" s="2366"/>
      <c r="AR182" s="2366"/>
      <c r="AS182" s="2366"/>
      <c r="AT182" s="2366"/>
      <c r="AU182" s="2591">
        <v>2500000</v>
      </c>
      <c r="AV182" s="2591"/>
      <c r="AW182" s="2591"/>
      <c r="AX182" s="2591"/>
      <c r="AY182" s="2591"/>
      <c r="AZ182" s="2591"/>
      <c r="BA182" s="2591"/>
      <c r="BB182" s="2591"/>
      <c r="BC182" s="2595"/>
      <c r="BD182" s="2596"/>
      <c r="BE182" s="2597"/>
    </row>
    <row r="183" spans="1:57" ht="15.75" customHeight="1">
      <c r="A183" s="1206"/>
      <c r="B183" s="1206"/>
      <c r="C183" s="2355" t="s">
        <v>2489</v>
      </c>
      <c r="D183" s="2356"/>
      <c r="E183" s="2356"/>
      <c r="F183" s="2356"/>
      <c r="G183" s="2356"/>
      <c r="H183" s="2356"/>
      <c r="I183" s="2356"/>
      <c r="J183" s="2356"/>
      <c r="K183" s="2356"/>
      <c r="L183" s="2356"/>
      <c r="M183" s="2356"/>
      <c r="N183" s="2369">
        <f>'Sources and Uses Budget'!B105</f>
        <v>46936060</v>
      </c>
      <c r="O183" s="2369"/>
      <c r="P183" s="2369"/>
      <c r="Q183" s="2369"/>
      <c r="R183" s="2369"/>
      <c r="S183" s="2369"/>
      <c r="T183" s="2369"/>
      <c r="U183" s="2370"/>
      <c r="V183" s="2370"/>
      <c r="W183" s="2370"/>
      <c r="X183" s="2370"/>
      <c r="Y183" s="2370"/>
      <c r="Z183" s="2370"/>
      <c r="AA183" s="2370"/>
      <c r="AB183" s="2370"/>
      <c r="AC183" s="2370"/>
      <c r="AD183" s="2370"/>
      <c r="AE183" s="2371"/>
      <c r="AF183" s="1206"/>
      <c r="AG183" s="1206"/>
      <c r="AH183" s="2366" t="s">
        <v>2607</v>
      </c>
      <c r="AI183" s="2366"/>
      <c r="AJ183" s="2366"/>
      <c r="AK183" s="2366"/>
      <c r="AL183" s="2366"/>
      <c r="AM183" s="2366"/>
      <c r="AN183" s="2366"/>
      <c r="AO183" s="2366"/>
      <c r="AP183" s="2366"/>
      <c r="AQ183" s="2366"/>
      <c r="AR183" s="2366"/>
      <c r="AS183" s="2366"/>
      <c r="AT183" s="2366"/>
      <c r="AU183" s="2592">
        <f>MAX(0,Application!AG439-100)*20000</f>
        <v>100000</v>
      </c>
      <c r="AV183" s="2592"/>
      <c r="AW183" s="2592"/>
      <c r="AX183" s="2592"/>
      <c r="AY183" s="2592"/>
      <c r="AZ183" s="2592"/>
      <c r="BA183" s="2592"/>
      <c r="BB183" s="2592"/>
      <c r="BC183" s="2325"/>
      <c r="BD183" s="2326"/>
      <c r="BE183" s="2327"/>
    </row>
    <row r="184" spans="1:57" ht="15.75" customHeight="1">
      <c r="A184" s="1206"/>
      <c r="B184" s="1206"/>
      <c r="C184" s="2355" t="s">
        <v>2490</v>
      </c>
      <c r="D184" s="2356"/>
      <c r="E184" s="2356"/>
      <c r="F184" s="2356"/>
      <c r="G184" s="2356"/>
      <c r="H184" s="2356"/>
      <c r="I184" s="2356"/>
      <c r="J184" s="2356"/>
      <c r="K184" s="2356"/>
      <c r="L184" s="2356"/>
      <c r="M184" s="2356"/>
      <c r="N184" s="2369">
        <f>N183/J29</f>
        <v>447010.09523809527</v>
      </c>
      <c r="O184" s="2369"/>
      <c r="P184" s="2369"/>
      <c r="Q184" s="2369"/>
      <c r="R184" s="2369"/>
      <c r="S184" s="2369"/>
      <c r="T184" s="2369"/>
      <c r="U184" s="1222"/>
      <c r="V184" s="1222"/>
      <c r="W184" s="1222"/>
      <c r="X184" s="1222"/>
      <c r="Y184" s="1222"/>
      <c r="Z184" s="1222"/>
      <c r="AA184" s="1222"/>
      <c r="AB184" s="1222"/>
      <c r="AC184" s="1222"/>
      <c r="AD184" s="1222"/>
      <c r="AE184" s="1221"/>
      <c r="AF184" s="1206"/>
      <c r="AG184" s="1206"/>
      <c r="AH184" s="2584" t="s">
        <v>2606</v>
      </c>
      <c r="AI184" s="2584"/>
      <c r="AJ184" s="2584"/>
      <c r="AK184" s="2584"/>
      <c r="AL184" s="2584"/>
      <c r="AM184" s="2584"/>
      <c r="AN184" s="2584"/>
      <c r="AO184" s="2584"/>
      <c r="AP184" s="2584"/>
      <c r="AQ184" s="2584"/>
      <c r="AR184" s="2584"/>
      <c r="AS184" s="2584"/>
      <c r="AT184" s="2584"/>
      <c r="AU184" s="2324">
        <f>AU182+AU183</f>
        <v>2600000</v>
      </c>
      <c r="AV184" s="2324"/>
      <c r="AW184" s="2324"/>
      <c r="AX184" s="2324"/>
      <c r="AY184" s="2324"/>
      <c r="AZ184" s="2324"/>
      <c r="BA184" s="2324"/>
      <c r="BB184" s="2324"/>
      <c r="BC184" s="2325"/>
      <c r="BD184" s="2326"/>
      <c r="BE184" s="2327"/>
    </row>
    <row r="185" spans="1:57" ht="15.75" customHeight="1">
      <c r="A185" s="1206"/>
      <c r="B185" s="1206"/>
      <c r="C185" s="2372" t="s">
        <v>2491</v>
      </c>
      <c r="D185" s="2373"/>
      <c r="E185" s="2373"/>
      <c r="F185" s="2373"/>
      <c r="G185" s="2373"/>
      <c r="H185" s="2373"/>
      <c r="I185" s="2373"/>
      <c r="J185" s="2373"/>
      <c r="K185" s="2373"/>
      <c r="L185" s="2373"/>
      <c r="M185" s="2373"/>
      <c r="N185" s="2207">
        <v>0</v>
      </c>
      <c r="O185" s="2207"/>
      <c r="P185" s="2207"/>
      <c r="Q185" s="2207"/>
      <c r="R185" s="2207"/>
      <c r="S185" s="2207"/>
      <c r="T185" s="2207"/>
      <c r="U185" s="2350"/>
      <c r="V185" s="2350"/>
      <c r="W185" s="2350"/>
      <c r="X185" s="2350"/>
      <c r="Y185" s="2350"/>
      <c r="Z185" s="2350"/>
      <c r="AA185" s="2350"/>
      <c r="AB185" s="2350"/>
      <c r="AC185" s="2350"/>
      <c r="AD185" s="2350"/>
      <c r="AE185" s="2351"/>
      <c r="AF185" s="1206"/>
      <c r="AG185" s="1206"/>
      <c r="AH185" s="2594" t="s">
        <v>2605</v>
      </c>
      <c r="AI185" s="2594"/>
      <c r="AJ185" s="2594"/>
      <c r="AK185" s="2594"/>
      <c r="AL185" s="2594"/>
      <c r="AM185" s="2594"/>
      <c r="AN185" s="2594"/>
      <c r="AO185" s="2594"/>
      <c r="AP185" s="2594"/>
      <c r="AQ185" s="2594"/>
      <c r="AR185" s="2594"/>
      <c r="AS185" s="2594"/>
      <c r="AT185" s="2594"/>
      <c r="AU185" s="2593" t="str">
        <f>IF(AU189-AU192&lt;=AU184,"Y","N")</f>
        <v>Y</v>
      </c>
      <c r="AV185" s="2593"/>
      <c r="AW185" s="2593"/>
      <c r="AX185" s="2593"/>
      <c r="AY185" s="2593"/>
      <c r="AZ185" s="2593"/>
      <c r="BA185" s="2593"/>
      <c r="BB185" s="2593"/>
      <c r="BC185" s="2325"/>
      <c r="BD185" s="2326"/>
      <c r="BE185" s="2327"/>
    </row>
    <row r="186" spans="1:57" ht="15.75" customHeight="1" thickBot="1">
      <c r="A186" s="1206"/>
      <c r="B186" s="1206"/>
      <c r="C186" s="2355" t="s">
        <v>2492</v>
      </c>
      <c r="D186" s="2356"/>
      <c r="E186" s="2356"/>
      <c r="F186" s="2356"/>
      <c r="G186" s="2356"/>
      <c r="H186" s="2356"/>
      <c r="I186" s="2356"/>
      <c r="J186" s="2356"/>
      <c r="K186" s="2356"/>
      <c r="L186" s="2356"/>
      <c r="M186" s="2356"/>
      <c r="N186" s="2357">
        <f>SUM('Sources and Uses Budget'!B85:B86)</f>
        <v>60000</v>
      </c>
      <c r="O186" s="2357"/>
      <c r="P186" s="2357"/>
      <c r="Q186" s="2357"/>
      <c r="R186" s="2357"/>
      <c r="S186" s="2357"/>
      <c r="T186" s="2357"/>
      <c r="U186" s="2350"/>
      <c r="V186" s="2350"/>
      <c r="W186" s="2350"/>
      <c r="X186" s="2350"/>
      <c r="Y186" s="2350"/>
      <c r="Z186" s="2350"/>
      <c r="AA186" s="2350"/>
      <c r="AB186" s="2350"/>
      <c r="AC186" s="2350"/>
      <c r="AD186" s="2350"/>
      <c r="AE186" s="2351"/>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5" t="s">
        <v>2493</v>
      </c>
      <c r="D187" s="2356"/>
      <c r="E187" s="2356"/>
      <c r="F187" s="2356"/>
      <c r="G187" s="2356"/>
      <c r="H187" s="2356"/>
      <c r="I187" s="2356"/>
      <c r="J187" s="2356"/>
      <c r="K187" s="2356"/>
      <c r="L187" s="2356"/>
      <c r="M187" s="2356"/>
      <c r="N187" s="2357">
        <f>'Sources and Uses Budget'!B8</f>
        <v>1165000</v>
      </c>
      <c r="O187" s="2357"/>
      <c r="P187" s="2357"/>
      <c r="Q187" s="2357"/>
      <c r="R187" s="2357"/>
      <c r="S187" s="2357"/>
      <c r="T187" s="2357"/>
      <c r="U187" s="2350"/>
      <c r="V187" s="2350"/>
      <c r="W187" s="2350"/>
      <c r="X187" s="2350"/>
      <c r="Y187" s="2350"/>
      <c r="Z187" s="2350"/>
      <c r="AA187" s="2350"/>
      <c r="AB187" s="2350"/>
      <c r="AC187" s="2350"/>
      <c r="AD187" s="2350"/>
      <c r="AE187" s="2351"/>
      <c r="AF187" s="1206"/>
      <c r="AG187" s="1206"/>
      <c r="AH187" s="2358" t="s">
        <v>1850</v>
      </c>
      <c r="AI187" s="2359"/>
      <c r="AJ187" s="2359"/>
      <c r="AK187" s="2359"/>
      <c r="AL187" s="2359"/>
      <c r="AM187" s="2359"/>
      <c r="AN187" s="2359"/>
      <c r="AO187" s="2359"/>
      <c r="AP187" s="2359"/>
      <c r="AQ187" s="2359"/>
      <c r="AR187" s="2359"/>
      <c r="AS187" s="2359"/>
      <c r="AT187" s="2359"/>
      <c r="AU187" s="2359"/>
      <c r="AV187" s="2359"/>
      <c r="AW187" s="2359"/>
      <c r="AX187" s="2359"/>
      <c r="AY187" s="2359"/>
      <c r="AZ187" s="2359"/>
      <c r="BA187" s="2359"/>
      <c r="BB187" s="2359"/>
      <c r="BC187" s="2359"/>
      <c r="BD187" s="2359"/>
      <c r="BE187" s="2360"/>
    </row>
    <row r="188" spans="1:57" ht="15.75" customHeight="1">
      <c r="A188" s="1206"/>
      <c r="B188" s="1206"/>
      <c r="C188" s="2355" t="s">
        <v>2494</v>
      </c>
      <c r="D188" s="2356"/>
      <c r="E188" s="2356"/>
      <c r="F188" s="2356"/>
      <c r="G188" s="2356"/>
      <c r="H188" s="2356"/>
      <c r="I188" s="2356"/>
      <c r="J188" s="2356"/>
      <c r="K188" s="2356"/>
      <c r="L188" s="2356"/>
      <c r="M188" s="2356"/>
      <c r="N188" s="2349">
        <v>0</v>
      </c>
      <c r="O188" s="2349"/>
      <c r="P188" s="2349"/>
      <c r="Q188" s="2349"/>
      <c r="R188" s="2349"/>
      <c r="S188" s="2349"/>
      <c r="T188" s="2349"/>
      <c r="U188" s="2350"/>
      <c r="V188" s="2350"/>
      <c r="W188" s="2350"/>
      <c r="X188" s="2350"/>
      <c r="Y188" s="2350"/>
      <c r="Z188" s="2350"/>
      <c r="AA188" s="2350"/>
      <c r="AB188" s="2350"/>
      <c r="AC188" s="2350"/>
      <c r="AD188" s="2350"/>
      <c r="AE188" s="2351"/>
      <c r="AF188" s="1206"/>
      <c r="AG188" s="1206"/>
      <c r="AH188" s="2361" t="s">
        <v>1850</v>
      </c>
      <c r="AI188" s="2361"/>
      <c r="AJ188" s="2361"/>
      <c r="AK188" s="2361"/>
      <c r="AL188" s="2361"/>
      <c r="AM188" s="2361"/>
      <c r="AN188" s="2361"/>
      <c r="AO188" s="2361"/>
      <c r="AP188" s="2361"/>
      <c r="AQ188" s="2361"/>
      <c r="AR188" s="2361"/>
      <c r="AS188" s="2361"/>
      <c r="AT188" s="2361"/>
      <c r="AU188" s="2362">
        <v>0</v>
      </c>
      <c r="AV188" s="2362"/>
      <c r="AW188" s="2362"/>
      <c r="AX188" s="2362"/>
      <c r="AY188" s="2362"/>
      <c r="AZ188" s="2362"/>
      <c r="BA188" s="2362"/>
      <c r="BB188" s="2362"/>
      <c r="BC188" s="2363"/>
      <c r="BD188" s="2364"/>
      <c r="BE188" s="2365"/>
    </row>
    <row r="189" spans="1:57" ht="15.75" customHeight="1">
      <c r="A189" s="1206"/>
      <c r="B189" s="1206"/>
      <c r="C189" s="2355" t="s">
        <v>2495</v>
      </c>
      <c r="D189" s="2356"/>
      <c r="E189" s="2356"/>
      <c r="F189" s="2356"/>
      <c r="G189" s="2356"/>
      <c r="H189" s="2356"/>
      <c r="I189" s="2356"/>
      <c r="J189" s="2356"/>
      <c r="K189" s="2356"/>
      <c r="L189" s="2356"/>
      <c r="M189" s="2356"/>
      <c r="N189" s="2349">
        <v>0</v>
      </c>
      <c r="O189" s="2349"/>
      <c r="P189" s="2349"/>
      <c r="Q189" s="2349"/>
      <c r="R189" s="2349"/>
      <c r="S189" s="2349"/>
      <c r="T189" s="2349"/>
      <c r="U189" s="2350"/>
      <c r="V189" s="2350"/>
      <c r="W189" s="2350"/>
      <c r="X189" s="2350"/>
      <c r="Y189" s="2350"/>
      <c r="Z189" s="2350"/>
      <c r="AA189" s="2350"/>
      <c r="AB189" s="2350"/>
      <c r="AC189" s="2350"/>
      <c r="AD189" s="2350"/>
      <c r="AE189" s="2351"/>
      <c r="AF189" s="1206"/>
      <c r="AG189" s="1206"/>
      <c r="AH189" s="2366" t="s">
        <v>2604</v>
      </c>
      <c r="AI189" s="2366"/>
      <c r="AJ189" s="2366"/>
      <c r="AK189" s="2366"/>
      <c r="AL189" s="2366"/>
      <c r="AM189" s="2366"/>
      <c r="AN189" s="2366"/>
      <c r="AO189" s="2366"/>
      <c r="AP189" s="2366"/>
      <c r="AQ189" s="2366"/>
      <c r="AR189" s="2366"/>
      <c r="AS189" s="2366"/>
      <c r="AT189" s="2366"/>
      <c r="AU189" s="2354"/>
      <c r="AV189" s="2354"/>
      <c r="AW189" s="2354"/>
      <c r="AX189" s="2354"/>
      <c r="AY189" s="2354"/>
      <c r="AZ189" s="2354"/>
      <c r="BA189" s="2354"/>
      <c r="BB189" s="2354"/>
      <c r="BC189" s="2325"/>
      <c r="BD189" s="2326"/>
      <c r="BE189" s="2327"/>
    </row>
    <row r="190" spans="1:57" ht="15.75" customHeight="1">
      <c r="A190" s="1206"/>
      <c r="B190" s="1206"/>
      <c r="C190" s="2352" t="s">
        <v>301</v>
      </c>
      <c r="D190" s="2353"/>
      <c r="E190" s="2348" t="s">
        <v>1844</v>
      </c>
      <c r="F190" s="2348"/>
      <c r="G190" s="2348"/>
      <c r="H190" s="2348"/>
      <c r="I190" s="2348"/>
      <c r="J190" s="2348"/>
      <c r="K190" s="2348"/>
      <c r="L190" s="2348"/>
      <c r="M190" s="2348"/>
      <c r="N190" s="2349">
        <v>0</v>
      </c>
      <c r="O190" s="2349"/>
      <c r="P190" s="2349"/>
      <c r="Q190" s="2349"/>
      <c r="R190" s="2349"/>
      <c r="S190" s="2349"/>
      <c r="T190" s="2349"/>
      <c r="U190" s="2350"/>
      <c r="V190" s="2350"/>
      <c r="W190" s="2350"/>
      <c r="X190" s="2350"/>
      <c r="Y190" s="2350"/>
      <c r="Z190" s="2350"/>
      <c r="AA190" s="2350"/>
      <c r="AB190" s="2350"/>
      <c r="AC190" s="2350"/>
      <c r="AD190" s="2350"/>
      <c r="AE190" s="2351"/>
      <c r="AF190" s="1206"/>
      <c r="AG190" s="1206"/>
      <c r="AH190" s="2584" t="s">
        <v>2603</v>
      </c>
      <c r="AI190" s="2584"/>
      <c r="AJ190" s="2584"/>
      <c r="AK190" s="2584"/>
      <c r="AL190" s="2584"/>
      <c r="AM190" s="2584"/>
      <c r="AN190" s="2584"/>
      <c r="AO190" s="2584"/>
      <c r="AP190" s="2584"/>
      <c r="AQ190" s="2584"/>
      <c r="AR190" s="2584"/>
      <c r="AS190" s="2584"/>
      <c r="AT190" s="2584"/>
      <c r="AU190" s="2324">
        <f>SUM(AU188:BB189)</f>
        <v>0</v>
      </c>
      <c r="AV190" s="2324"/>
      <c r="AW190" s="2324"/>
      <c r="AX190" s="2324"/>
      <c r="AY190" s="2324"/>
      <c r="AZ190" s="2324"/>
      <c r="BA190" s="2324"/>
      <c r="BB190" s="2324"/>
      <c r="BC190" s="2325"/>
      <c r="BD190" s="2326"/>
      <c r="BE190" s="2327"/>
    </row>
    <row r="191" spans="1:57" ht="15.75" customHeight="1" thickBot="1">
      <c r="A191" s="1206"/>
      <c r="B191" s="1206"/>
      <c r="C191" s="2346" t="s">
        <v>301</v>
      </c>
      <c r="D191" s="2347"/>
      <c r="E191" s="2348" t="s">
        <v>1844</v>
      </c>
      <c r="F191" s="2348"/>
      <c r="G191" s="2348"/>
      <c r="H191" s="2348"/>
      <c r="I191" s="2348"/>
      <c r="J191" s="2348"/>
      <c r="K191" s="2348"/>
      <c r="L191" s="2348"/>
      <c r="M191" s="2348"/>
      <c r="N191" s="2349">
        <v>0</v>
      </c>
      <c r="O191" s="2349"/>
      <c r="P191" s="2349"/>
      <c r="Q191" s="2349"/>
      <c r="R191" s="2349"/>
      <c r="S191" s="2349"/>
      <c r="T191" s="2349"/>
      <c r="U191" s="2350"/>
      <c r="V191" s="2350"/>
      <c r="W191" s="2350"/>
      <c r="X191" s="2350"/>
      <c r="Y191" s="2350"/>
      <c r="Z191" s="2350"/>
      <c r="AA191" s="2350"/>
      <c r="AB191" s="2350"/>
      <c r="AC191" s="2350"/>
      <c r="AD191" s="2350"/>
      <c r="AE191" s="2351"/>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8"/>
      <c r="BD191" s="2329"/>
      <c r="BE191" s="2330"/>
    </row>
    <row r="192" spans="1:57" ht="15.75" customHeight="1" thickBot="1">
      <c r="A192" s="1206"/>
      <c r="B192" s="1206"/>
      <c r="C192" s="2335" t="s">
        <v>301</v>
      </c>
      <c r="D192" s="2336"/>
      <c r="E192" s="2337" t="s">
        <v>1844</v>
      </c>
      <c r="F192" s="2337"/>
      <c r="G192" s="2337"/>
      <c r="H192" s="2337"/>
      <c r="I192" s="2337"/>
      <c r="J192" s="2337"/>
      <c r="K192" s="2337"/>
      <c r="L192" s="2337"/>
      <c r="M192" s="2338"/>
      <c r="N192" s="2339">
        <v>0</v>
      </c>
      <c r="O192" s="2339"/>
      <c r="P192" s="2339"/>
      <c r="Q192" s="2339"/>
      <c r="R192" s="2339"/>
      <c r="S192" s="2339"/>
      <c r="T192" s="2340"/>
      <c r="U192" s="2341"/>
      <c r="V192" s="2342"/>
      <c r="W192" s="2342"/>
      <c r="X192" s="2342"/>
      <c r="Y192" s="2342"/>
      <c r="Z192" s="2342"/>
      <c r="AA192" s="2342"/>
      <c r="AB192" s="2342"/>
      <c r="AC192" s="2342"/>
      <c r="AD192" s="2342"/>
      <c r="AE192" s="2343"/>
      <c r="AF192" s="1206"/>
      <c r="AG192" s="1206"/>
      <c r="AH192" s="2309" t="s">
        <v>1851</v>
      </c>
      <c r="AI192" s="2310"/>
      <c r="AJ192" s="2310"/>
      <c r="AK192" s="2310"/>
      <c r="AL192" s="2310"/>
      <c r="AM192" s="2310"/>
      <c r="AN192" s="2310"/>
      <c r="AO192" s="2310"/>
      <c r="AP192" s="2310"/>
      <c r="AQ192" s="2310"/>
      <c r="AR192" s="2310"/>
      <c r="AS192" s="2310"/>
      <c r="AT192" s="2310"/>
      <c r="AU192" s="2319"/>
      <c r="AV192" s="2319"/>
      <c r="AW192" s="2319"/>
      <c r="AX192" s="2319"/>
      <c r="AY192" s="2319"/>
      <c r="AZ192" s="2319"/>
      <c r="BA192" s="2319"/>
      <c r="BB192" s="2319"/>
      <c r="BC192" s="1219"/>
      <c r="BD192" s="1219"/>
      <c r="BE192" s="1218"/>
    </row>
    <row r="193" spans="1:57" ht="15.75" customHeight="1">
      <c r="A193" s="1206"/>
      <c r="B193" s="1206"/>
      <c r="C193" s="2331" t="s">
        <v>1852</v>
      </c>
      <c r="D193" s="2332"/>
      <c r="E193" s="2332"/>
      <c r="F193" s="2332"/>
      <c r="G193" s="2332"/>
      <c r="H193" s="2332"/>
      <c r="I193" s="2332"/>
      <c r="J193" s="2332"/>
      <c r="K193" s="2332"/>
      <c r="L193" s="2332"/>
      <c r="M193" s="2332"/>
      <c r="N193" s="2333">
        <f>SUM(N185:T192)</f>
        <v>1225000</v>
      </c>
      <c r="O193" s="2333"/>
      <c r="P193" s="2333"/>
      <c r="Q193" s="2333"/>
      <c r="R193" s="2333"/>
      <c r="S193" s="2333"/>
      <c r="T193" s="2334"/>
      <c r="U193" s="1206"/>
      <c r="V193" s="1206"/>
      <c r="W193" s="1206"/>
      <c r="X193" s="1206"/>
      <c r="Y193" s="1206"/>
      <c r="Z193" s="1206"/>
      <c r="AA193" s="1206"/>
      <c r="AB193" s="1206"/>
      <c r="AC193" s="1206"/>
      <c r="AD193" s="1206"/>
      <c r="AE193" s="1206"/>
      <c r="AF193" s="1206"/>
      <c r="AG193" s="1206"/>
      <c r="AH193" s="2344" t="s">
        <v>2602</v>
      </c>
      <c r="AI193" s="2344"/>
      <c r="AJ193" s="2344"/>
      <c r="AK193" s="2344"/>
      <c r="AL193" s="2344"/>
      <c r="AM193" s="2344"/>
      <c r="AN193" s="2344"/>
      <c r="AO193" s="2344"/>
      <c r="AP193" s="2344"/>
      <c r="AQ193" s="2344"/>
      <c r="AR193" s="2344"/>
      <c r="AS193" s="2344"/>
      <c r="AT193" s="2344"/>
      <c r="AU193" s="2344"/>
      <c r="AV193" s="2344"/>
      <c r="AW193" s="2344"/>
      <c r="AX193" s="2344"/>
      <c r="AY193" s="2344"/>
      <c r="AZ193" s="2344"/>
      <c r="BA193" s="2344"/>
      <c r="BB193" s="2344"/>
      <c r="BC193" s="2344"/>
      <c r="BD193" s="2344"/>
      <c r="BE193" s="2345"/>
    </row>
    <row r="194" spans="1:57" ht="15.75" customHeight="1" thickBot="1">
      <c r="A194" s="1206"/>
      <c r="B194" s="1206"/>
      <c r="C194" s="2311" t="s">
        <v>2496</v>
      </c>
      <c r="D194" s="2312"/>
      <c r="E194" s="2312"/>
      <c r="F194" s="2312"/>
      <c r="G194" s="2312"/>
      <c r="H194" s="2312"/>
      <c r="I194" s="2312"/>
      <c r="J194" s="2312"/>
      <c r="K194" s="2312"/>
      <c r="L194" s="2312"/>
      <c r="M194" s="2312"/>
      <c r="N194" s="2313">
        <f>(N183-N193)/J29</f>
        <v>435343.42857142858</v>
      </c>
      <c r="O194" s="2314"/>
      <c r="P194" s="2314"/>
      <c r="Q194" s="2314"/>
      <c r="R194" s="2314"/>
      <c r="S194" s="2314"/>
      <c r="T194" s="2315"/>
      <c r="U194" s="1217"/>
      <c r="V194" s="1206"/>
      <c r="W194" s="1206"/>
      <c r="X194" s="1206"/>
      <c r="Y194" s="1206"/>
      <c r="Z194" s="1206"/>
      <c r="AA194" s="1206"/>
      <c r="AB194" s="1206"/>
      <c r="AC194" s="1206"/>
      <c r="AD194" s="1206"/>
      <c r="AE194" s="1206"/>
      <c r="AF194" s="1206"/>
      <c r="AG194" s="1206"/>
      <c r="AH194" s="2344"/>
      <c r="AI194" s="2344"/>
      <c r="AJ194" s="2344"/>
      <c r="AK194" s="2344"/>
      <c r="AL194" s="2344"/>
      <c r="AM194" s="2344"/>
      <c r="AN194" s="2344"/>
      <c r="AO194" s="2344"/>
      <c r="AP194" s="2344"/>
      <c r="AQ194" s="2344"/>
      <c r="AR194" s="2344"/>
      <c r="AS194" s="2344"/>
      <c r="AT194" s="2344"/>
      <c r="AU194" s="2344"/>
      <c r="AV194" s="2344"/>
      <c r="AW194" s="2344"/>
      <c r="AX194" s="2344"/>
      <c r="AY194" s="2344"/>
      <c r="AZ194" s="2344"/>
      <c r="BA194" s="2344"/>
      <c r="BB194" s="2344"/>
      <c r="BC194" s="2344"/>
      <c r="BD194" s="2344"/>
      <c r="BE194" s="2345"/>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6"/>
      <c r="AI195" s="2316"/>
      <c r="AJ195" s="2316"/>
      <c r="AK195" s="2316"/>
      <c r="AL195" s="2316"/>
      <c r="AM195" s="2316"/>
      <c r="AN195" s="2316"/>
      <c r="AO195" s="2316"/>
      <c r="AP195" s="2316"/>
      <c r="AQ195" s="2316"/>
      <c r="AR195" s="2316"/>
      <c r="AS195" s="2320"/>
      <c r="AT195" s="2320"/>
      <c r="AU195" s="2320"/>
      <c r="AV195" s="2320"/>
      <c r="AW195" s="2320"/>
      <c r="AX195" s="2320"/>
      <c r="AY195" s="2320"/>
      <c r="AZ195" s="2320"/>
      <c r="BA195" s="2320"/>
      <c r="BB195" s="2320"/>
      <c r="BC195" s="2320"/>
      <c r="BD195" s="2320"/>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1" t="s">
        <v>2601</v>
      </c>
      <c r="D197" s="2322"/>
      <c r="E197" s="2322"/>
      <c r="F197" s="2322"/>
      <c r="G197" s="2322"/>
      <c r="H197" s="2322"/>
      <c r="I197" s="2322"/>
      <c r="J197" s="2322"/>
      <c r="K197" s="2322"/>
      <c r="L197" s="2322"/>
      <c r="M197" s="2322"/>
      <c r="N197" s="2322"/>
      <c r="O197" s="2322"/>
      <c r="P197" s="2322"/>
      <c r="Q197" s="2322"/>
      <c r="R197" s="2322"/>
      <c r="S197" s="2322"/>
      <c r="T197" s="2322"/>
      <c r="U197" s="2322"/>
      <c r="V197" s="2322"/>
      <c r="W197" s="2322"/>
      <c r="X197" s="2322"/>
      <c r="Y197" s="2322"/>
      <c r="Z197" s="2322"/>
      <c r="AA197" s="2322"/>
      <c r="AB197" s="2322"/>
      <c r="AC197" s="2322"/>
      <c r="AD197" s="2322"/>
      <c r="AE197" s="2323"/>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7" t="s">
        <v>2600</v>
      </c>
      <c r="D198" s="2587"/>
      <c r="E198" s="2587"/>
      <c r="F198" s="2587"/>
      <c r="G198" s="2587"/>
      <c r="H198" s="2587"/>
      <c r="I198" s="2587"/>
      <c r="J198" s="2587"/>
      <c r="K198" s="2587"/>
      <c r="L198" s="2587"/>
      <c r="M198" s="2587"/>
      <c r="N198" s="2587"/>
      <c r="O198" s="2588" t="s">
        <v>2599</v>
      </c>
      <c r="P198" s="2588"/>
      <c r="Q198" s="2588"/>
      <c r="R198" s="2588"/>
      <c r="S198" s="2588"/>
      <c r="T198" s="2588"/>
      <c r="U198" s="2588"/>
      <c r="V198" s="2588"/>
      <c r="W198" s="2588"/>
      <c r="X198" s="2588" t="s">
        <v>2598</v>
      </c>
      <c r="Y198" s="2588"/>
      <c r="Z198" s="2588"/>
      <c r="AA198" s="2588"/>
      <c r="AB198" s="2588"/>
      <c r="AC198" s="2588"/>
      <c r="AD198" s="2588"/>
      <c r="AE198" s="258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5" t="s">
        <v>2597</v>
      </c>
      <c r="D199" s="2585"/>
      <c r="E199" s="2585"/>
      <c r="F199" s="2585"/>
      <c r="G199" s="2585"/>
      <c r="H199" s="2585"/>
      <c r="I199" s="2585"/>
      <c r="J199" s="2585"/>
      <c r="K199" s="2585"/>
      <c r="L199" s="2585"/>
      <c r="M199" s="2585"/>
      <c r="N199" s="2585"/>
      <c r="O199" s="2317" t="s">
        <v>2596</v>
      </c>
      <c r="P199" s="2317"/>
      <c r="Q199" s="2317"/>
      <c r="R199" s="2317"/>
      <c r="S199" s="2317"/>
      <c r="T199" s="2317"/>
      <c r="U199" s="2317"/>
      <c r="V199" s="2317"/>
      <c r="W199" s="2317"/>
      <c r="X199" s="2318">
        <v>0.03</v>
      </c>
      <c r="Y199" s="2318"/>
      <c r="Z199" s="2318"/>
      <c r="AA199" s="2318"/>
      <c r="AB199" s="2318"/>
      <c r="AC199" s="2318"/>
      <c r="AD199" s="2318"/>
      <c r="AE199" s="231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5" t="s">
        <v>866</v>
      </c>
      <c r="D200" s="2585"/>
      <c r="E200" s="2585"/>
      <c r="F200" s="2585"/>
      <c r="G200" s="2585"/>
      <c r="H200" s="2585"/>
      <c r="I200" s="2585"/>
      <c r="J200" s="2585"/>
      <c r="K200" s="2585"/>
      <c r="L200" s="2585"/>
      <c r="M200" s="2585"/>
      <c r="N200" s="2585"/>
      <c r="O200" s="2317" t="s">
        <v>2596</v>
      </c>
      <c r="P200" s="2317"/>
      <c r="Q200" s="2317"/>
      <c r="R200" s="2317"/>
      <c r="S200" s="2317"/>
      <c r="T200" s="2317"/>
      <c r="U200" s="2317"/>
      <c r="V200" s="2317"/>
      <c r="W200" s="2317"/>
      <c r="X200" s="2318">
        <v>0.03</v>
      </c>
      <c r="Y200" s="2318"/>
      <c r="Z200" s="2318"/>
      <c r="AA200" s="2318"/>
      <c r="AB200" s="2318"/>
      <c r="AC200" s="2318"/>
      <c r="AD200" s="2318"/>
      <c r="AE200" s="231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5" t="s">
        <v>2595</v>
      </c>
      <c r="D201" s="2585"/>
      <c r="E201" s="2585"/>
      <c r="F201" s="2585"/>
      <c r="G201" s="2585"/>
      <c r="H201" s="2585"/>
      <c r="I201" s="2585"/>
      <c r="J201" s="2585"/>
      <c r="K201" s="2585"/>
      <c r="L201" s="2585"/>
      <c r="M201" s="2585"/>
      <c r="N201" s="2585"/>
      <c r="O201" s="2589">
        <f>SUM(O199:W200)</f>
        <v>0</v>
      </c>
      <c r="P201" s="2590"/>
      <c r="Q201" s="2590"/>
      <c r="R201" s="2590"/>
      <c r="S201" s="2590"/>
      <c r="T201" s="2590"/>
      <c r="U201" s="2590"/>
      <c r="V201" s="2590"/>
      <c r="W201" s="2590"/>
      <c r="X201" s="2590" t="s">
        <v>2594</v>
      </c>
      <c r="Y201" s="2590"/>
      <c r="Z201" s="2590"/>
      <c r="AA201" s="2590"/>
      <c r="AB201" s="2590"/>
      <c r="AC201" s="2590"/>
      <c r="AD201" s="2590"/>
      <c r="AE201" s="259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6" t="s">
        <v>2593</v>
      </c>
      <c r="D202" s="2586"/>
      <c r="E202" s="2586"/>
      <c r="F202" s="2586"/>
      <c r="G202" s="2586"/>
      <c r="H202" s="2586"/>
      <c r="I202" s="2586"/>
      <c r="J202" s="2586"/>
      <c r="K202" s="2586"/>
      <c r="L202" s="2586"/>
      <c r="M202" s="2586"/>
      <c r="N202" s="2586"/>
      <c r="O202" s="2586"/>
      <c r="P202" s="2586"/>
      <c r="Q202" s="2586"/>
      <c r="R202" s="2586"/>
      <c r="S202" s="2586"/>
      <c r="T202" s="2586"/>
      <c r="U202" s="2586"/>
      <c r="V202" s="2586"/>
      <c r="W202" s="2586"/>
      <c r="X202" s="2586"/>
      <c r="Y202" s="2586"/>
      <c r="Z202" s="2586"/>
      <c r="AA202" s="2586"/>
      <c r="AB202" s="2586"/>
      <c r="AC202" s="2586"/>
      <c r="AD202" s="2586"/>
      <c r="AE202" s="258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6" t="s">
        <v>2592</v>
      </c>
      <c r="D204" s="2297"/>
      <c r="E204" s="2297"/>
      <c r="F204" s="2297"/>
      <c r="G204" s="2297"/>
      <c r="H204" s="2297"/>
      <c r="I204" s="2297"/>
      <c r="J204" s="2297"/>
      <c r="K204" s="2297"/>
      <c r="L204" s="2297"/>
      <c r="M204" s="2297"/>
      <c r="N204" s="2297"/>
      <c r="O204" s="2297"/>
      <c r="P204" s="2297"/>
      <c r="Q204" s="2297"/>
      <c r="R204" s="2297"/>
      <c r="S204" s="2297"/>
      <c r="T204" s="2297"/>
      <c r="U204" s="2297"/>
      <c r="V204" s="2297"/>
      <c r="W204" s="2297"/>
      <c r="X204" s="2297"/>
      <c r="Y204" s="2297"/>
      <c r="Z204" s="2297"/>
      <c r="AA204" s="2297"/>
      <c r="AB204" s="2297"/>
      <c r="AC204" s="2297"/>
      <c r="AD204" s="2297"/>
      <c r="AE204" s="2297"/>
      <c r="AF204" s="2297"/>
      <c r="AG204" s="2297"/>
      <c r="AH204" s="2297"/>
      <c r="AI204" s="2297"/>
      <c r="AJ204" s="2297"/>
      <c r="AK204" s="2298"/>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9" t="s">
        <v>2591</v>
      </c>
      <c r="D205" s="2257"/>
      <c r="E205" s="2257"/>
      <c r="F205" s="2300"/>
      <c r="G205" s="2256" t="s">
        <v>2590</v>
      </c>
      <c r="H205" s="2257"/>
      <c r="I205" s="2257"/>
      <c r="J205" s="2257"/>
      <c r="K205" s="2257"/>
      <c r="L205" s="2257"/>
      <c r="M205" s="2257"/>
      <c r="N205" s="2257"/>
      <c r="O205" s="2300"/>
      <c r="P205" s="2303" t="s">
        <v>2589</v>
      </c>
      <c r="Q205" s="2304"/>
      <c r="R205" s="2304"/>
      <c r="S205" s="2304"/>
      <c r="T205" s="2305"/>
      <c r="U205" s="2250" t="s">
        <v>2588</v>
      </c>
      <c r="V205" s="2251"/>
      <c r="W205" s="2251"/>
      <c r="X205" s="2252"/>
      <c r="Y205" s="2250" t="s">
        <v>2587</v>
      </c>
      <c r="Z205" s="2251"/>
      <c r="AA205" s="2251"/>
      <c r="AB205" s="2252"/>
      <c r="AC205" s="2250" t="s">
        <v>2586</v>
      </c>
      <c r="AD205" s="2251"/>
      <c r="AE205" s="2251"/>
      <c r="AF205" s="2252"/>
      <c r="AG205" s="2256" t="s">
        <v>2585</v>
      </c>
      <c r="AH205" s="2257"/>
      <c r="AI205" s="2257"/>
      <c r="AJ205" s="2257"/>
      <c r="AK205" s="225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1"/>
      <c r="D206" s="2260"/>
      <c r="E206" s="2260"/>
      <c r="F206" s="2302"/>
      <c r="G206" s="2259"/>
      <c r="H206" s="2260"/>
      <c r="I206" s="2260"/>
      <c r="J206" s="2260"/>
      <c r="K206" s="2260"/>
      <c r="L206" s="2260"/>
      <c r="M206" s="2260"/>
      <c r="N206" s="2260"/>
      <c r="O206" s="2302"/>
      <c r="P206" s="2306"/>
      <c r="Q206" s="2307"/>
      <c r="R206" s="2307"/>
      <c r="S206" s="2307"/>
      <c r="T206" s="2308"/>
      <c r="U206" s="2253"/>
      <c r="V206" s="2254"/>
      <c r="W206" s="2254"/>
      <c r="X206" s="2255"/>
      <c r="Y206" s="2253"/>
      <c r="Z206" s="2254"/>
      <c r="AA206" s="2254"/>
      <c r="AB206" s="2255"/>
      <c r="AC206" s="2253"/>
      <c r="AD206" s="2254"/>
      <c r="AE206" s="2254"/>
      <c r="AF206" s="2255"/>
      <c r="AG206" s="2259"/>
      <c r="AH206" s="2260"/>
      <c r="AI206" s="2260"/>
      <c r="AJ206" s="2260"/>
      <c r="AK206" s="226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2">
        <v>1</v>
      </c>
      <c r="D207" s="2263"/>
      <c r="E207" s="2263"/>
      <c r="F207" s="2263"/>
      <c r="G207" s="2264" t="s">
        <v>2153</v>
      </c>
      <c r="H207" s="2264"/>
      <c r="I207" s="2264"/>
      <c r="J207" s="2264"/>
      <c r="K207" s="2264"/>
      <c r="L207" s="2264"/>
      <c r="M207" s="2264"/>
      <c r="N207" s="2264"/>
      <c r="O207" s="2264"/>
      <c r="P207" s="2265"/>
      <c r="Q207" s="2266"/>
      <c r="R207" s="2266"/>
      <c r="S207" s="2266"/>
      <c r="T207" s="2266"/>
      <c r="U207" s="2267" t="s">
        <v>2153</v>
      </c>
      <c r="V207" s="2267"/>
      <c r="W207" s="2267"/>
      <c r="X207" s="2267"/>
      <c r="Y207" s="2267" t="s">
        <v>2153</v>
      </c>
      <c r="Z207" s="2267"/>
      <c r="AA207" s="2267"/>
      <c r="AB207" s="2267"/>
      <c r="AC207" s="2268" t="s">
        <v>2153</v>
      </c>
      <c r="AD207" s="2268"/>
      <c r="AE207" s="2268"/>
      <c r="AF207" s="2268"/>
      <c r="AG207" s="2247"/>
      <c r="AH207" s="2248"/>
      <c r="AI207" s="2248"/>
      <c r="AJ207" s="2248"/>
      <c r="AK207" s="2249"/>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2">
        <v>2</v>
      </c>
      <c r="D208" s="2263"/>
      <c r="E208" s="2263"/>
      <c r="F208" s="2263"/>
      <c r="G208" s="2264" t="s">
        <v>2153</v>
      </c>
      <c r="H208" s="2264"/>
      <c r="I208" s="2264"/>
      <c r="J208" s="2264"/>
      <c r="K208" s="2264"/>
      <c r="L208" s="2264"/>
      <c r="M208" s="2264"/>
      <c r="N208" s="2264"/>
      <c r="O208" s="2264"/>
      <c r="P208" s="2265"/>
      <c r="Q208" s="2265"/>
      <c r="R208" s="2265"/>
      <c r="S208" s="2265"/>
      <c r="T208" s="2265"/>
      <c r="U208" s="2267" t="s">
        <v>2153</v>
      </c>
      <c r="V208" s="2267"/>
      <c r="W208" s="2267"/>
      <c r="X208" s="2267"/>
      <c r="Y208" s="2267" t="s">
        <v>2153</v>
      </c>
      <c r="Z208" s="2267"/>
      <c r="AA208" s="2267"/>
      <c r="AB208" s="2267"/>
      <c r="AC208" s="2268" t="s">
        <v>2153</v>
      </c>
      <c r="AD208" s="2268"/>
      <c r="AE208" s="2268"/>
      <c r="AF208" s="2268"/>
      <c r="AG208" s="2247"/>
      <c r="AH208" s="2248"/>
      <c r="AI208" s="2248"/>
      <c r="AJ208" s="2248"/>
      <c r="AK208" s="2249"/>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2">
        <v>3</v>
      </c>
      <c r="D209" s="2263"/>
      <c r="E209" s="2263"/>
      <c r="F209" s="2263"/>
      <c r="G209" s="2264" t="s">
        <v>2153</v>
      </c>
      <c r="H209" s="2264"/>
      <c r="I209" s="2264"/>
      <c r="J209" s="2264"/>
      <c r="K209" s="2264"/>
      <c r="L209" s="2264"/>
      <c r="M209" s="2264"/>
      <c r="N209" s="2264"/>
      <c r="O209" s="2264"/>
      <c r="P209" s="2265"/>
      <c r="Q209" s="2265"/>
      <c r="R209" s="2265"/>
      <c r="S209" s="2265"/>
      <c r="T209" s="2265"/>
      <c r="U209" s="2267" t="s">
        <v>2153</v>
      </c>
      <c r="V209" s="2267"/>
      <c r="W209" s="2267"/>
      <c r="X209" s="2267"/>
      <c r="Y209" s="2267" t="s">
        <v>2153</v>
      </c>
      <c r="Z209" s="2267"/>
      <c r="AA209" s="2267"/>
      <c r="AB209" s="2267"/>
      <c r="AC209" s="2268" t="s">
        <v>2153</v>
      </c>
      <c r="AD209" s="2268"/>
      <c r="AE209" s="2268"/>
      <c r="AF209" s="2268"/>
      <c r="AG209" s="2247"/>
      <c r="AH209" s="2248"/>
      <c r="AI209" s="2248"/>
      <c r="AJ209" s="2248"/>
      <c r="AK209" s="2249"/>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2">
        <v>4</v>
      </c>
      <c r="D210" s="2263"/>
      <c r="E210" s="2263"/>
      <c r="F210" s="2263"/>
      <c r="G210" s="2264" t="s">
        <v>2153</v>
      </c>
      <c r="H210" s="2264"/>
      <c r="I210" s="2264"/>
      <c r="J210" s="2264"/>
      <c r="K210" s="2264"/>
      <c r="L210" s="2264"/>
      <c r="M210" s="2264"/>
      <c r="N210" s="2264"/>
      <c r="O210" s="2264"/>
      <c r="P210" s="2265"/>
      <c r="Q210" s="2265"/>
      <c r="R210" s="2265"/>
      <c r="S210" s="2265"/>
      <c r="T210" s="2265"/>
      <c r="U210" s="2267" t="s">
        <v>2153</v>
      </c>
      <c r="V210" s="2267"/>
      <c r="W210" s="2267"/>
      <c r="X210" s="2267"/>
      <c r="Y210" s="2267" t="s">
        <v>2153</v>
      </c>
      <c r="Z210" s="2267"/>
      <c r="AA210" s="2267"/>
      <c r="AB210" s="2267"/>
      <c r="AC210" s="2268" t="s">
        <v>2153</v>
      </c>
      <c r="AD210" s="2268"/>
      <c r="AE210" s="2268"/>
      <c r="AF210" s="2268"/>
      <c r="AG210" s="2247"/>
      <c r="AH210" s="2248"/>
      <c r="AI210" s="2248"/>
      <c r="AJ210" s="2248"/>
      <c r="AK210" s="2249"/>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2">
        <v>5</v>
      </c>
      <c r="D211" s="2263"/>
      <c r="E211" s="2263"/>
      <c r="F211" s="2263"/>
      <c r="G211" s="2264"/>
      <c r="H211" s="2264"/>
      <c r="I211" s="2264"/>
      <c r="J211" s="2264"/>
      <c r="K211" s="2264"/>
      <c r="L211" s="2264"/>
      <c r="M211" s="2264"/>
      <c r="N211" s="2264"/>
      <c r="O211" s="2264"/>
      <c r="P211" s="2265"/>
      <c r="Q211" s="2265"/>
      <c r="R211" s="2265"/>
      <c r="S211" s="2265"/>
      <c r="T211" s="2265"/>
      <c r="U211" s="2267" t="s">
        <v>2153</v>
      </c>
      <c r="V211" s="2267"/>
      <c r="W211" s="2267"/>
      <c r="X211" s="2267"/>
      <c r="Y211" s="2267" t="s">
        <v>2153</v>
      </c>
      <c r="Z211" s="2267"/>
      <c r="AA211" s="2267"/>
      <c r="AB211" s="2267"/>
      <c r="AC211" s="2268" t="s">
        <v>2153</v>
      </c>
      <c r="AD211" s="2268"/>
      <c r="AE211" s="2268"/>
      <c r="AF211" s="2268"/>
      <c r="AG211" s="2247"/>
      <c r="AH211" s="2248"/>
      <c r="AI211" s="2248"/>
      <c r="AJ211" s="2248"/>
      <c r="AK211" s="2249"/>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2">
        <v>6</v>
      </c>
      <c r="D212" s="2263"/>
      <c r="E212" s="2263"/>
      <c r="F212" s="2263"/>
      <c r="G212" s="2264" t="s">
        <v>2153</v>
      </c>
      <c r="H212" s="2264"/>
      <c r="I212" s="2264"/>
      <c r="J212" s="2264"/>
      <c r="K212" s="2264"/>
      <c r="L212" s="2264"/>
      <c r="M212" s="2264"/>
      <c r="N212" s="2264"/>
      <c r="O212" s="2264"/>
      <c r="P212" s="2265"/>
      <c r="Q212" s="2265"/>
      <c r="R212" s="2265"/>
      <c r="S212" s="2265"/>
      <c r="T212" s="2265"/>
      <c r="U212" s="2267"/>
      <c r="V212" s="2267"/>
      <c r="W212" s="2267"/>
      <c r="X212" s="2267"/>
      <c r="Y212" s="2267"/>
      <c r="Z212" s="2267"/>
      <c r="AA212" s="2267"/>
      <c r="AB212" s="2267"/>
      <c r="AC212" s="2268" t="s">
        <v>2153</v>
      </c>
      <c r="AD212" s="2268"/>
      <c r="AE212" s="2268"/>
      <c r="AF212" s="2268"/>
      <c r="AG212" s="2247"/>
      <c r="AH212" s="2248"/>
      <c r="AI212" s="2248"/>
      <c r="AJ212" s="2248"/>
      <c r="AK212" s="2249"/>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2">
        <v>7</v>
      </c>
      <c r="D213" s="2263"/>
      <c r="E213" s="2263"/>
      <c r="F213" s="2263"/>
      <c r="G213" s="2598"/>
      <c r="H213" s="2599"/>
      <c r="I213" s="2599"/>
      <c r="J213" s="2599"/>
      <c r="K213" s="2599"/>
      <c r="L213" s="2599"/>
      <c r="M213" s="2599"/>
      <c r="N213" s="2599"/>
      <c r="O213" s="2600"/>
      <c r="P213" s="2265"/>
      <c r="Q213" s="2265"/>
      <c r="R213" s="2265"/>
      <c r="S213" s="2265"/>
      <c r="T213" s="2265"/>
      <c r="U213" s="2267"/>
      <c r="V213" s="2267"/>
      <c r="W213" s="2267"/>
      <c r="X213" s="2267"/>
      <c r="Y213" s="2267"/>
      <c r="Z213" s="2267"/>
      <c r="AA213" s="2267"/>
      <c r="AB213" s="2267"/>
      <c r="AC213" s="2268" t="s">
        <v>2153</v>
      </c>
      <c r="AD213" s="2268"/>
      <c r="AE213" s="2268"/>
      <c r="AF213" s="2268"/>
      <c r="AG213" s="2247"/>
      <c r="AH213" s="2248"/>
      <c r="AI213" s="2248"/>
      <c r="AJ213" s="2248"/>
      <c r="AK213" s="2249"/>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1" t="s">
        <v>2584</v>
      </c>
      <c r="D214" s="2602"/>
      <c r="E214" s="2602"/>
      <c r="F214" s="2602"/>
      <c r="G214" s="2602"/>
      <c r="H214" s="2602"/>
      <c r="I214" s="2602"/>
      <c r="J214" s="2602"/>
      <c r="K214" s="2602"/>
      <c r="L214" s="2602"/>
      <c r="M214" s="2602"/>
      <c r="N214" s="2602"/>
      <c r="O214" s="2602"/>
      <c r="P214" s="2603"/>
      <c r="Q214" s="2603"/>
      <c r="R214" s="2603"/>
      <c r="S214" s="2603"/>
      <c r="T214" s="2603"/>
      <c r="U214" s="2604">
        <v>0</v>
      </c>
      <c r="V214" s="2604"/>
      <c r="W214" s="2604"/>
      <c r="X214" s="2604"/>
      <c r="Y214" s="2604">
        <v>0</v>
      </c>
      <c r="Z214" s="2604"/>
      <c r="AA214" s="2604"/>
      <c r="AB214" s="2604"/>
      <c r="AC214" s="2605">
        <v>0</v>
      </c>
      <c r="AD214" s="2605"/>
      <c r="AE214" s="2605"/>
      <c r="AF214" s="2605"/>
      <c r="AG214" s="2244"/>
      <c r="AH214" s="2245"/>
      <c r="AI214" s="2245"/>
      <c r="AJ214" s="2245"/>
      <c r="AK214" s="224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2" t="s">
        <v>1853</v>
      </c>
      <c r="C219" s="2273"/>
      <c r="D219" s="2273"/>
      <c r="E219" s="2273"/>
      <c r="F219" s="2273"/>
      <c r="G219" s="2273"/>
      <c r="H219" s="2273"/>
      <c r="I219" s="2273"/>
      <c r="J219" s="2273"/>
      <c r="K219" s="2273"/>
      <c r="L219" s="2273"/>
      <c r="M219" s="2273"/>
      <c r="N219" s="2273"/>
      <c r="O219" s="2273"/>
      <c r="P219" s="2273"/>
      <c r="Q219" s="2273"/>
      <c r="R219" s="2273"/>
      <c r="S219" s="2273"/>
      <c r="T219" s="2273"/>
      <c r="U219" s="2273"/>
      <c r="V219" s="2273"/>
      <c r="W219" s="2273"/>
      <c r="X219" s="2273"/>
      <c r="Y219" s="2273"/>
      <c r="Z219" s="2273"/>
      <c r="AA219" s="2273"/>
      <c r="AB219" s="2273"/>
      <c r="AC219" s="2273"/>
      <c r="AD219" s="2273"/>
      <c r="AE219" s="2273"/>
      <c r="AF219" s="2273"/>
      <c r="AG219" s="2273"/>
      <c r="AH219" s="2273"/>
      <c r="AI219" s="2273"/>
      <c r="AJ219" s="2273"/>
      <c r="AK219" s="2273"/>
      <c r="AL219" s="2273"/>
      <c r="AM219" s="2273"/>
      <c r="AN219" s="2273"/>
      <c r="AO219" s="2273"/>
      <c r="AP219" s="2273"/>
      <c r="AQ219" s="2273"/>
      <c r="AR219" s="2273"/>
      <c r="AS219" s="2273"/>
      <c r="AT219" s="2273"/>
      <c r="AU219" s="2273"/>
      <c r="AV219" s="2273"/>
      <c r="AW219" s="2273"/>
      <c r="AX219" s="2273"/>
      <c r="AY219" s="2273"/>
      <c r="AZ219" s="2273"/>
      <c r="BA219" s="2273"/>
      <c r="BB219" s="2273"/>
      <c r="BC219" s="2273"/>
      <c r="BD219" s="2274"/>
      <c r="BE219" s="1202"/>
    </row>
    <row r="220" spans="1:57" ht="15.75" customHeight="1">
      <c r="A220" s="1206"/>
      <c r="B220" s="2275"/>
      <c r="C220" s="2276"/>
      <c r="D220" s="2276"/>
      <c r="E220" s="2276"/>
      <c r="F220" s="2276"/>
      <c r="G220" s="2276"/>
      <c r="H220" s="2276"/>
      <c r="I220" s="2276"/>
      <c r="J220" s="2276"/>
      <c r="K220" s="2276"/>
      <c r="L220" s="2276"/>
      <c r="M220" s="2276"/>
      <c r="N220" s="2276"/>
      <c r="O220" s="2276"/>
      <c r="P220" s="2276"/>
      <c r="Q220" s="2276"/>
      <c r="R220" s="2276"/>
      <c r="S220" s="2276"/>
      <c r="T220" s="2276"/>
      <c r="U220" s="2276"/>
      <c r="V220" s="2276"/>
      <c r="W220" s="2276"/>
      <c r="X220" s="2276"/>
      <c r="Y220" s="2276"/>
      <c r="Z220" s="2276"/>
      <c r="AA220" s="2276"/>
      <c r="AB220" s="2276"/>
      <c r="AC220" s="2276"/>
      <c r="AD220" s="2276"/>
      <c r="AE220" s="2276"/>
      <c r="AF220" s="2276"/>
      <c r="AG220" s="2276"/>
      <c r="AH220" s="2276"/>
      <c r="AI220" s="2276"/>
      <c r="AJ220" s="2276"/>
      <c r="AK220" s="2276"/>
      <c r="AL220" s="2276"/>
      <c r="AM220" s="2276"/>
      <c r="AN220" s="2276"/>
      <c r="AO220" s="2276"/>
      <c r="AP220" s="2276"/>
      <c r="AQ220" s="2276"/>
      <c r="AR220" s="2276"/>
      <c r="AS220" s="2276"/>
      <c r="AT220" s="2276"/>
      <c r="AU220" s="2276"/>
      <c r="AV220" s="2276"/>
      <c r="AW220" s="2276"/>
      <c r="AX220" s="2276"/>
      <c r="AY220" s="2276"/>
      <c r="AZ220" s="2276"/>
      <c r="BA220" s="2276"/>
      <c r="BB220" s="2276"/>
      <c r="BC220" s="2276"/>
      <c r="BD220" s="2277"/>
      <c r="BE220" s="1202"/>
    </row>
    <row r="221" spans="1:57" ht="15.75" customHeight="1">
      <c r="A221" s="1206"/>
      <c r="B221" s="2278" t="s">
        <v>1854</v>
      </c>
      <c r="C221" s="2279"/>
      <c r="D221" s="2279"/>
      <c r="E221" s="2279"/>
      <c r="F221" s="2279"/>
      <c r="G221" s="2279"/>
      <c r="H221" s="2279"/>
      <c r="I221" s="2279"/>
      <c r="J221" s="2279"/>
      <c r="K221" s="2279"/>
      <c r="L221" s="2279"/>
      <c r="M221" s="2279"/>
      <c r="N221" s="2279"/>
      <c r="O221" s="2279"/>
      <c r="P221" s="2279"/>
      <c r="Q221" s="2279"/>
      <c r="R221" s="2279"/>
      <c r="S221" s="2279"/>
      <c r="T221" s="2279"/>
      <c r="U221" s="2279"/>
      <c r="V221" s="2279"/>
      <c r="W221" s="2279"/>
      <c r="X221" s="2279"/>
      <c r="Y221" s="2279"/>
      <c r="Z221" s="2279"/>
      <c r="AA221" s="2279"/>
      <c r="AB221" s="2279"/>
      <c r="AC221" s="2279"/>
      <c r="AD221" s="2279"/>
      <c r="AE221" s="2279"/>
      <c r="AF221" s="2279"/>
      <c r="AG221" s="2279"/>
      <c r="AH221" s="2279"/>
      <c r="AI221" s="2279"/>
      <c r="AJ221" s="2279"/>
      <c r="AK221" s="2279"/>
      <c r="AL221" s="2279"/>
      <c r="AM221" s="2279"/>
      <c r="AN221" s="2279"/>
      <c r="AO221" s="2279"/>
      <c r="AP221" s="2279"/>
      <c r="AQ221" s="2279"/>
      <c r="AR221" s="2279"/>
      <c r="AS221" s="2279"/>
      <c r="AT221" s="2279"/>
      <c r="AU221" s="2279"/>
      <c r="AV221" s="2279"/>
      <c r="AW221" s="2279"/>
      <c r="AX221" s="2279"/>
      <c r="AY221" s="2279"/>
      <c r="AZ221" s="2279"/>
      <c r="BA221" s="2279"/>
      <c r="BB221" s="2279"/>
      <c r="BC221" s="2279"/>
      <c r="BD221" s="2280"/>
      <c r="BE221" s="1202"/>
    </row>
    <row r="222" spans="1:57" ht="15.75" customHeight="1">
      <c r="A222" s="1206"/>
      <c r="B222" s="2278" t="s">
        <v>1855</v>
      </c>
      <c r="C222" s="2279"/>
      <c r="D222" s="2279"/>
      <c r="E222" s="2279"/>
      <c r="F222" s="2279"/>
      <c r="G222" s="2279"/>
      <c r="H222" s="2279"/>
      <c r="I222" s="2279"/>
      <c r="J222" s="2279"/>
      <c r="K222" s="2279"/>
      <c r="L222" s="2279"/>
      <c r="M222" s="2279"/>
      <c r="N222" s="2279"/>
      <c r="O222" s="2279"/>
      <c r="P222" s="2279"/>
      <c r="Q222" s="2279"/>
      <c r="R222" s="2279"/>
      <c r="S222" s="2279"/>
      <c r="T222" s="2279"/>
      <c r="U222" s="2279"/>
      <c r="V222" s="2279"/>
      <c r="W222" s="2279"/>
      <c r="X222" s="2279"/>
      <c r="Y222" s="2279"/>
      <c r="Z222" s="2279"/>
      <c r="AA222" s="2279"/>
      <c r="AB222" s="2279"/>
      <c r="AC222" s="2279"/>
      <c r="AD222" s="2279"/>
      <c r="AE222" s="2279"/>
      <c r="AF222" s="2279"/>
      <c r="AG222" s="2279"/>
      <c r="AH222" s="2279"/>
      <c r="AI222" s="2279"/>
      <c r="AJ222" s="2279"/>
      <c r="AK222" s="2279"/>
      <c r="AL222" s="2279"/>
      <c r="AM222" s="2279"/>
      <c r="AN222" s="2279"/>
      <c r="AO222" s="2279"/>
      <c r="AP222" s="2279"/>
      <c r="AQ222" s="2279"/>
      <c r="AR222" s="2279"/>
      <c r="AS222" s="2279"/>
      <c r="AT222" s="2279"/>
      <c r="AU222" s="2279"/>
      <c r="AV222" s="2279"/>
      <c r="AW222" s="2279"/>
      <c r="AX222" s="2279"/>
      <c r="AY222" s="2279"/>
      <c r="AZ222" s="2279"/>
      <c r="BA222" s="2279"/>
      <c r="BB222" s="2279"/>
      <c r="BC222" s="2279"/>
      <c r="BD222" s="2280"/>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1" t="s">
        <v>1856</v>
      </c>
      <c r="C224" s="2282"/>
      <c r="D224" s="2282"/>
      <c r="E224" s="2282"/>
      <c r="F224" s="2282"/>
      <c r="G224" s="2282"/>
      <c r="H224" s="2282"/>
      <c r="I224" s="2282"/>
      <c r="J224" s="2282"/>
      <c r="K224" s="2282"/>
      <c r="L224" s="2282"/>
      <c r="M224" s="2282"/>
      <c r="N224" s="2282"/>
      <c r="O224" s="2282"/>
      <c r="P224" s="2282"/>
      <c r="Q224" s="2282"/>
      <c r="R224" s="2282"/>
      <c r="S224" s="2282"/>
      <c r="T224" s="2282"/>
      <c r="U224" s="2282"/>
      <c r="V224" s="2282"/>
      <c r="W224" s="2282"/>
      <c r="X224" s="2282"/>
      <c r="Y224" s="2282"/>
      <c r="Z224" s="2282"/>
      <c r="AA224" s="2282"/>
      <c r="AB224" s="2282"/>
      <c r="AC224" s="2282"/>
      <c r="AD224" s="2282"/>
      <c r="AE224" s="2282"/>
      <c r="AF224" s="2282"/>
      <c r="AG224" s="2282"/>
      <c r="AH224" s="2282"/>
      <c r="AI224" s="2282"/>
      <c r="AJ224" s="2282"/>
      <c r="AK224" s="2282"/>
      <c r="AL224" s="2282"/>
      <c r="AM224" s="2282"/>
      <c r="AN224" s="2282"/>
      <c r="AO224" s="2282"/>
      <c r="AP224" s="2282"/>
      <c r="AQ224" s="2282"/>
      <c r="AR224" s="2282"/>
      <c r="AS224" s="2282"/>
      <c r="AT224" s="2282"/>
      <c r="AU224" s="2282"/>
      <c r="AV224" s="2282"/>
      <c r="AW224" s="2282"/>
      <c r="AX224" s="2282"/>
      <c r="AY224" s="2282"/>
      <c r="AZ224" s="2282"/>
      <c r="BA224" s="2282"/>
      <c r="BB224" s="2282"/>
      <c r="BC224" s="2282"/>
      <c r="BD224" s="2283"/>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5" t="s">
        <v>1858</v>
      </c>
      <c r="I228" s="2295"/>
      <c r="J228" s="2295"/>
      <c r="K228" s="2295"/>
      <c r="L228" s="2295"/>
      <c r="M228" s="2295"/>
      <c r="N228" s="2295"/>
      <c r="O228" s="2295"/>
      <c r="P228" s="2295"/>
      <c r="Q228" s="2295"/>
      <c r="R228" s="2295"/>
      <c r="S228" s="2295"/>
      <c r="T228" s="2295"/>
      <c r="U228" s="2295"/>
      <c r="V228" s="2295"/>
      <c r="W228" s="2295"/>
      <c r="X228" s="2295"/>
      <c r="Y228" s="2295"/>
      <c r="Z228" s="2295"/>
      <c r="AA228" s="2295"/>
      <c r="AB228" s="2295"/>
      <c r="AC228" s="2295"/>
      <c r="AD228" s="2295"/>
      <c r="AE228" s="2295"/>
      <c r="AF228" s="2295"/>
      <c r="AG228" s="2295"/>
      <c r="AH228" s="2295"/>
      <c r="AI228" s="2295"/>
      <c r="AJ228" s="2295"/>
      <c r="AK228" s="2295"/>
      <c r="AL228" s="2295"/>
      <c r="AM228" s="2295"/>
      <c r="AN228" s="2295"/>
      <c r="AO228" s="2295"/>
      <c r="AP228" s="2295"/>
      <c r="AQ228" s="2295"/>
      <c r="AR228" s="2295"/>
      <c r="AS228" s="2295"/>
      <c r="AT228" s="2295"/>
      <c r="AU228" s="2295"/>
      <c r="AV228" s="2295"/>
      <c r="AW228" s="2295"/>
      <c r="AX228" s="2295"/>
      <c r="AY228" s="2295"/>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4" t="s">
        <v>2497</v>
      </c>
      <c r="I230" s="2294"/>
      <c r="J230" s="2294"/>
      <c r="K230" s="2294"/>
      <c r="L230" s="2294"/>
      <c r="M230" s="2294"/>
      <c r="N230" s="2294"/>
      <c r="O230" s="2294"/>
      <c r="P230" s="2294"/>
      <c r="Q230" s="2294"/>
      <c r="R230" s="2294"/>
      <c r="S230" s="2294"/>
      <c r="T230" s="2294"/>
      <c r="U230" s="2294"/>
      <c r="V230" s="2294"/>
      <c r="W230" s="2294"/>
      <c r="X230" s="2294"/>
      <c r="Y230" s="2294"/>
      <c r="Z230" s="2294"/>
      <c r="AA230" s="2294"/>
      <c r="AB230" s="2294"/>
      <c r="AC230" s="2294"/>
      <c r="AD230" s="2294"/>
      <c r="AE230" s="2294"/>
      <c r="AF230" s="2294"/>
      <c r="AG230" s="2294"/>
      <c r="AH230" s="2294"/>
      <c r="AI230" s="2294"/>
      <c r="AJ230" s="2294"/>
      <c r="AK230" s="2294"/>
      <c r="AL230" s="2294"/>
      <c r="AM230" s="2294"/>
      <c r="AN230" s="2294"/>
      <c r="AO230" s="2294"/>
      <c r="AP230" s="2294"/>
      <c r="AQ230" s="2294"/>
      <c r="AR230" s="2294"/>
      <c r="AS230" s="2294"/>
      <c r="AT230" s="2294"/>
      <c r="AU230" s="2294"/>
      <c r="AV230" s="2294"/>
      <c r="AW230" s="2294"/>
      <c r="AX230" s="2294"/>
      <c r="AY230" s="2294"/>
      <c r="AZ230" s="2294"/>
      <c r="BA230" s="1206"/>
      <c r="BB230" s="1206"/>
      <c r="BC230" s="1206"/>
      <c r="BD230" s="1202"/>
      <c r="BE230" s="1202"/>
    </row>
    <row r="231" spans="1:57" ht="15.75" customHeight="1">
      <c r="A231" s="1206"/>
      <c r="B231" s="1212"/>
      <c r="C231" s="1206"/>
      <c r="D231" s="1206"/>
      <c r="E231" s="1206"/>
      <c r="F231" s="1206"/>
      <c r="G231" s="1206"/>
      <c r="H231" s="2294"/>
      <c r="I231" s="2294"/>
      <c r="J231" s="2294"/>
      <c r="K231" s="2294"/>
      <c r="L231" s="2294"/>
      <c r="M231" s="2294"/>
      <c r="N231" s="2294"/>
      <c r="O231" s="2294"/>
      <c r="P231" s="2294"/>
      <c r="Q231" s="2294"/>
      <c r="R231" s="2294"/>
      <c r="S231" s="2294"/>
      <c r="T231" s="2294"/>
      <c r="U231" s="2294"/>
      <c r="V231" s="2294"/>
      <c r="W231" s="2294"/>
      <c r="X231" s="2294"/>
      <c r="Y231" s="2294"/>
      <c r="Z231" s="2294"/>
      <c r="AA231" s="2294"/>
      <c r="AB231" s="2294"/>
      <c r="AC231" s="2294"/>
      <c r="AD231" s="2294"/>
      <c r="AE231" s="2294"/>
      <c r="AF231" s="2294"/>
      <c r="AG231" s="2294"/>
      <c r="AH231" s="2294"/>
      <c r="AI231" s="2294"/>
      <c r="AJ231" s="2294"/>
      <c r="AK231" s="2294"/>
      <c r="AL231" s="2294"/>
      <c r="AM231" s="2294"/>
      <c r="AN231" s="2294"/>
      <c r="AO231" s="2294"/>
      <c r="AP231" s="2294"/>
      <c r="AQ231" s="2294"/>
      <c r="AR231" s="2294"/>
      <c r="AS231" s="2294"/>
      <c r="AT231" s="2294"/>
      <c r="AU231" s="2294"/>
      <c r="AV231" s="2294"/>
      <c r="AW231" s="2294"/>
      <c r="AX231" s="2294"/>
      <c r="AY231" s="2294"/>
      <c r="AZ231" s="2294"/>
      <c r="BA231" s="1206"/>
      <c r="BB231" s="1206"/>
      <c r="BC231" s="1206"/>
      <c r="BD231" s="1202"/>
      <c r="BE231" s="1202"/>
    </row>
    <row r="232" spans="1:57" ht="15.75" customHeight="1">
      <c r="A232" s="1206"/>
      <c r="B232" s="1212"/>
      <c r="C232" s="1206"/>
      <c r="D232" s="1206"/>
      <c r="E232" s="1206"/>
      <c r="F232" s="1206"/>
      <c r="G232" s="1206"/>
      <c r="H232" s="2294"/>
      <c r="I232" s="2294"/>
      <c r="J232" s="2294"/>
      <c r="K232" s="2294"/>
      <c r="L232" s="2294"/>
      <c r="M232" s="2294"/>
      <c r="N232" s="2294"/>
      <c r="O232" s="2294"/>
      <c r="P232" s="2294"/>
      <c r="Q232" s="2294"/>
      <c r="R232" s="2294"/>
      <c r="S232" s="2294"/>
      <c r="T232" s="2294"/>
      <c r="U232" s="2294"/>
      <c r="V232" s="2294"/>
      <c r="W232" s="2294"/>
      <c r="X232" s="2294"/>
      <c r="Y232" s="2294"/>
      <c r="Z232" s="2294"/>
      <c r="AA232" s="2294"/>
      <c r="AB232" s="2294"/>
      <c r="AC232" s="2294"/>
      <c r="AD232" s="2294"/>
      <c r="AE232" s="2294"/>
      <c r="AF232" s="2294"/>
      <c r="AG232" s="2294"/>
      <c r="AH232" s="2294"/>
      <c r="AI232" s="2294"/>
      <c r="AJ232" s="2294"/>
      <c r="AK232" s="2294"/>
      <c r="AL232" s="2294"/>
      <c r="AM232" s="2294"/>
      <c r="AN232" s="2294"/>
      <c r="AO232" s="2294"/>
      <c r="AP232" s="2294"/>
      <c r="AQ232" s="2294"/>
      <c r="AR232" s="2294"/>
      <c r="AS232" s="2294"/>
      <c r="AT232" s="2294"/>
      <c r="AU232" s="2294"/>
      <c r="AV232" s="2294"/>
      <c r="AW232" s="2294"/>
      <c r="AX232" s="2294"/>
      <c r="AY232" s="2294"/>
      <c r="AZ232" s="2294"/>
      <c r="BA232" s="1206"/>
      <c r="BB232" s="1206"/>
      <c r="BC232" s="1206"/>
      <c r="BD232" s="1202"/>
      <c r="BE232" s="1202"/>
    </row>
    <row r="233" spans="1:57" ht="15.75" customHeight="1">
      <c r="A233" s="1206"/>
      <c r="B233" s="1212"/>
      <c r="C233" s="1206"/>
      <c r="D233" s="1206"/>
      <c r="E233" s="1206"/>
      <c r="F233" s="1206"/>
      <c r="G233" s="1206"/>
      <c r="H233" s="2294"/>
      <c r="I233" s="2294"/>
      <c r="J233" s="2294"/>
      <c r="K233" s="2294"/>
      <c r="L233" s="2294"/>
      <c r="M233" s="2294"/>
      <c r="N233" s="2294"/>
      <c r="O233" s="2294"/>
      <c r="P233" s="2294"/>
      <c r="Q233" s="2294"/>
      <c r="R233" s="2294"/>
      <c r="S233" s="2294"/>
      <c r="T233" s="2294"/>
      <c r="U233" s="2294"/>
      <c r="V233" s="2294"/>
      <c r="W233" s="2294"/>
      <c r="X233" s="2294"/>
      <c r="Y233" s="2294"/>
      <c r="Z233" s="2294"/>
      <c r="AA233" s="2294"/>
      <c r="AB233" s="2294"/>
      <c r="AC233" s="2294"/>
      <c r="AD233" s="2294"/>
      <c r="AE233" s="2294"/>
      <c r="AF233" s="2294"/>
      <c r="AG233" s="2294"/>
      <c r="AH233" s="2294"/>
      <c r="AI233" s="2294"/>
      <c r="AJ233" s="2294"/>
      <c r="AK233" s="2294"/>
      <c r="AL233" s="2294"/>
      <c r="AM233" s="2294"/>
      <c r="AN233" s="2294"/>
      <c r="AO233" s="2294"/>
      <c r="AP233" s="2294"/>
      <c r="AQ233" s="2294"/>
      <c r="AR233" s="2294"/>
      <c r="AS233" s="2294"/>
      <c r="AT233" s="2294"/>
      <c r="AU233" s="2294"/>
      <c r="AV233" s="2294"/>
      <c r="AW233" s="2294"/>
      <c r="AX233" s="2294"/>
      <c r="AY233" s="2294"/>
      <c r="AZ233" s="2294"/>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3" t="s">
        <v>1859</v>
      </c>
      <c r="I235" s="2293"/>
      <c r="J235" s="2293"/>
      <c r="K235" s="2293"/>
      <c r="L235" s="2293"/>
      <c r="M235" s="2293"/>
      <c r="N235" s="2293"/>
      <c r="O235" s="2293"/>
      <c r="P235" s="2293"/>
      <c r="Q235" s="2293"/>
      <c r="R235" s="2293"/>
      <c r="S235" s="2293"/>
      <c r="T235" s="2293"/>
      <c r="U235" s="2293"/>
      <c r="V235" s="2293"/>
      <c r="W235" s="2293"/>
      <c r="X235" s="2293"/>
      <c r="Y235" s="2293"/>
      <c r="Z235" s="2293"/>
      <c r="AA235" s="2293"/>
      <c r="AB235" s="2293"/>
      <c r="AC235" s="2293"/>
      <c r="AD235" s="2293"/>
      <c r="AE235" s="2293"/>
      <c r="AF235" s="2293"/>
      <c r="AG235" s="2293"/>
      <c r="AH235" s="2293"/>
      <c r="AI235" s="2293"/>
      <c r="AJ235" s="2293"/>
      <c r="AK235" s="2293"/>
      <c r="AL235" s="2293"/>
      <c r="AM235" s="2293"/>
      <c r="AN235" s="2293"/>
      <c r="AO235" s="2293"/>
      <c r="AP235" s="2293"/>
      <c r="AQ235" s="2293"/>
      <c r="AR235" s="2293"/>
      <c r="AS235" s="2293"/>
      <c r="AT235" s="2293"/>
      <c r="AU235" s="2293"/>
      <c r="AV235" s="2293"/>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9" t="s">
        <v>1860</v>
      </c>
      <c r="I237" s="2269"/>
      <c r="J237" s="2269"/>
      <c r="K237" s="2269"/>
      <c r="L237" s="1208"/>
      <c r="M237" s="1208"/>
      <c r="N237" s="1208"/>
      <c r="O237" s="1208"/>
      <c r="P237" s="1208"/>
      <c r="Q237" s="1208"/>
      <c r="R237" s="1208"/>
      <c r="S237" s="2290"/>
      <c r="T237" s="2291"/>
      <c r="U237" s="2291"/>
      <c r="V237" s="2291"/>
      <c r="W237" s="2291"/>
      <c r="X237" s="2291"/>
      <c r="Y237" s="2291"/>
      <c r="Z237" s="2291"/>
      <c r="AA237" s="2291"/>
      <c r="AB237" s="2291"/>
      <c r="AC237" s="2291"/>
      <c r="AD237" s="2291"/>
      <c r="AE237" s="2291"/>
      <c r="AF237" s="2291"/>
      <c r="AG237" s="2291"/>
      <c r="AH237" s="2291"/>
      <c r="AI237" s="2291"/>
      <c r="AJ237" s="2292"/>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9" t="s">
        <v>1861</v>
      </c>
      <c r="I239" s="2269"/>
      <c r="J239" s="2269"/>
      <c r="K239" s="1210"/>
      <c r="L239" s="1208"/>
      <c r="M239" s="1208"/>
      <c r="N239" s="1208"/>
      <c r="O239" s="1208"/>
      <c r="P239" s="1208"/>
      <c r="Q239" s="1208"/>
      <c r="R239" s="1208"/>
      <c r="S239" s="2287"/>
      <c r="T239" s="2288"/>
      <c r="U239" s="2288"/>
      <c r="V239" s="2288"/>
      <c r="W239" s="2288"/>
      <c r="X239" s="2288"/>
      <c r="Y239" s="2288"/>
      <c r="Z239" s="2288"/>
      <c r="AA239" s="2288"/>
      <c r="AB239" s="2288"/>
      <c r="AC239" s="2288"/>
      <c r="AD239" s="2288"/>
      <c r="AE239" s="2288"/>
      <c r="AF239" s="2288"/>
      <c r="AG239" s="2288"/>
      <c r="AH239" s="2288"/>
      <c r="AI239" s="2288"/>
      <c r="AJ239" s="2289"/>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9" t="s">
        <v>444</v>
      </c>
      <c r="I241" s="2269"/>
      <c r="J241" s="1210"/>
      <c r="K241" s="1210"/>
      <c r="L241" s="1208"/>
      <c r="M241" s="1208"/>
      <c r="N241" s="1208"/>
      <c r="O241" s="1208"/>
      <c r="P241" s="1208"/>
      <c r="Q241" s="1208"/>
      <c r="R241" s="1208"/>
      <c r="S241" s="2287"/>
      <c r="T241" s="2288"/>
      <c r="U241" s="2288"/>
      <c r="V241" s="2288"/>
      <c r="W241" s="2288"/>
      <c r="X241" s="2288"/>
      <c r="Y241" s="2288"/>
      <c r="Z241" s="2288"/>
      <c r="AA241" s="2288"/>
      <c r="AB241" s="2288"/>
      <c r="AC241" s="2288"/>
      <c r="AD241" s="2288"/>
      <c r="AE241" s="2288"/>
      <c r="AF241" s="2288"/>
      <c r="AG241" s="2288"/>
      <c r="AH241" s="2288"/>
      <c r="AI241" s="2288"/>
      <c r="AJ241" s="2289"/>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0" t="s">
        <v>1862</v>
      </c>
      <c r="I243" s="2270"/>
      <c r="J243" s="2270"/>
      <c r="K243" s="2270"/>
      <c r="L243" s="2270"/>
      <c r="M243" s="2270"/>
      <c r="N243" s="2270"/>
      <c r="O243" s="2270"/>
      <c r="P243" s="1208"/>
      <c r="Q243" s="1208"/>
      <c r="R243" s="1208"/>
      <c r="S243" s="2287"/>
      <c r="T243" s="2288"/>
      <c r="U243" s="2288"/>
      <c r="V243" s="2288"/>
      <c r="W243" s="2288"/>
      <c r="X243" s="2288"/>
      <c r="Y243" s="2288"/>
      <c r="Z243" s="2288"/>
      <c r="AA243" s="2288"/>
      <c r="AB243" s="2288"/>
      <c r="AC243" s="2288"/>
      <c r="AD243" s="2288"/>
      <c r="AE243" s="2288"/>
      <c r="AF243" s="2288"/>
      <c r="AG243" s="2288"/>
      <c r="AH243" s="2288"/>
      <c r="AI243" s="2288"/>
      <c r="AJ243" s="2289"/>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1" t="s">
        <v>1863</v>
      </c>
      <c r="I245" s="2271"/>
      <c r="J245" s="1208"/>
      <c r="K245" s="1208"/>
      <c r="L245" s="1208"/>
      <c r="M245" s="1208"/>
      <c r="N245" s="1208"/>
      <c r="O245" s="1208"/>
      <c r="P245" s="1208"/>
      <c r="Q245" s="1208"/>
      <c r="R245" s="1208"/>
      <c r="S245" s="2284"/>
      <c r="T245" s="2285"/>
      <c r="U245" s="2285"/>
      <c r="V245" s="2285"/>
      <c r="W245" s="2285"/>
      <c r="X245" s="2285"/>
      <c r="Y245" s="2285"/>
      <c r="Z245" s="2285"/>
      <c r="AA245" s="2285"/>
      <c r="AB245" s="2285"/>
      <c r="AC245" s="2285"/>
      <c r="AD245" s="2285"/>
      <c r="AE245" s="2285"/>
      <c r="AF245" s="2285"/>
      <c r="AG245" s="2285"/>
      <c r="AH245" s="2285"/>
      <c r="AI245" s="2285"/>
      <c r="AJ245" s="2286"/>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7" workbookViewId="0">
      <selection activeCell="AI48" sqref="AI48"/>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7" t="s">
        <v>1389</v>
      </c>
      <c r="B1" s="2637"/>
      <c r="C1" s="2637"/>
      <c r="D1" s="2637"/>
      <c r="E1" s="2637"/>
      <c r="F1" s="2637"/>
      <c r="G1" s="2637"/>
      <c r="H1" s="2637"/>
      <c r="I1" s="2637"/>
      <c r="J1" s="2637"/>
      <c r="K1" s="2637"/>
      <c r="L1" s="2637"/>
      <c r="M1" s="2637"/>
      <c r="N1" s="2637"/>
      <c r="O1" s="2637"/>
      <c r="P1" s="2637"/>
      <c r="Q1" s="2637"/>
      <c r="R1" s="2637"/>
      <c r="S1" s="2637"/>
      <c r="T1" s="2637"/>
      <c r="U1" s="2637"/>
      <c r="V1" s="2637"/>
      <c r="W1" s="2637"/>
      <c r="X1" s="2637"/>
      <c r="Y1" s="2637"/>
      <c r="Z1" s="2637"/>
      <c r="AA1" s="2637"/>
      <c r="AB1" s="2637"/>
      <c r="AC1" s="2637"/>
      <c r="AD1" s="2637"/>
      <c r="AE1" s="2637"/>
      <c r="AF1" s="2637"/>
      <c r="AG1" s="2637"/>
      <c r="AH1" s="2637"/>
      <c r="AI1" s="2637"/>
      <c r="AJ1" s="2637"/>
      <c r="AK1" s="2637"/>
      <c r="AL1" s="2637"/>
      <c r="AM1" s="2637"/>
      <c r="AN1" s="2637"/>
    </row>
    <row r="2" spans="1:40" ht="12.95" customHeight="1" thickBot="1">
      <c r="A2" s="2638"/>
      <c r="B2" s="2638"/>
      <c r="C2" s="2638"/>
      <c r="D2" s="2638"/>
      <c r="E2" s="2638"/>
      <c r="F2" s="2638"/>
      <c r="G2" s="2638"/>
      <c r="H2" s="2638"/>
      <c r="I2" s="2638"/>
      <c r="J2" s="2638"/>
      <c r="K2" s="2638"/>
      <c r="L2" s="2638"/>
      <c r="M2" s="2638"/>
      <c r="N2" s="2638"/>
      <c r="O2" s="2638"/>
      <c r="P2" s="2638"/>
      <c r="Q2" s="2638"/>
      <c r="R2" s="2638"/>
      <c r="S2" s="2638"/>
      <c r="T2" s="2638"/>
      <c r="U2" s="2638"/>
      <c r="V2" s="2638"/>
      <c r="W2" s="2638"/>
      <c r="X2" s="2638"/>
      <c r="Y2" s="2638"/>
      <c r="Z2" s="2638"/>
      <c r="AA2" s="2638"/>
      <c r="AB2" s="2638"/>
      <c r="AC2" s="2638"/>
      <c r="AD2" s="2638"/>
      <c r="AE2" s="2638"/>
      <c r="AF2" s="2638"/>
      <c r="AG2" s="2638"/>
      <c r="AH2" s="2638"/>
      <c r="AI2" s="2638"/>
      <c r="AJ2" s="2638"/>
      <c r="AK2" s="2638"/>
      <c r="AL2" s="2638"/>
      <c r="AM2" s="2638"/>
      <c r="AN2" s="263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DDA/QCT
Building(s)</v>
      </c>
      <c r="U7" s="2639"/>
      <c r="V7" s="2639"/>
      <c r="W7" s="2639"/>
      <c r="X7" s="2639"/>
      <c r="Y7" s="2639" t="str">
        <f>IF(T25=100%,"",'Sources and Basis Breakdown'!G2)</f>
        <v>30% PVC for New Const/
Rehabilitation
NON-DDA/
NON-QCT Building(s)</v>
      </c>
      <c r="Z7" s="2639"/>
      <c r="AA7" s="2639"/>
      <c r="AB7" s="2639"/>
      <c r="AC7" s="2639"/>
      <c r="AD7" s="2639" t="str">
        <f xml:space="preserve"> IF(T25=100%, 'Sources and Basis Breakdown'!J2,'Sources and Basis Breakdown'!I2)</f>
        <v>30% PVC for Acquisition
DDA/QCT Building(s)</v>
      </c>
      <c r="AE7" s="2639"/>
      <c r="AF7" s="2639"/>
      <c r="AG7" s="2639"/>
      <c r="AH7" s="2639"/>
      <c r="AI7" s="2639" t="str">
        <f>IF(T25=100%,"",'Sources and Basis Breakdown'!J2)</f>
        <v>30% PVC for Acquisition
NON-DDA/
NON-QCT Building(s)</v>
      </c>
      <c r="AJ7" s="2639"/>
      <c r="AK7" s="2639"/>
      <c r="AL7" s="2639"/>
      <c r="AM7" s="2639"/>
    </row>
    <row r="8" spans="1:40" ht="12.95"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2.95"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2.95"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2.95" customHeight="1">
      <c r="B11" s="2618" t="s">
        <v>376</v>
      </c>
      <c r="C11" s="2619"/>
      <c r="D11" s="2619"/>
      <c r="E11" s="2619"/>
      <c r="F11" s="2619"/>
      <c r="G11" s="2619"/>
      <c r="H11" s="2619"/>
      <c r="I11" s="2619"/>
      <c r="J11" s="2619"/>
      <c r="K11" s="2619"/>
      <c r="L11" s="2619"/>
      <c r="M11" s="2619"/>
      <c r="N11" s="2619"/>
      <c r="O11" s="2619"/>
      <c r="P11" s="2619"/>
      <c r="Q11" s="2619"/>
      <c r="R11" s="2619"/>
      <c r="S11" s="2620"/>
      <c r="T11" s="2640">
        <f>IF('Sources and Basis Breakdown'!F107=0,'Sources and Basis Breakdown'!E107,'Sources and Basis Breakdown'!F107)</f>
        <v>17731626.5</v>
      </c>
      <c r="U11" s="2641"/>
      <c r="V11" s="2641"/>
      <c r="W11" s="2641"/>
      <c r="X11" s="2641"/>
      <c r="Y11" s="2640">
        <f>IF(Y7="",0,IF('Sources and Basis Breakdown'!G107+'Sources and Basis Breakdown'!F107='Sources and Basis Breakdown'!E107,'Sources and Basis Breakdown'!G107,0))</f>
        <v>0</v>
      </c>
      <c r="Z11" s="2641"/>
      <c r="AA11" s="2641"/>
      <c r="AB11" s="2641"/>
      <c r="AC11" s="2641"/>
      <c r="AD11" s="2641">
        <f>IF('Sources and Basis Breakdown'!I107=0,'Sources and Basis Breakdown'!H107,'Sources and Basis Breakdown'!I107)</f>
        <v>24495870</v>
      </c>
      <c r="AE11" s="2641"/>
      <c r="AF11" s="2641"/>
      <c r="AG11" s="2641"/>
      <c r="AH11" s="2641"/>
      <c r="AI11" s="2641">
        <f>IF(Y7="",0,IF('Sources and Basis Breakdown'!I107+'Sources and Basis Breakdown'!J107='Sources and Basis Breakdown'!H107,'Sources and Basis Breakdown'!J107,0))</f>
        <v>0</v>
      </c>
      <c r="AJ11" s="2641"/>
      <c r="AK11" s="2641"/>
      <c r="AL11" s="2641"/>
      <c r="AM11" s="2641"/>
    </row>
    <row r="12" spans="1:40" ht="12.95" customHeight="1">
      <c r="B12" s="2633" t="s">
        <v>506</v>
      </c>
      <c r="C12" s="1285"/>
      <c r="D12" s="1285"/>
      <c r="E12" s="1285"/>
      <c r="F12" s="1285"/>
      <c r="G12" s="1285"/>
      <c r="H12" s="1285"/>
      <c r="I12" s="1285"/>
      <c r="J12" s="1285"/>
      <c r="K12" s="1285"/>
      <c r="L12" s="1285"/>
      <c r="M12" s="1285"/>
      <c r="N12" s="1285"/>
      <c r="O12" s="1285"/>
      <c r="P12" s="1285"/>
      <c r="Q12" s="1285"/>
      <c r="R12" s="1285"/>
      <c r="S12" s="2634"/>
      <c r="T12" s="2606"/>
      <c r="U12" s="2607"/>
      <c r="V12" s="2607"/>
      <c r="W12" s="2607"/>
      <c r="X12" s="2608"/>
      <c r="Y12" s="2606"/>
      <c r="Z12" s="2607"/>
      <c r="AA12" s="2607"/>
      <c r="AB12" s="2607"/>
      <c r="AC12" s="2608"/>
      <c r="AD12" s="2606"/>
      <c r="AE12" s="2607"/>
      <c r="AF12" s="2607"/>
      <c r="AG12" s="2607"/>
      <c r="AH12" s="2608"/>
      <c r="AI12" s="2606"/>
      <c r="AJ12" s="2607"/>
      <c r="AK12" s="2607"/>
      <c r="AL12" s="2607"/>
      <c r="AM12" s="2608"/>
    </row>
    <row r="13" spans="1:40" ht="12.95" customHeight="1">
      <c r="B13" s="467"/>
      <c r="C13" s="2635" t="s">
        <v>507</v>
      </c>
      <c r="D13" s="2635"/>
      <c r="E13" s="2635"/>
      <c r="F13" s="2635"/>
      <c r="G13" s="2635"/>
      <c r="H13" s="2635"/>
      <c r="I13" s="2635"/>
      <c r="J13" s="2635"/>
      <c r="K13" s="2635"/>
      <c r="L13" s="2635"/>
      <c r="M13" s="2635"/>
      <c r="N13" s="2635"/>
      <c r="O13" s="2635"/>
      <c r="P13" s="2635"/>
      <c r="Q13" s="2635"/>
      <c r="R13" s="2635"/>
      <c r="S13" s="2636"/>
      <c r="T13" s="2642"/>
      <c r="U13" s="2643"/>
      <c r="V13" s="2643"/>
      <c r="W13" s="2643"/>
      <c r="X13" s="2643"/>
      <c r="Y13" s="2642"/>
      <c r="Z13" s="2643"/>
      <c r="AA13" s="2643"/>
      <c r="AB13" s="2643"/>
      <c r="AC13" s="2643"/>
      <c r="AD13" s="2643"/>
      <c r="AE13" s="2643"/>
      <c r="AF13" s="2643"/>
      <c r="AG13" s="2643"/>
      <c r="AH13" s="2643"/>
      <c r="AI13" s="2643"/>
      <c r="AJ13" s="2643"/>
      <c r="AK13" s="2643"/>
      <c r="AL13" s="2643"/>
      <c r="AM13" s="2643"/>
    </row>
    <row r="14" spans="1:40" ht="12.95" customHeight="1">
      <c r="B14" s="467"/>
      <c r="C14" s="2635" t="s">
        <v>508</v>
      </c>
      <c r="D14" s="2635"/>
      <c r="E14" s="2635"/>
      <c r="F14" s="2635"/>
      <c r="G14" s="2635"/>
      <c r="H14" s="2635"/>
      <c r="I14" s="2635"/>
      <c r="J14" s="2635"/>
      <c r="K14" s="2635"/>
      <c r="L14" s="2635"/>
      <c r="M14" s="2635"/>
      <c r="N14" s="2635"/>
      <c r="O14" s="2635"/>
      <c r="P14" s="2635"/>
      <c r="Q14" s="2635"/>
      <c r="R14" s="2635"/>
      <c r="S14" s="2636"/>
      <c r="T14" s="2609"/>
      <c r="U14" s="2610"/>
      <c r="V14" s="2610"/>
      <c r="W14" s="2610"/>
      <c r="X14" s="2610"/>
      <c r="Y14" s="2609"/>
      <c r="Z14" s="2610"/>
      <c r="AA14" s="2610"/>
      <c r="AB14" s="2610"/>
      <c r="AC14" s="2610"/>
      <c r="AD14" s="2610"/>
      <c r="AE14" s="2610"/>
      <c r="AF14" s="2610"/>
      <c r="AG14" s="2610"/>
      <c r="AH14" s="2610"/>
      <c r="AI14" s="2610"/>
      <c r="AJ14" s="2610"/>
      <c r="AK14" s="2610"/>
      <c r="AL14" s="2610"/>
      <c r="AM14" s="2610"/>
    </row>
    <row r="15" spans="1:40" ht="12.95" customHeight="1">
      <c r="B15" s="467"/>
      <c r="C15" s="2635" t="s">
        <v>509</v>
      </c>
      <c r="D15" s="2635"/>
      <c r="E15" s="2635"/>
      <c r="F15" s="2635"/>
      <c r="G15" s="2635"/>
      <c r="H15" s="2635"/>
      <c r="I15" s="2635"/>
      <c r="J15" s="2635"/>
      <c r="K15" s="2635"/>
      <c r="L15" s="2635"/>
      <c r="M15" s="2635"/>
      <c r="N15" s="2635"/>
      <c r="O15" s="2635"/>
      <c r="P15" s="2635"/>
      <c r="Q15" s="2635"/>
      <c r="R15" s="2635"/>
      <c r="S15" s="2636"/>
      <c r="T15" s="2609"/>
      <c r="U15" s="2610"/>
      <c r="V15" s="2610"/>
      <c r="W15" s="2610"/>
      <c r="X15" s="2610"/>
      <c r="Y15" s="2609"/>
      <c r="Z15" s="2610"/>
      <c r="AA15" s="2610"/>
      <c r="AB15" s="2610"/>
      <c r="AC15" s="2610"/>
      <c r="AD15" s="2610"/>
      <c r="AE15" s="2610"/>
      <c r="AF15" s="2610"/>
      <c r="AG15" s="2610"/>
      <c r="AH15" s="2610"/>
      <c r="AI15" s="2610"/>
      <c r="AJ15" s="2610"/>
      <c r="AK15" s="2610"/>
      <c r="AL15" s="2610"/>
      <c r="AM15" s="2610"/>
    </row>
    <row r="16" spans="1:40" ht="12.95" customHeight="1">
      <c r="B16" s="467"/>
      <c r="C16" s="2635" t="s">
        <v>815</v>
      </c>
      <c r="D16" s="2635"/>
      <c r="E16" s="2635"/>
      <c r="F16" s="2635"/>
      <c r="G16" s="2635"/>
      <c r="H16" s="2635"/>
      <c r="I16" s="2635"/>
      <c r="J16" s="2635"/>
      <c r="K16" s="2635"/>
      <c r="L16" s="2635"/>
      <c r="M16" s="2635"/>
      <c r="N16" s="2635"/>
      <c r="O16" s="2635"/>
      <c r="P16" s="2635"/>
      <c r="Q16" s="2635"/>
      <c r="R16" s="2635"/>
      <c r="S16" s="2636"/>
      <c r="T16" s="2609"/>
      <c r="U16" s="2610"/>
      <c r="V16" s="2610"/>
      <c r="W16" s="2610"/>
      <c r="X16" s="2610"/>
      <c r="Y16" s="2609"/>
      <c r="Z16" s="2610"/>
      <c r="AA16" s="2610"/>
      <c r="AB16" s="2610"/>
      <c r="AC16" s="2610"/>
      <c r="AD16" s="2610"/>
      <c r="AE16" s="2610"/>
      <c r="AF16" s="2610"/>
      <c r="AG16" s="2610"/>
      <c r="AH16" s="2610"/>
      <c r="AI16" s="2610"/>
      <c r="AJ16" s="2610"/>
      <c r="AK16" s="2610"/>
      <c r="AL16" s="2610"/>
      <c r="AM16" s="2610"/>
    </row>
    <row r="17" spans="1:40" ht="12.95" customHeight="1">
      <c r="B17" s="467"/>
      <c r="C17" s="2635" t="s">
        <v>510</v>
      </c>
      <c r="D17" s="2635"/>
      <c r="E17" s="2635"/>
      <c r="F17" s="2635"/>
      <c r="G17" s="2635"/>
      <c r="H17" s="2635"/>
      <c r="I17" s="2635"/>
      <c r="J17" s="2635"/>
      <c r="K17" s="2635"/>
      <c r="L17" s="2635"/>
      <c r="M17" s="2635"/>
      <c r="N17" s="2635"/>
      <c r="O17" s="2635"/>
      <c r="P17" s="2635"/>
      <c r="Q17" s="2635"/>
      <c r="R17" s="2635"/>
      <c r="S17" s="2636"/>
      <c r="T17" s="2609"/>
      <c r="U17" s="2610"/>
      <c r="V17" s="2610"/>
      <c r="W17" s="2610"/>
      <c r="X17" s="2610"/>
      <c r="Y17" s="2609"/>
      <c r="Z17" s="2610"/>
      <c r="AA17" s="2610"/>
      <c r="AB17" s="2610"/>
      <c r="AC17" s="2610"/>
      <c r="AD17" s="2610"/>
      <c r="AE17" s="2610"/>
      <c r="AF17" s="2610"/>
      <c r="AG17" s="2610"/>
      <c r="AH17" s="2610"/>
      <c r="AI17" s="2610"/>
      <c r="AJ17" s="2610"/>
      <c r="AK17" s="2610"/>
      <c r="AL17" s="2610"/>
      <c r="AM17" s="2610"/>
    </row>
    <row r="18" spans="1:40" ht="12.95" customHeight="1">
      <c r="A18"/>
      <c r="B18" s="1194"/>
      <c r="C18" s="1667" t="s">
        <v>980</v>
      </c>
      <c r="D18" s="1667"/>
      <c r="E18" s="1667"/>
      <c r="F18" s="1667"/>
      <c r="G18" s="1667"/>
      <c r="H18" s="1667"/>
      <c r="I18" s="1667"/>
      <c r="J18" s="1667"/>
      <c r="K18" s="1667"/>
      <c r="L18" s="1667"/>
      <c r="M18" s="1667"/>
      <c r="N18" s="1667"/>
      <c r="O18" s="1667"/>
      <c r="P18" s="1667"/>
      <c r="Q18" s="1667"/>
      <c r="R18" s="1667"/>
      <c r="S18" s="1668"/>
      <c r="T18" s="2609"/>
      <c r="U18" s="2610"/>
      <c r="V18" s="2610"/>
      <c r="W18" s="2610"/>
      <c r="X18" s="2610"/>
      <c r="Y18" s="2609"/>
      <c r="Z18" s="2610"/>
      <c r="AA18" s="2610"/>
      <c r="AB18" s="2610"/>
      <c r="AC18" s="2610"/>
      <c r="AD18" s="2610"/>
      <c r="AE18" s="2610"/>
      <c r="AF18" s="2610"/>
      <c r="AG18" s="2610"/>
      <c r="AH18" s="2610"/>
      <c r="AI18" s="2610"/>
      <c r="AJ18" s="2610"/>
      <c r="AK18" s="2610"/>
      <c r="AL18" s="2610"/>
      <c r="AM18" s="2610"/>
    </row>
    <row r="19" spans="1:40" ht="12.95" customHeight="1">
      <c r="B19" s="1194"/>
      <c r="C19" s="1667" t="s">
        <v>980</v>
      </c>
      <c r="D19" s="1667"/>
      <c r="E19" s="1667"/>
      <c r="F19" s="1667"/>
      <c r="G19" s="1667"/>
      <c r="H19" s="1667"/>
      <c r="I19" s="1667"/>
      <c r="J19" s="1667"/>
      <c r="K19" s="1667"/>
      <c r="L19" s="1667"/>
      <c r="M19" s="1667"/>
      <c r="N19" s="1667"/>
      <c r="O19" s="1667"/>
      <c r="P19" s="1667"/>
      <c r="Q19" s="1667"/>
      <c r="R19" s="1667"/>
      <c r="S19" s="1668"/>
      <c r="T19" s="2609"/>
      <c r="U19" s="2610"/>
      <c r="V19" s="2610"/>
      <c r="W19" s="2610"/>
      <c r="X19" s="2610"/>
      <c r="Y19" s="2609"/>
      <c r="Z19" s="2610"/>
      <c r="AA19" s="2610"/>
      <c r="AB19" s="2610"/>
      <c r="AC19" s="2610"/>
      <c r="AD19" s="2610"/>
      <c r="AE19" s="2610"/>
      <c r="AF19" s="2610"/>
      <c r="AG19" s="2610"/>
      <c r="AH19" s="2610"/>
      <c r="AI19" s="2610"/>
      <c r="AJ19" s="2610"/>
      <c r="AK19" s="2610"/>
      <c r="AL19" s="2610"/>
      <c r="AM19" s="2610"/>
    </row>
    <row r="20" spans="1:40" ht="12.95" customHeight="1">
      <c r="B20" s="2618" t="s">
        <v>511</v>
      </c>
      <c r="C20" s="2619"/>
      <c r="D20" s="2619"/>
      <c r="E20" s="2619"/>
      <c r="F20" s="2619"/>
      <c r="G20" s="2619"/>
      <c r="H20" s="2619"/>
      <c r="I20" s="2619"/>
      <c r="J20" s="2619"/>
      <c r="K20" s="2619"/>
      <c r="L20" s="2619"/>
      <c r="M20" s="2619"/>
      <c r="N20" s="2619"/>
      <c r="O20" s="2619"/>
      <c r="P20" s="2619"/>
      <c r="Q20" s="2619"/>
      <c r="R20" s="2619"/>
      <c r="S20" s="2620"/>
      <c r="T20" s="2611">
        <f>SUM(T13:X19)</f>
        <v>0</v>
      </c>
      <c r="U20" s="2612"/>
      <c r="V20" s="2612"/>
      <c r="W20" s="2612"/>
      <c r="X20" s="2612"/>
      <c r="Y20" s="2611">
        <f>SUM(Y13:AC19)</f>
        <v>0</v>
      </c>
      <c r="Z20" s="2612"/>
      <c r="AA20" s="2612"/>
      <c r="AB20" s="2612"/>
      <c r="AC20" s="2612"/>
      <c r="AD20" s="2613">
        <f>SUM(AD13:AH19)</f>
        <v>0</v>
      </c>
      <c r="AE20" s="2614"/>
      <c r="AF20" s="2614"/>
      <c r="AG20" s="2614"/>
      <c r="AH20" s="2611"/>
      <c r="AI20" s="2613">
        <f>SUM(AI13:AM19)</f>
        <v>0</v>
      </c>
      <c r="AJ20" s="2614"/>
      <c r="AK20" s="2614"/>
      <c r="AL20" s="2614"/>
      <c r="AM20" s="2611"/>
    </row>
    <row r="21" spans="1:40" ht="12.95" customHeight="1">
      <c r="B21" s="2618" t="s">
        <v>1372</v>
      </c>
      <c r="C21" s="2619"/>
      <c r="D21" s="2619"/>
      <c r="E21" s="2619"/>
      <c r="F21" s="2619"/>
      <c r="G21" s="2619"/>
      <c r="H21" s="2619"/>
      <c r="I21" s="2619"/>
      <c r="J21" s="2619"/>
      <c r="K21" s="2619"/>
      <c r="L21" s="2619"/>
      <c r="M21" s="2619"/>
      <c r="N21" s="2619"/>
      <c r="O21" s="2619"/>
      <c r="P21" s="2619"/>
      <c r="Q21" s="2619"/>
      <c r="R21" s="2619"/>
      <c r="S21" s="2620"/>
      <c r="T21" s="2609">
        <v>0</v>
      </c>
      <c r="U21" s="2610"/>
      <c r="V21" s="2610"/>
      <c r="W21" s="2610"/>
      <c r="X21" s="2610"/>
      <c r="Y21" s="2609"/>
      <c r="Z21" s="2610"/>
      <c r="AA21" s="2610"/>
      <c r="AB21" s="2610"/>
      <c r="AC21" s="2610"/>
      <c r="AD21" s="2606"/>
      <c r="AE21" s="2607"/>
      <c r="AF21" s="2607"/>
      <c r="AG21" s="2607"/>
      <c r="AH21" s="2608"/>
      <c r="AI21" s="2606"/>
      <c r="AJ21" s="2607"/>
      <c r="AK21" s="2607"/>
      <c r="AL21" s="2607"/>
      <c r="AM21" s="2608"/>
    </row>
    <row r="22" spans="1:40" ht="12.95" customHeight="1">
      <c r="B22" s="2618" t="s">
        <v>512</v>
      </c>
      <c r="C22" s="2619"/>
      <c r="D22" s="2619"/>
      <c r="E22" s="2619"/>
      <c r="F22" s="2619"/>
      <c r="G22" s="2619"/>
      <c r="H22" s="2619"/>
      <c r="I22" s="2619"/>
      <c r="J22" s="2619"/>
      <c r="K22" s="2619"/>
      <c r="L22" s="2619"/>
      <c r="M22" s="2619"/>
      <c r="N22" s="2619"/>
      <c r="O22" s="2619"/>
      <c r="P22" s="2619"/>
      <c r="Q22" s="2619"/>
      <c r="R22" s="2619"/>
      <c r="S22" s="2620"/>
      <c r="T22" s="2644">
        <f>(ABS(T20)+ABS(T21))*-1</f>
        <v>0</v>
      </c>
      <c r="U22" s="2645"/>
      <c r="V22" s="2645"/>
      <c r="W22" s="2645"/>
      <c r="X22" s="2645"/>
      <c r="Y22" s="2644">
        <f>(Y20+Y21)*-1</f>
        <v>0</v>
      </c>
      <c r="Z22" s="2645"/>
      <c r="AA22" s="2645"/>
      <c r="AB22" s="2645"/>
      <c r="AC22" s="2645"/>
      <c r="AD22" s="2646">
        <f>(AD20)*-1</f>
        <v>0</v>
      </c>
      <c r="AE22" s="2647"/>
      <c r="AF22" s="2647"/>
      <c r="AG22" s="2647"/>
      <c r="AH22" s="2644"/>
      <c r="AI22" s="2646">
        <f>(AI20)*-1</f>
        <v>0</v>
      </c>
      <c r="AJ22" s="2647"/>
      <c r="AK22" s="2647"/>
      <c r="AL22" s="2647"/>
      <c r="AM22" s="2644"/>
    </row>
    <row r="23" spans="1:40" ht="12.95" customHeight="1">
      <c r="B23" s="2618" t="s">
        <v>513</v>
      </c>
      <c r="C23" s="2619"/>
      <c r="D23" s="2619"/>
      <c r="E23" s="2619"/>
      <c r="F23" s="2619"/>
      <c r="G23" s="2619"/>
      <c r="H23" s="2619"/>
      <c r="I23" s="2619"/>
      <c r="J23" s="2619"/>
      <c r="K23" s="2619"/>
      <c r="L23" s="2619"/>
      <c r="M23" s="2619"/>
      <c r="N23" s="2619"/>
      <c r="O23" s="2619"/>
      <c r="P23" s="2619"/>
      <c r="Q23" s="2619"/>
      <c r="R23" s="2619"/>
      <c r="S23" s="2620"/>
      <c r="T23" s="2611">
        <f>T11+T22</f>
        <v>17731626.5</v>
      </c>
      <c r="U23" s="2612"/>
      <c r="V23" s="2612"/>
      <c r="W23" s="2612"/>
      <c r="X23" s="2612"/>
      <c r="Y23" s="2611">
        <f>Y11+Y22</f>
        <v>0</v>
      </c>
      <c r="Z23" s="2612"/>
      <c r="AA23" s="2612"/>
      <c r="AB23" s="2612"/>
      <c r="AC23" s="2612"/>
      <c r="AD23" s="2611">
        <f>AD11+AD22</f>
        <v>24495870</v>
      </c>
      <c r="AE23" s="2612"/>
      <c r="AF23" s="2612"/>
      <c r="AG23" s="2612"/>
      <c r="AH23" s="2612"/>
      <c r="AI23" s="2611">
        <f>AI11+AI22</f>
        <v>0</v>
      </c>
      <c r="AJ23" s="2612"/>
      <c r="AK23" s="2612"/>
      <c r="AL23" s="2612"/>
      <c r="AM23" s="2612"/>
    </row>
    <row r="24" spans="1:40" ht="12.95" customHeight="1">
      <c r="B24" s="2618" t="s">
        <v>981</v>
      </c>
      <c r="C24" s="2619"/>
      <c r="D24" s="2619"/>
      <c r="E24" s="2619"/>
      <c r="F24" s="2619"/>
      <c r="G24" s="2619"/>
      <c r="H24" s="2619"/>
      <c r="I24" s="2619"/>
      <c r="J24" s="2619"/>
      <c r="K24" s="2619"/>
      <c r="L24" s="2619"/>
      <c r="M24" s="2619"/>
      <c r="N24" s="2619"/>
      <c r="O24" s="2619"/>
      <c r="P24" s="2619"/>
      <c r="Q24" s="2619"/>
      <c r="R24" s="2619"/>
      <c r="S24" s="2620"/>
      <c r="T24" s="2613">
        <f>Application!AJ1052</f>
        <v>68645079.599999994</v>
      </c>
      <c r="U24" s="2614"/>
      <c r="V24" s="2614"/>
      <c r="W24" s="2614"/>
      <c r="X24" s="2614"/>
      <c r="Y24" s="2614"/>
      <c r="Z24" s="2614"/>
      <c r="AA24" s="2614"/>
      <c r="AB24" s="2614"/>
      <c r="AC24" s="2614"/>
      <c r="AD24" s="2614"/>
      <c r="AE24" s="2614"/>
      <c r="AF24" s="2614"/>
      <c r="AG24" s="2614"/>
      <c r="AH24" s="2614"/>
      <c r="AI24" s="2614"/>
      <c r="AJ24" s="2614"/>
      <c r="AK24" s="2614"/>
      <c r="AL24" s="2614"/>
      <c r="AM24" s="2611"/>
    </row>
    <row r="25" spans="1:40" ht="12.95" customHeight="1">
      <c r="B25" s="2622" t="s">
        <v>1373</v>
      </c>
      <c r="C25" s="2623"/>
      <c r="D25" s="2623"/>
      <c r="E25" s="2623"/>
      <c r="F25" s="2623"/>
      <c r="G25" s="2623"/>
      <c r="H25" s="2623"/>
      <c r="I25" s="2623"/>
      <c r="J25" s="2623"/>
      <c r="K25" s="2623"/>
      <c r="L25" s="2623"/>
      <c r="M25" s="2623"/>
      <c r="N25" s="2623"/>
      <c r="O25" s="2623"/>
      <c r="P25" s="2623"/>
      <c r="Q25" s="2623"/>
      <c r="R25" s="2623"/>
      <c r="S25" s="2624"/>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8" t="s">
        <v>514</v>
      </c>
      <c r="C26" s="2619"/>
      <c r="D26" s="2619"/>
      <c r="E26" s="2619"/>
      <c r="F26" s="2619"/>
      <c r="G26" s="2619"/>
      <c r="H26" s="2619"/>
      <c r="I26" s="2619"/>
      <c r="J26" s="2619"/>
      <c r="K26" s="2619"/>
      <c r="L26" s="2619"/>
      <c r="M26" s="2619"/>
      <c r="N26" s="2619"/>
      <c r="O26" s="2619"/>
      <c r="P26" s="2619"/>
      <c r="Q26" s="2619"/>
      <c r="R26" s="2619"/>
      <c r="S26" s="2620"/>
      <c r="T26" s="2611">
        <f>T23*T25</f>
        <v>23051114.449999999</v>
      </c>
      <c r="U26" s="2612"/>
      <c r="V26" s="2612"/>
      <c r="W26" s="2612"/>
      <c r="X26" s="2612"/>
      <c r="Y26" s="2611">
        <f>Y23*Y25</f>
        <v>0</v>
      </c>
      <c r="Z26" s="2612"/>
      <c r="AA26" s="2612"/>
      <c r="AB26" s="2612"/>
      <c r="AC26" s="2612"/>
      <c r="AD26" s="2611">
        <f>AD23*AD25</f>
        <v>24495870</v>
      </c>
      <c r="AE26" s="2612"/>
      <c r="AF26" s="2612"/>
      <c r="AG26" s="2612"/>
      <c r="AH26" s="2612"/>
      <c r="AI26" s="2611">
        <f>AI23*AI25</f>
        <v>0</v>
      </c>
      <c r="AJ26" s="2612"/>
      <c r="AK26" s="2612"/>
      <c r="AL26" s="2612"/>
      <c r="AM26" s="2612"/>
    </row>
    <row r="27" spans="1:40" ht="12.95" customHeight="1">
      <c r="A27" s="441"/>
      <c r="B27" s="2625" t="s">
        <v>427</v>
      </c>
      <c r="C27" s="2626"/>
      <c r="D27" s="2626"/>
      <c r="E27" s="2626"/>
      <c r="F27" s="2626"/>
      <c r="G27" s="2626"/>
      <c r="H27" s="2626"/>
      <c r="I27" s="2626"/>
      <c r="J27" s="2626"/>
      <c r="K27" s="2626"/>
      <c r="L27" s="2626"/>
      <c r="M27" s="2626"/>
      <c r="N27" s="2626"/>
      <c r="O27" s="2626"/>
      <c r="P27" s="2626"/>
      <c r="Q27" s="2626"/>
      <c r="R27" s="2626"/>
      <c r="S27" s="2627"/>
      <c r="T27" s="2631">
        <f>Application!$AG$445</f>
        <v>1</v>
      </c>
      <c r="U27" s="2632"/>
      <c r="V27" s="2632"/>
      <c r="W27" s="2632"/>
      <c r="X27" s="2632"/>
      <c r="Y27" s="2631">
        <f>Application!$AG$445</f>
        <v>1</v>
      </c>
      <c r="Z27" s="2632"/>
      <c r="AA27" s="2632"/>
      <c r="AB27" s="2632"/>
      <c r="AC27" s="2632"/>
      <c r="AD27" s="2631">
        <f>Application!$AG$445</f>
        <v>1</v>
      </c>
      <c r="AE27" s="2632"/>
      <c r="AF27" s="2632"/>
      <c r="AG27" s="2632"/>
      <c r="AH27" s="2632"/>
      <c r="AI27" s="2631">
        <f>Application!$AG$445</f>
        <v>1</v>
      </c>
      <c r="AJ27" s="2632"/>
      <c r="AK27" s="2632"/>
      <c r="AL27" s="2632"/>
      <c r="AM27" s="2632"/>
    </row>
    <row r="28" spans="1:40" ht="12.95" customHeight="1">
      <c r="A28" s="435"/>
      <c r="B28" s="2618" t="s">
        <v>515</v>
      </c>
      <c r="C28" s="2619"/>
      <c r="D28" s="2619"/>
      <c r="E28" s="2619"/>
      <c r="F28" s="2619"/>
      <c r="G28" s="2619"/>
      <c r="H28" s="2619"/>
      <c r="I28" s="2619"/>
      <c r="J28" s="2619"/>
      <c r="K28" s="2619"/>
      <c r="L28" s="2619"/>
      <c r="M28" s="2619"/>
      <c r="N28" s="2619"/>
      <c r="O28" s="2619"/>
      <c r="P28" s="2619"/>
      <c r="Q28" s="2619"/>
      <c r="R28" s="2619"/>
      <c r="S28" s="2620"/>
      <c r="T28" s="2611">
        <f>IF(ISERROR((T26*T27)),0,(T26*T27))</f>
        <v>23051114.449999999</v>
      </c>
      <c r="U28" s="2612"/>
      <c r="V28" s="2612"/>
      <c r="W28" s="2612"/>
      <c r="X28" s="2612"/>
      <c r="Y28" s="2611">
        <f>IF(ISERROR((Y26*Y27)),0,(Y26*Y27))</f>
        <v>0</v>
      </c>
      <c r="Z28" s="2612"/>
      <c r="AA28" s="2612"/>
      <c r="AB28" s="2612"/>
      <c r="AC28" s="2612"/>
      <c r="AD28" s="2611">
        <f>IF(ISERROR((AD26*AD27)),0,(AD26*AD27))</f>
        <v>24495870</v>
      </c>
      <c r="AE28" s="2612"/>
      <c r="AF28" s="2612"/>
      <c r="AG28" s="2612"/>
      <c r="AH28" s="2612"/>
      <c r="AI28" s="2611">
        <f>IF(ISERROR((AI26*AI27)),0,(AI26*AI27))</f>
        <v>0</v>
      </c>
      <c r="AJ28" s="2612"/>
      <c r="AK28" s="2612"/>
      <c r="AL28" s="2612"/>
      <c r="AM28" s="2612"/>
    </row>
    <row r="29" spans="1:40" ht="12.95" customHeight="1">
      <c r="B29" s="2618" t="s">
        <v>532</v>
      </c>
      <c r="C29" s="2619"/>
      <c r="D29" s="2619"/>
      <c r="E29" s="2619"/>
      <c r="F29" s="2619"/>
      <c r="G29" s="2619"/>
      <c r="H29" s="2619"/>
      <c r="I29" s="2619"/>
      <c r="J29" s="2619"/>
      <c r="K29" s="2619"/>
      <c r="L29" s="2619"/>
      <c r="M29" s="2619"/>
      <c r="N29" s="2619"/>
      <c r="O29" s="2619"/>
      <c r="P29" s="2619"/>
      <c r="Q29" s="2619"/>
      <c r="R29" s="2619"/>
      <c r="S29" s="2620"/>
      <c r="T29" s="2613">
        <f>T28+Y28+AD28+AI28</f>
        <v>47546984.450000003</v>
      </c>
      <c r="U29" s="2614"/>
      <c r="V29" s="2614"/>
      <c r="W29" s="2614"/>
      <c r="X29" s="2614"/>
      <c r="Y29" s="2614"/>
      <c r="Z29" s="2614"/>
      <c r="AA29" s="2614"/>
      <c r="AB29" s="2614"/>
      <c r="AC29" s="2614"/>
      <c r="AD29" s="2614"/>
      <c r="AE29" s="2614"/>
      <c r="AF29" s="2614"/>
      <c r="AG29" s="2614"/>
      <c r="AH29" s="2614"/>
      <c r="AI29" s="2614"/>
      <c r="AJ29" s="2614"/>
      <c r="AK29" s="2614"/>
      <c r="AL29" s="2614"/>
      <c r="AM29" s="2611"/>
    </row>
    <row r="30" spans="1:40" ht="12.95" customHeight="1">
      <c r="B30" s="2621" t="s">
        <v>1375</v>
      </c>
      <c r="C30" s="2621"/>
      <c r="D30" s="2621"/>
      <c r="E30" s="2621"/>
      <c r="F30" s="2621"/>
      <c r="G30" s="2621"/>
      <c r="H30" s="2621"/>
      <c r="I30" s="2621"/>
      <c r="J30" s="2621"/>
      <c r="K30" s="2621"/>
      <c r="L30" s="2621"/>
      <c r="M30" s="2621"/>
      <c r="N30" s="2621"/>
      <c r="O30" s="2621"/>
      <c r="P30" s="2621"/>
      <c r="Q30" s="2621"/>
      <c r="R30" s="2621"/>
      <c r="S30" s="2621"/>
      <c r="T30" s="2621"/>
      <c r="U30" s="2621"/>
      <c r="V30" s="2621"/>
      <c r="W30" s="2621"/>
      <c r="X30" s="2621"/>
      <c r="Y30" s="2621"/>
      <c r="Z30" s="2621"/>
      <c r="AA30" s="2621"/>
      <c r="AB30" s="2621"/>
      <c r="AC30" s="2621"/>
      <c r="AD30" s="2621"/>
      <c r="AE30" s="2621"/>
      <c r="AF30" s="2621"/>
      <c r="AG30" s="2621"/>
      <c r="AH30" s="2621"/>
      <c r="AI30" s="2621"/>
      <c r="AJ30" s="2621"/>
      <c r="AK30" s="2621"/>
      <c r="AL30" s="2621"/>
      <c r="AM30" s="2621"/>
    </row>
    <row r="31" spans="1:40" ht="12.95" customHeight="1">
      <c r="B31" s="2621" t="s">
        <v>1374</v>
      </c>
      <c r="C31" s="2621"/>
      <c r="D31" s="2621"/>
      <c r="E31" s="2621"/>
      <c r="F31" s="2621"/>
      <c r="G31" s="2621"/>
      <c r="H31" s="2621"/>
      <c r="I31" s="2621"/>
      <c r="J31" s="2621"/>
      <c r="K31" s="2621"/>
      <c r="L31" s="2621"/>
      <c r="M31" s="2621"/>
      <c r="N31" s="2621"/>
      <c r="O31" s="2621"/>
      <c r="P31" s="2621"/>
      <c r="Q31" s="2621"/>
      <c r="R31" s="2621"/>
      <c r="S31" s="2621"/>
      <c r="T31" s="2621"/>
      <c r="U31" s="2621"/>
      <c r="V31" s="2621"/>
      <c r="W31" s="2621"/>
      <c r="X31" s="2621"/>
      <c r="Y31" s="2621"/>
      <c r="Z31" s="2621"/>
      <c r="AA31" s="2621"/>
      <c r="AB31" s="2621"/>
      <c r="AC31" s="2621"/>
      <c r="AD31" s="2621"/>
      <c r="AE31" s="2621"/>
      <c r="AF31" s="2621"/>
      <c r="AG31" s="2621"/>
      <c r="AH31" s="2621"/>
      <c r="AI31" s="2621"/>
      <c r="AJ31" s="2621"/>
      <c r="AK31" s="2621"/>
      <c r="AL31" s="2621"/>
      <c r="AM31" s="2621"/>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1257</v>
      </c>
      <c r="Z35" s="2639"/>
      <c r="AA35" s="2639"/>
      <c r="AB35" s="2639"/>
      <c r="AC35" s="2639"/>
      <c r="AD35" s="2662" t="s">
        <v>370</v>
      </c>
      <c r="AE35" s="2662"/>
      <c r="AF35" s="2662"/>
      <c r="AG35" s="2662"/>
      <c r="AH35" s="2662"/>
    </row>
    <row r="36" spans="1:76" ht="12.95" customHeight="1">
      <c r="B36" s="438"/>
      <c r="X36" s="443"/>
      <c r="Y36" s="2639"/>
      <c r="Z36" s="2639"/>
      <c r="AA36" s="2639"/>
      <c r="AB36" s="2639"/>
      <c r="AC36" s="2639"/>
      <c r="AD36" s="2662"/>
      <c r="AE36" s="2662"/>
      <c r="AF36" s="2662"/>
      <c r="AG36" s="2662"/>
      <c r="AH36" s="2662"/>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62"/>
      <c r="AE37" s="2662"/>
      <c r="AF37" s="2662"/>
      <c r="AG37" s="2662"/>
      <c r="AH37" s="2662"/>
    </row>
    <row r="38" spans="1:76" ht="12.95" customHeight="1">
      <c r="A38" s="435"/>
      <c r="B38" s="2618" t="s">
        <v>515</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23051114.449999999</v>
      </c>
      <c r="Z38" s="2612"/>
      <c r="AA38" s="2612"/>
      <c r="AB38" s="2612"/>
      <c r="AC38" s="2612"/>
      <c r="AD38" s="2612">
        <f>IF(T24&gt;=(T23+Y23+AD23+AI23),AD28+AI28,0)</f>
        <v>24495870</v>
      </c>
      <c r="AE38" s="2612"/>
      <c r="AF38" s="2612"/>
      <c r="AG38" s="2612"/>
      <c r="AH38" s="2612"/>
    </row>
    <row r="39" spans="1:76" ht="12.95" customHeight="1">
      <c r="B39" s="2618" t="s">
        <v>1880</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63">
        <v>0.04</v>
      </c>
      <c r="Z39" s="2663"/>
      <c r="AA39" s="2663"/>
      <c r="AB39" s="2663"/>
      <c r="AC39" s="2663"/>
      <c r="AD39" s="2663">
        <v>0.04</v>
      </c>
      <c r="AE39" s="2663"/>
      <c r="AF39" s="2663"/>
      <c r="AG39" s="2663"/>
      <c r="AH39" s="2663"/>
    </row>
    <row r="40" spans="1:76" ht="12.95" customHeight="1">
      <c r="A40" s="435"/>
      <c r="B40" s="2618" t="s">
        <v>651</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922045</v>
      </c>
      <c r="Z40" s="2612"/>
      <c r="AA40" s="2612"/>
      <c r="AB40" s="2612"/>
      <c r="AC40" s="2612"/>
      <c r="AD40" s="2611">
        <f>ROUND(AD38*AD39,0)</f>
        <v>979835</v>
      </c>
      <c r="AE40" s="2612"/>
      <c r="AF40" s="2612"/>
      <c r="AG40" s="2612"/>
      <c r="AH40" s="2612"/>
    </row>
    <row r="41" spans="1:76" ht="12.95" customHeight="1">
      <c r="B41" s="2618" t="s">
        <v>652</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13">
        <f>Y40+AD40</f>
        <v>1901880</v>
      </c>
      <c r="Z41" s="2614"/>
      <c r="AA41" s="2614"/>
      <c r="AB41" s="2614"/>
      <c r="AC41" s="2614"/>
      <c r="AD41" s="2614"/>
      <c r="AE41" s="2614"/>
      <c r="AF41" s="2614"/>
      <c r="AG41" s="2614"/>
      <c r="AH41" s="2611"/>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6" t="s">
        <v>1385</v>
      </c>
      <c r="B44" s="2616"/>
      <c r="C44" s="2616"/>
      <c r="D44" s="2616"/>
      <c r="E44" s="2616"/>
      <c r="F44" s="2616"/>
      <c r="G44" s="2616"/>
      <c r="H44" s="2616"/>
      <c r="I44" s="2616"/>
      <c r="J44" s="2616"/>
      <c r="K44" s="2616"/>
      <c r="L44" s="2616"/>
      <c r="M44" s="2616"/>
      <c r="N44" s="2616"/>
      <c r="O44" s="2616"/>
      <c r="P44" s="2616"/>
      <c r="Q44" s="2616"/>
      <c r="R44" s="2616"/>
      <c r="S44" s="2616"/>
      <c r="T44" s="2616"/>
      <c r="U44" s="2616"/>
      <c r="V44" s="2616"/>
      <c r="W44" s="2616"/>
      <c r="X44" s="2616"/>
      <c r="Y44" s="2616"/>
      <c r="Z44" s="2616"/>
      <c r="AA44" s="2616"/>
      <c r="AB44" s="2616"/>
      <c r="AC44" s="2616"/>
      <c r="AD44" s="2616"/>
      <c r="AE44" s="2616"/>
      <c r="AF44" s="2616"/>
      <c r="AG44" s="2616"/>
      <c r="AH44" s="2616"/>
      <c r="AI44" s="2616"/>
      <c r="AJ44" s="2616"/>
      <c r="AK44" s="2616"/>
      <c r="AL44" s="2616"/>
      <c r="AM44" s="2616"/>
      <c r="AN44" s="2616"/>
      <c r="AO44" s="2616"/>
      <c r="AP44" s="2616"/>
      <c r="AQ44" s="2616"/>
      <c r="AR44" s="2616"/>
      <c r="AS44" s="2616"/>
      <c r="AT44" s="2616"/>
      <c r="AU44" s="2616"/>
      <c r="AV44" s="2616"/>
      <c r="AW44" s="2616"/>
      <c r="AX44" s="2616"/>
      <c r="AY44" s="2616"/>
      <c r="AZ44" s="2616"/>
      <c r="BA44" s="2616"/>
      <c r="BB44" s="2616"/>
      <c r="BC44" s="2616"/>
      <c r="BD44" s="2616"/>
      <c r="BE44" s="2616"/>
      <c r="BF44" s="2616"/>
      <c r="BG44" s="2616"/>
      <c r="BH44" s="2616"/>
      <c r="BI44" s="2616"/>
      <c r="BJ44" s="2616"/>
      <c r="BK44" s="2616"/>
      <c r="BL44" s="2616"/>
      <c r="BM44" s="2616"/>
      <c r="BN44" s="2616"/>
      <c r="BO44" s="2616"/>
      <c r="BP44" s="2616"/>
      <c r="BQ44" s="2616"/>
      <c r="BR44" s="2616"/>
      <c r="BS44" s="2616"/>
      <c r="BT44" s="2616"/>
      <c r="BU44" s="2616"/>
      <c r="BV44" s="2616"/>
      <c r="BW44" s="2616"/>
      <c r="BX44" s="2616"/>
    </row>
    <row r="45" spans="1:76" s="218" customFormat="1" ht="12.95" customHeight="1" thickTop="1"/>
    <row r="46" spans="1:76" ht="12.95" customHeight="1">
      <c r="A46" s="435" t="s">
        <v>595</v>
      </c>
      <c r="C46" s="435" t="s">
        <v>283</v>
      </c>
    </row>
    <row r="47" spans="1:76" ht="12.95" customHeight="1">
      <c r="D47" s="435" t="s">
        <v>284</v>
      </c>
      <c r="AB47" s="2628">
        <f>'Sources and Uses Budget'!B105-MAX(IF('Sources and Uses Budget'!B15="",0,'Sources and Uses Budget'!B15),IF(Application!AG394="",0,Application!AG394))</f>
        <v>46936060</v>
      </c>
      <c r="AC47" s="2629"/>
      <c r="AD47" s="2629"/>
      <c r="AE47" s="2629"/>
      <c r="AF47" s="2630"/>
    </row>
    <row r="48" spans="1:76" ht="12.95" customHeight="1">
      <c r="D48" s="435" t="s">
        <v>21</v>
      </c>
      <c r="AB48" s="2628">
        <f>Application!AO639-MAX(IF('Sources and Uses Budget'!B15="",0,'Sources and Uses Budget'!B15),IF(Application!AG394="",0,Application!AG394))</f>
        <v>30011030</v>
      </c>
      <c r="AC48" s="2629"/>
      <c r="AD48" s="2629"/>
      <c r="AE48" s="2629"/>
      <c r="AF48" s="2630"/>
    </row>
    <row r="49" spans="1:76" ht="12.95" customHeight="1">
      <c r="D49" s="435" t="s">
        <v>91</v>
      </c>
      <c r="AB49" s="2628">
        <f>AB47-AB48</f>
        <v>16925030</v>
      </c>
      <c r="AC49" s="2629"/>
      <c r="AD49" s="2629"/>
      <c r="AE49" s="2629"/>
      <c r="AF49" s="2630"/>
    </row>
    <row r="50" spans="1:76" ht="12.95" customHeight="1">
      <c r="D50" s="435" t="s">
        <v>690</v>
      </c>
      <c r="AA50" s="446"/>
      <c r="AB50" s="2655">
        <f>16925030/19018790</f>
        <v>0.88991097751223924</v>
      </c>
      <c r="AC50" s="2656"/>
      <c r="AD50" s="2656"/>
      <c r="AE50" s="2656"/>
      <c r="AF50" s="2657"/>
    </row>
    <row r="51" spans="1:76" s="448" customFormat="1" ht="12.95" customHeight="1">
      <c r="A51" s="433"/>
      <c r="B51" s="433"/>
      <c r="C51" s="433"/>
      <c r="D51" s="433"/>
      <c r="E51" s="2658" t="s">
        <v>2040</v>
      </c>
      <c r="F51" s="2658"/>
      <c r="G51" s="2658"/>
      <c r="H51" s="2658"/>
      <c r="I51" s="2658"/>
      <c r="J51" s="2658"/>
      <c r="K51" s="2658"/>
      <c r="L51" s="2658"/>
      <c r="M51" s="2658"/>
      <c r="N51" s="2658"/>
      <c r="O51" s="2658"/>
      <c r="P51" s="2658"/>
      <c r="Q51" s="2658"/>
      <c r="R51" s="2658"/>
      <c r="S51" s="2658"/>
      <c r="T51" s="2658"/>
      <c r="U51" s="2658"/>
      <c r="V51" s="2658"/>
      <c r="W51" s="2658"/>
      <c r="X51" s="2658"/>
      <c r="Y51" s="2658"/>
      <c r="Z51" s="265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8"/>
      <c r="F52" s="2658"/>
      <c r="G52" s="2658"/>
      <c r="H52" s="2658"/>
      <c r="I52" s="2658"/>
      <c r="J52" s="2658"/>
      <c r="K52" s="2658"/>
      <c r="L52" s="2658"/>
      <c r="M52" s="2658"/>
      <c r="N52" s="2658"/>
      <c r="O52" s="2658"/>
      <c r="P52" s="2658"/>
      <c r="Q52" s="2658"/>
      <c r="R52" s="2658"/>
      <c r="S52" s="2658"/>
      <c r="T52" s="2658"/>
      <c r="U52" s="2658"/>
      <c r="V52" s="2658"/>
      <c r="W52" s="2658"/>
      <c r="X52" s="2658"/>
      <c r="Y52" s="2658"/>
      <c r="Z52" s="265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8">
        <f>ROUND(IF(ISERROR((AB49/AB50)),0,(AB49/AB50)),0)</f>
        <v>19018790</v>
      </c>
      <c r="AC54" s="2629"/>
      <c r="AD54" s="2629"/>
      <c r="AE54" s="2629"/>
      <c r="AF54" s="2630"/>
    </row>
    <row r="55" spans="1:76" ht="12.95" customHeight="1">
      <c r="D55" s="435" t="s">
        <v>334</v>
      </c>
      <c r="AB55" s="2628">
        <f>(AB54/10)</f>
        <v>1901879</v>
      </c>
      <c r="AC55" s="2629"/>
      <c r="AD55" s="2629"/>
      <c r="AE55" s="2629"/>
      <c r="AF55" s="2630"/>
    </row>
    <row r="56" spans="1:76" ht="12.95" customHeight="1">
      <c r="D56" s="435" t="s">
        <v>766</v>
      </c>
      <c r="AB56" s="2659">
        <f>(IF((Y41&lt;AB55),Y41,AB55))</f>
        <v>1901879</v>
      </c>
      <c r="AC56" s="2660"/>
      <c r="AD56" s="2660"/>
      <c r="AE56" s="2660"/>
      <c r="AF56" s="2661"/>
    </row>
    <row r="57" spans="1:76" ht="12.95" customHeight="1">
      <c r="D57" s="435" t="s">
        <v>765</v>
      </c>
      <c r="AB57" s="2628">
        <f>ROUND((10*AB56*AB50),0)</f>
        <v>16925030</v>
      </c>
      <c r="AC57" s="2629"/>
      <c r="AD57" s="2629"/>
      <c r="AE57" s="2629"/>
      <c r="AF57" s="2630"/>
    </row>
    <row r="58" spans="1:76" ht="12.95" customHeight="1">
      <c r="D58" s="435"/>
      <c r="AB58" s="454"/>
      <c r="AC58" s="454"/>
      <c r="AD58" s="454"/>
      <c r="AE58" s="454"/>
      <c r="AF58" s="454"/>
    </row>
    <row r="59" spans="1:76" ht="12.95" customHeight="1">
      <c r="D59" s="435" t="s">
        <v>764</v>
      </c>
      <c r="AB59" s="2651">
        <f>AB49-AB57</f>
        <v>0</v>
      </c>
      <c r="AC59" s="2651"/>
      <c r="AD59" s="2651"/>
      <c r="AE59" s="2651"/>
      <c r="AF59" s="2651"/>
    </row>
    <row r="60" spans="1:76" ht="12.95" customHeight="1">
      <c r="D60" s="435"/>
      <c r="AB60" s="454"/>
      <c r="AC60" s="454"/>
      <c r="AD60" s="454"/>
      <c r="AE60" s="454"/>
      <c r="AF60" s="454"/>
    </row>
    <row r="61" spans="1:76" s="218" customFormat="1" ht="12.95" customHeight="1" thickBot="1">
      <c r="A61" s="2616" t="str">
        <f>IF(Application!AP205="yes","Farmworker State Credit", "State Credit" )</f>
        <v>State Credit</v>
      </c>
      <c r="B61" s="2616"/>
      <c r="C61" s="2616"/>
      <c r="D61" s="2616"/>
      <c r="E61" s="2616"/>
      <c r="F61" s="2616"/>
      <c r="G61" s="2616"/>
      <c r="H61" s="2616"/>
      <c r="I61" s="2616"/>
      <c r="J61" s="2616"/>
      <c r="K61" s="2616"/>
      <c r="L61" s="2616"/>
      <c r="M61" s="2616"/>
      <c r="N61" s="2616"/>
      <c r="O61" s="2616"/>
      <c r="P61" s="2616"/>
      <c r="Q61" s="2616"/>
      <c r="R61" s="2616"/>
      <c r="S61" s="2616"/>
      <c r="T61" s="2616"/>
      <c r="U61" s="2616"/>
      <c r="V61" s="2616"/>
      <c r="W61" s="2616"/>
      <c r="X61" s="2616"/>
      <c r="Y61" s="2616"/>
      <c r="Z61" s="2616"/>
      <c r="AA61" s="2616"/>
      <c r="AB61" s="2616"/>
      <c r="AC61" s="2616"/>
      <c r="AD61" s="2616"/>
      <c r="AE61" s="2616"/>
      <c r="AF61" s="2616"/>
      <c r="AG61" s="2616"/>
      <c r="AH61" s="2616"/>
      <c r="AI61" s="2616"/>
      <c r="AJ61" s="2616"/>
      <c r="AK61" s="2616"/>
      <c r="AL61" s="2616"/>
      <c r="AM61" s="2616"/>
      <c r="AN61" s="2616"/>
      <c r="AO61" s="2616"/>
      <c r="AP61" s="2616"/>
      <c r="AQ61" s="2616"/>
      <c r="AR61" s="2616"/>
      <c r="AS61" s="2616"/>
      <c r="AT61" s="2616"/>
      <c r="AU61" s="2616"/>
      <c r="AV61" s="2616"/>
      <c r="AW61" s="2616"/>
      <c r="AX61" s="2616"/>
      <c r="AY61" s="2616"/>
      <c r="AZ61" s="2616"/>
      <c r="BA61" s="2616"/>
      <c r="BB61" s="2616"/>
      <c r="BC61" s="2616"/>
      <c r="BD61" s="2616"/>
      <c r="BE61" s="2616"/>
      <c r="BF61" s="2616"/>
      <c r="BG61" s="2616"/>
      <c r="BH61" s="2616"/>
      <c r="BI61" s="2616"/>
      <c r="BJ61" s="2616"/>
      <c r="BK61" s="2616"/>
      <c r="BL61" s="2616"/>
      <c r="BM61" s="2616"/>
      <c r="BN61" s="2616"/>
      <c r="BO61" s="2616"/>
      <c r="BP61" s="2616"/>
      <c r="BQ61" s="2616"/>
      <c r="BR61" s="2616"/>
      <c r="BS61" s="2616"/>
      <c r="BT61" s="2616"/>
      <c r="BU61" s="2616"/>
      <c r="BV61" s="2616"/>
      <c r="BW61" s="2616"/>
      <c r="BX61" s="2616"/>
    </row>
    <row r="62" spans="1:76" s="218" customFormat="1" ht="12.95" customHeight="1" thickTop="1"/>
    <row r="63" spans="1:76" ht="12.95" customHeight="1">
      <c r="A63" s="435" t="s">
        <v>598</v>
      </c>
      <c r="C63" s="219" t="s">
        <v>1357</v>
      </c>
      <c r="Y63" s="2652" t="s">
        <v>1004</v>
      </c>
      <c r="Z63" s="2652"/>
      <c r="AA63" s="2652"/>
      <c r="AB63" s="2652"/>
      <c r="AC63" s="2652"/>
      <c r="AD63" s="2652" t="s">
        <v>370</v>
      </c>
      <c r="AE63" s="2652"/>
      <c r="AF63" s="2652"/>
      <c r="AG63" s="2652"/>
      <c r="AH63" s="2652"/>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3">
        <f>IF(Application!$Z$205="(select)",0,((T23*T27)+Y28))</f>
        <v>17731626.5</v>
      </c>
      <c r="Z64" s="2653"/>
      <c r="AA64" s="2653"/>
      <c r="AB64" s="2653"/>
      <c r="AC64" s="2654"/>
      <c r="AD64" s="2613">
        <f>IF(AND(OR(Application!D211="At-Risk",Application!D211="At-Risk and Special Needs"),Application!M358="yes"),AD28+AI28,0)</f>
        <v>0</v>
      </c>
      <c r="AE64" s="2653"/>
      <c r="AF64" s="2653"/>
      <c r="AG64" s="2653"/>
      <c r="AH64" s="2654"/>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9">
        <f>IF(OR(Application!Z205="State Farmworker Credit",Application!Z205="$500M (Farmworker Housing)"),0.75,IF(Application!Z205="15% set-aside",0.13,IF(Application!Z205="15% set-aside with qualifying low value rehab",0.95,0.3)))</f>
        <v>0.3</v>
      </c>
      <c r="Z67" s="2669"/>
      <c r="AA67" s="2669"/>
      <c r="AB67" s="2669"/>
      <c r="AC67" s="2669"/>
      <c r="AD67" s="2669">
        <f>IF(Application!Z205="15% set-aside with qualifying low value rehab", 0.95,0.13)</f>
        <v>0.13</v>
      </c>
      <c r="AE67" s="2669"/>
      <c r="AF67" s="2669"/>
      <c r="AG67" s="2669"/>
      <c r="AH67" s="2669"/>
    </row>
    <row r="68" spans="1:36" ht="12.95" customHeight="1">
      <c r="C68" s="435"/>
      <c r="D68" s="219" t="s">
        <v>2636</v>
      </c>
      <c r="Y68" s="2612">
        <f>ROUND(Y64*Y67,0)</f>
        <v>5319488</v>
      </c>
      <c r="Z68" s="2670"/>
      <c r="AA68" s="2670"/>
      <c r="AB68" s="2670"/>
      <c r="AC68" s="2670"/>
      <c r="AD68" s="2612">
        <f>ROUND(AD64*AD67,0)</f>
        <v>0</v>
      </c>
      <c r="AE68" s="2670"/>
      <c r="AF68" s="2670"/>
      <c r="AG68" s="2670"/>
      <c r="AH68" s="2670"/>
    </row>
    <row r="69" spans="1:36" ht="12.95" customHeight="1">
      <c r="C69" s="435"/>
      <c r="D69" s="219" t="s">
        <v>2637</v>
      </c>
      <c r="Y69" s="2612">
        <f>IF(OR(Application!Z205="State Farmworker Credit",Application!Z205="$500M (Farmworker Housing)"),Y68+AD68,MIN(Y68+AD68,200000*(Application!G753+Application!O777)))</f>
        <v>5319488</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55"/>
      <c r="AC72" s="2656"/>
      <c r="AD72" s="2656"/>
      <c r="AE72" s="2656"/>
      <c r="AF72" s="2657"/>
    </row>
    <row r="73" spans="1:36" ht="12.95" customHeight="1">
      <c r="A73" s="435"/>
      <c r="C73" s="435"/>
      <c r="D73" s="435"/>
      <c r="E73" s="2671" t="s">
        <v>1360</v>
      </c>
      <c r="F73" s="2671"/>
      <c r="G73" s="2671"/>
      <c r="H73" s="2671"/>
      <c r="I73" s="2671"/>
      <c r="J73" s="2671"/>
      <c r="K73" s="2671"/>
      <c r="L73" s="2671"/>
      <c r="M73" s="2671"/>
      <c r="N73" s="2671"/>
      <c r="O73" s="2671"/>
      <c r="P73" s="2671"/>
      <c r="Q73" s="2671"/>
      <c r="R73" s="2671"/>
      <c r="S73" s="2671"/>
      <c r="T73" s="2671"/>
      <c r="U73" s="2671"/>
      <c r="V73" s="2671"/>
      <c r="W73" s="2671"/>
      <c r="X73" s="2671"/>
      <c r="Y73" s="2671"/>
      <c r="Z73" s="2671"/>
      <c r="AA73" s="2671"/>
      <c r="AB73" s="471"/>
      <c r="AC73" s="471"/>
    </row>
    <row r="74" spans="1:36" ht="12.95" customHeight="1">
      <c r="A74" s="435"/>
      <c r="C74" s="435"/>
      <c r="D74" s="435"/>
      <c r="E74" s="2671"/>
      <c r="F74" s="2671"/>
      <c r="G74" s="2671"/>
      <c r="H74" s="2671"/>
      <c r="I74" s="2671"/>
      <c r="J74" s="2671"/>
      <c r="K74" s="2671"/>
      <c r="L74" s="2671"/>
      <c r="M74" s="2671"/>
      <c r="N74" s="2671"/>
      <c r="O74" s="2671"/>
      <c r="P74" s="2671"/>
      <c r="Q74" s="2671"/>
      <c r="R74" s="2671"/>
      <c r="S74" s="2671"/>
      <c r="T74" s="2671"/>
      <c r="U74" s="2671"/>
      <c r="V74" s="2671"/>
      <c r="W74" s="2671"/>
      <c r="X74" s="2671"/>
      <c r="Y74" s="2671"/>
      <c r="Z74" s="2671"/>
      <c r="AA74" s="2671"/>
      <c r="AB74" s="471"/>
      <c r="AC74" s="471"/>
    </row>
    <row r="75" spans="1:36" ht="12.95" customHeight="1">
      <c r="A75" s="435"/>
      <c r="C75" s="435"/>
      <c r="D75" s="435"/>
      <c r="E75" s="2671"/>
      <c r="F75" s="2671"/>
      <c r="G75" s="2671"/>
      <c r="H75" s="2671"/>
      <c r="I75" s="2671"/>
      <c r="J75" s="2671"/>
      <c r="K75" s="2671"/>
      <c r="L75" s="2671"/>
      <c r="M75" s="2671"/>
      <c r="N75" s="2671"/>
      <c r="O75" s="2671"/>
      <c r="P75" s="2671"/>
      <c r="Q75" s="2671"/>
      <c r="R75" s="2671"/>
      <c r="S75" s="2671"/>
      <c r="T75" s="2671"/>
      <c r="U75" s="2671"/>
      <c r="V75" s="2671"/>
      <c r="W75" s="2671"/>
      <c r="X75" s="2671"/>
      <c r="Y75" s="2671"/>
      <c r="Z75" s="2671"/>
      <c r="AA75" s="2671"/>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64">
        <f>ROUND(IF(ISERROR((AB59/AB72)),0,(AB59/AB72)),0)</f>
        <v>0</v>
      </c>
      <c r="AC77" s="2664"/>
      <c r="AD77" s="2664"/>
      <c r="AE77" s="2664"/>
      <c r="AF77" s="2664"/>
    </row>
    <row r="78" spans="1:36" ht="12.95" customHeight="1">
      <c r="C78" s="435"/>
      <c r="D78" s="219" t="s">
        <v>1362</v>
      </c>
      <c r="AB78" s="2665">
        <f>MIN(Y69,AB77)</f>
        <v>0</v>
      </c>
      <c r="AC78" s="2666"/>
      <c r="AD78" s="2666"/>
      <c r="AE78" s="2666"/>
      <c r="AF78" s="2667"/>
    </row>
    <row r="79" spans="1:36" ht="12.95" customHeight="1">
      <c r="C79" s="435"/>
      <c r="D79" s="219" t="s">
        <v>1363</v>
      </c>
      <c r="AB79" s="2668">
        <f>AB78*AB72</f>
        <v>0</v>
      </c>
      <c r="AC79" s="2668"/>
      <c r="AD79" s="2668"/>
      <c r="AE79" s="2668"/>
      <c r="AF79" s="2668"/>
    </row>
    <row r="80" spans="1:36" ht="12.95" customHeight="1">
      <c r="C80" s="435"/>
      <c r="D80" s="435"/>
      <c r="AB80" s="456"/>
      <c r="AC80" s="456"/>
      <c r="AD80" s="456"/>
      <c r="AE80" s="456"/>
      <c r="AF80" s="456"/>
    </row>
    <row r="81" spans="1:78" ht="12.95" customHeight="1">
      <c r="D81" s="435" t="s">
        <v>764</v>
      </c>
      <c r="AB81" s="2651">
        <f>AB49-(AB57+AB79)</f>
        <v>0</v>
      </c>
      <c r="AC81" s="2651"/>
      <c r="AD81" s="2651"/>
      <c r="AE81" s="2651"/>
      <c r="AF81" s="2651"/>
    </row>
    <row r="82" spans="1:78" ht="12.95" customHeight="1">
      <c r="F82" s="556"/>
      <c r="J82" s="556" t="str">
        <f>IF(AB81&gt;0,"FUNDING GAP MUST NOT EXCEED ZERO","")</f>
        <v/>
      </c>
    </row>
    <row r="83" spans="1:78" ht="12.95" customHeight="1">
      <c r="D83" s="557"/>
    </row>
    <row r="84" spans="1:78" ht="12.95" customHeight="1" thickBot="1">
      <c r="A84" s="2616"/>
      <c r="B84" s="2616"/>
      <c r="C84" s="2616"/>
      <c r="D84" s="2616"/>
      <c r="E84" s="2616"/>
      <c r="F84" s="2616"/>
      <c r="G84" s="2616"/>
      <c r="H84" s="2616"/>
      <c r="I84" s="2616"/>
      <c r="J84" s="2616"/>
      <c r="K84" s="2616"/>
      <c r="L84" s="2616"/>
      <c r="M84" s="2616"/>
      <c r="N84" s="2616"/>
      <c r="O84" s="2616"/>
      <c r="P84" s="2616"/>
      <c r="Q84" s="2616"/>
      <c r="R84" s="2616"/>
      <c r="S84" s="2616"/>
      <c r="T84" s="2616"/>
      <c r="U84" s="2616"/>
      <c r="V84" s="2616"/>
      <c r="W84" s="2616"/>
      <c r="X84" s="2616"/>
      <c r="Y84" s="2616"/>
      <c r="Z84" s="2616"/>
      <c r="AA84" s="2616"/>
      <c r="AB84" s="2616"/>
      <c r="AC84" s="2616"/>
      <c r="AD84" s="2616"/>
      <c r="AE84" s="2616"/>
      <c r="AF84" s="2616"/>
      <c r="AG84" s="2616"/>
      <c r="AH84" s="2616"/>
      <c r="AI84" s="2616"/>
      <c r="AJ84" s="2616"/>
      <c r="AK84" s="2616"/>
      <c r="AL84" s="2616"/>
      <c r="AM84" s="2616"/>
      <c r="AN84" s="2616"/>
      <c r="AO84" s="2616"/>
      <c r="AP84" s="2616"/>
      <c r="AQ84" s="2616"/>
      <c r="AR84" s="2616"/>
      <c r="AS84" s="2616"/>
      <c r="AT84" s="2616"/>
      <c r="AU84" s="2616"/>
      <c r="AV84" s="2616"/>
      <c r="AW84" s="2616"/>
      <c r="AX84" s="2616"/>
      <c r="AY84" s="2616"/>
      <c r="AZ84" s="2616"/>
      <c r="BA84" s="2616"/>
      <c r="BB84" s="2616"/>
      <c r="BC84" s="2616"/>
      <c r="BD84" s="2616"/>
      <c r="BE84" s="2616"/>
      <c r="BF84" s="2616"/>
      <c r="BG84" s="2616"/>
      <c r="BH84" s="2616"/>
      <c r="BI84" s="2616"/>
      <c r="BJ84" s="2616"/>
      <c r="BK84" s="2616"/>
      <c r="BL84" s="2616"/>
      <c r="BM84" s="2616"/>
      <c r="BN84" s="2616"/>
      <c r="BO84" s="2616"/>
      <c r="BP84" s="2616"/>
      <c r="BQ84" s="2616"/>
      <c r="BR84" s="2616"/>
      <c r="BS84" s="2616"/>
      <c r="BT84" s="2616"/>
      <c r="BU84" s="2616"/>
      <c r="BV84" s="2616"/>
      <c r="BW84" s="2616"/>
      <c r="BX84" s="2616"/>
    </row>
    <row r="85" spans="1:78" ht="12.95" customHeight="1" thickTop="1"/>
    <row r="86" spans="1:78" ht="12.95" customHeight="1">
      <c r="A86" s="435"/>
      <c r="C86" s="219"/>
    </row>
    <row r="87" spans="1:78" ht="12.95" customHeight="1">
      <c r="D87" s="219"/>
      <c r="AB87" s="2617"/>
      <c r="AC87" s="2617"/>
      <c r="AD87" s="2617"/>
      <c r="AE87" s="2617"/>
      <c r="AF87" s="2617"/>
    </row>
    <row r="88" spans="1:78" ht="12.95" customHeight="1" thickBot="1">
      <c r="D88" s="219"/>
      <c r="AB88" s="2615"/>
      <c r="AC88" s="2615"/>
      <c r="AD88" s="2615"/>
      <c r="AE88" s="2615"/>
      <c r="AF88" s="261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9" workbookViewId="0">
      <selection activeCell="L29" sqref="L29"/>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2" t="s">
        <v>925</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SRO/Studio</v>
      </c>
      <c r="B4" s="1121">
        <f>Application!G718</f>
        <v>1</v>
      </c>
      <c r="C4" s="1122" t="s">
        <v>386</v>
      </c>
      <c r="D4" s="459">
        <f>Application!O718</f>
        <v>550.20000000000005</v>
      </c>
      <c r="E4" s="460"/>
      <c r="F4" s="1123">
        <v>1400</v>
      </c>
      <c r="G4" s="459">
        <f>F4*B4</f>
        <v>1400</v>
      </c>
      <c r="H4" s="460"/>
      <c r="I4" s="459">
        <f t="shared" ref="I4:I27" si="0">IF(F4=0,"",(F4-D4))</f>
        <v>849.8</v>
      </c>
      <c r="J4" s="459">
        <f t="shared" ref="J4:J27" si="1">IF(F4=0,"",(I4*B4))</f>
        <v>849.8</v>
      </c>
      <c r="K4" s="218"/>
      <c r="L4" s="328"/>
    </row>
    <row r="5" spans="1:12">
      <c r="A5" s="459" t="str">
        <f>Application!B719</f>
        <v>SRO/Studio</v>
      </c>
      <c r="B5" s="1121">
        <f>Application!G719</f>
        <v>3</v>
      </c>
      <c r="C5" s="1122" t="s">
        <v>386</v>
      </c>
      <c r="D5" s="459">
        <f>Application!O719</f>
        <v>963</v>
      </c>
      <c r="E5" s="460"/>
      <c r="F5" s="1123">
        <f>F4</f>
        <v>1400</v>
      </c>
      <c r="G5" s="459">
        <f t="shared" ref="G5:G38" si="2">F5*B5</f>
        <v>4200</v>
      </c>
      <c r="H5" s="460"/>
      <c r="I5" s="459">
        <f t="shared" si="0"/>
        <v>437</v>
      </c>
      <c r="J5" s="459">
        <f t="shared" si="1"/>
        <v>1311</v>
      </c>
      <c r="K5" s="218"/>
      <c r="L5" s="328"/>
    </row>
    <row r="6" spans="1:12">
      <c r="A6" s="459" t="str">
        <f>Application!B720</f>
        <v>SRO/Studio</v>
      </c>
      <c r="B6" s="1121">
        <f>Application!G720</f>
        <v>6</v>
      </c>
      <c r="C6" s="1122" t="s">
        <v>386</v>
      </c>
      <c r="D6" s="459">
        <f>Application!O720</f>
        <v>1169.8</v>
      </c>
      <c r="E6" s="460"/>
      <c r="F6" s="1123">
        <f>F4</f>
        <v>1400</v>
      </c>
      <c r="G6" s="459">
        <f t="shared" si="2"/>
        <v>8400</v>
      </c>
      <c r="H6" s="460"/>
      <c r="I6" s="459">
        <f t="shared" si="0"/>
        <v>230.20000000000005</v>
      </c>
      <c r="J6" s="459">
        <f t="shared" si="1"/>
        <v>1381.2000000000003</v>
      </c>
      <c r="K6" s="218"/>
      <c r="L6" s="328"/>
    </row>
    <row r="7" spans="1:12">
      <c r="A7" s="459" t="str">
        <f>Application!B721</f>
        <v>1 Bedroom</v>
      </c>
      <c r="B7" s="1121">
        <f>Application!G721</f>
        <v>3</v>
      </c>
      <c r="C7" s="1122" t="s">
        <v>386</v>
      </c>
      <c r="D7" s="459">
        <f>Application!O721</f>
        <v>606</v>
      </c>
      <c r="E7" s="460"/>
      <c r="F7" s="1123">
        <v>1625</v>
      </c>
      <c r="G7" s="459">
        <f t="shared" si="2"/>
        <v>4875</v>
      </c>
      <c r="H7" s="460"/>
      <c r="I7" s="459">
        <f t="shared" si="0"/>
        <v>1019</v>
      </c>
      <c r="J7" s="459">
        <f t="shared" si="1"/>
        <v>3057</v>
      </c>
      <c r="K7" s="218"/>
      <c r="L7" s="328"/>
    </row>
    <row r="8" spans="1:12">
      <c r="A8" s="459" t="str">
        <f>Application!B722</f>
        <v>1 Bedroom</v>
      </c>
      <c r="B8" s="1121">
        <f>Application!G722</f>
        <v>2</v>
      </c>
      <c r="C8" s="1122" t="s">
        <v>386</v>
      </c>
      <c r="D8" s="459">
        <f>Application!O722</f>
        <v>1048</v>
      </c>
      <c r="E8" s="460"/>
      <c r="F8" s="1123">
        <f>F7</f>
        <v>1625</v>
      </c>
      <c r="G8" s="459">
        <f t="shared" si="2"/>
        <v>3250</v>
      </c>
      <c r="H8" s="460"/>
      <c r="I8" s="459">
        <f t="shared" si="0"/>
        <v>577</v>
      </c>
      <c r="J8" s="459">
        <f t="shared" si="1"/>
        <v>1154</v>
      </c>
      <c r="K8" s="218"/>
      <c r="L8" s="328"/>
    </row>
    <row r="9" spans="1:12">
      <c r="A9" s="459" t="str">
        <f>Application!B723</f>
        <v>1 Bedroom</v>
      </c>
      <c r="B9" s="1121">
        <f>Application!G723</f>
        <v>13</v>
      </c>
      <c r="C9" s="1122" t="s">
        <v>386</v>
      </c>
      <c r="D9" s="459">
        <f>Application!O723</f>
        <v>1269</v>
      </c>
      <c r="E9" s="460"/>
      <c r="F9" s="1123">
        <f>F7</f>
        <v>1625</v>
      </c>
      <c r="G9" s="459">
        <f t="shared" si="2"/>
        <v>21125</v>
      </c>
      <c r="H9" s="460"/>
      <c r="I9" s="459">
        <f t="shared" si="0"/>
        <v>356</v>
      </c>
      <c r="J9" s="459">
        <f t="shared" si="1"/>
        <v>4628</v>
      </c>
      <c r="K9" s="218"/>
      <c r="L9" s="328"/>
    </row>
    <row r="10" spans="1:12">
      <c r="A10" s="459" t="str">
        <f>Application!B724</f>
        <v>2 Bedrooms</v>
      </c>
      <c r="B10" s="1121">
        <f>Application!G724</f>
        <v>3</v>
      </c>
      <c r="C10" s="1122" t="s">
        <v>386</v>
      </c>
      <c r="D10" s="459">
        <f>Application!O724</f>
        <v>721.2</v>
      </c>
      <c r="E10" s="460"/>
      <c r="F10" s="1123">
        <v>1975</v>
      </c>
      <c r="G10" s="459">
        <f t="shared" si="2"/>
        <v>5925</v>
      </c>
      <c r="H10" s="460"/>
      <c r="I10" s="459">
        <f t="shared" si="0"/>
        <v>1253.8</v>
      </c>
      <c r="J10" s="459">
        <f t="shared" si="1"/>
        <v>3761.3999999999996</v>
      </c>
      <c r="K10" s="218"/>
      <c r="L10" s="328"/>
    </row>
    <row r="11" spans="1:12">
      <c r="A11" s="459" t="str">
        <f>Application!B725</f>
        <v>2 Bedrooms</v>
      </c>
      <c r="B11" s="1121">
        <f>Application!G725</f>
        <v>3</v>
      </c>
      <c r="C11" s="1122" t="s">
        <v>386</v>
      </c>
      <c r="D11" s="459">
        <f>Application!O725</f>
        <v>1252.2</v>
      </c>
      <c r="E11" s="460"/>
      <c r="F11" s="1123">
        <f>F10</f>
        <v>1975</v>
      </c>
      <c r="G11" s="459">
        <f t="shared" si="2"/>
        <v>5925</v>
      </c>
      <c r="H11" s="460"/>
      <c r="I11" s="459">
        <f t="shared" si="0"/>
        <v>722.8</v>
      </c>
      <c r="J11" s="459">
        <f t="shared" si="1"/>
        <v>2168.3999999999996</v>
      </c>
      <c r="K11" s="218"/>
      <c r="L11" s="328"/>
    </row>
    <row r="12" spans="1:12">
      <c r="A12" s="459" t="str">
        <f>Application!B726</f>
        <v>2 Bedrooms</v>
      </c>
      <c r="B12" s="1121">
        <f>Application!G726</f>
        <v>21</v>
      </c>
      <c r="C12" s="1122" t="s">
        <v>386</v>
      </c>
      <c r="D12" s="459">
        <f>Application!O726</f>
        <v>1517.2</v>
      </c>
      <c r="E12" s="460"/>
      <c r="F12" s="1123">
        <f>F10</f>
        <v>1975</v>
      </c>
      <c r="G12" s="459">
        <f t="shared" si="2"/>
        <v>41475</v>
      </c>
      <c r="H12" s="460"/>
      <c r="I12" s="459">
        <f t="shared" si="0"/>
        <v>457.79999999999995</v>
      </c>
      <c r="J12" s="459">
        <f t="shared" si="1"/>
        <v>9613.7999999999993</v>
      </c>
      <c r="K12" s="218"/>
      <c r="L12" s="328"/>
    </row>
    <row r="13" spans="1:12">
      <c r="A13" s="459" t="str">
        <f>Application!B727</f>
        <v>3 Bedrooms</v>
      </c>
      <c r="B13" s="1121">
        <f>Application!G727</f>
        <v>3</v>
      </c>
      <c r="C13" s="1122" t="s">
        <v>386</v>
      </c>
      <c r="D13" s="459">
        <f>Application!O727</f>
        <v>808.2</v>
      </c>
      <c r="E13" s="460"/>
      <c r="F13" s="1123">
        <v>2350</v>
      </c>
      <c r="G13" s="459">
        <f t="shared" si="2"/>
        <v>7050</v>
      </c>
      <c r="H13" s="460"/>
      <c r="I13" s="459">
        <f t="shared" si="0"/>
        <v>1541.8</v>
      </c>
      <c r="J13" s="459">
        <f t="shared" si="1"/>
        <v>4625.3999999999996</v>
      </c>
      <c r="K13" s="218"/>
      <c r="L13" s="328"/>
    </row>
    <row r="14" spans="1:12">
      <c r="A14" s="459" t="str">
        <f>Application!B728</f>
        <v>3 Bedrooms</v>
      </c>
      <c r="B14" s="1121">
        <f>Application!G728</f>
        <v>2</v>
      </c>
      <c r="C14" s="1122" t="s">
        <v>386</v>
      </c>
      <c r="D14" s="459">
        <f>Application!O728</f>
        <v>1421</v>
      </c>
      <c r="E14" s="460"/>
      <c r="F14" s="1123">
        <f>F13</f>
        <v>2350</v>
      </c>
      <c r="G14" s="459">
        <f t="shared" si="2"/>
        <v>4700</v>
      </c>
      <c r="H14" s="460"/>
      <c r="I14" s="459">
        <f t="shared" si="0"/>
        <v>929</v>
      </c>
      <c r="J14" s="459">
        <f t="shared" si="1"/>
        <v>1858</v>
      </c>
      <c r="K14" s="218"/>
      <c r="L14" s="328"/>
    </row>
    <row r="15" spans="1:12">
      <c r="A15" s="459" t="str">
        <f>Application!B729</f>
        <v>3 Bedrooms</v>
      </c>
      <c r="B15" s="1121">
        <f>Application!G729</f>
        <v>37</v>
      </c>
      <c r="C15" s="1122" t="s">
        <v>386</v>
      </c>
      <c r="D15" s="459">
        <f>Application!O729</f>
        <v>1727.8</v>
      </c>
      <c r="E15" s="460"/>
      <c r="F15" s="1123">
        <f>F13</f>
        <v>2350</v>
      </c>
      <c r="G15" s="459">
        <f t="shared" si="2"/>
        <v>86950</v>
      </c>
      <c r="H15" s="460"/>
      <c r="I15" s="459">
        <f t="shared" si="0"/>
        <v>622.20000000000005</v>
      </c>
      <c r="J15" s="459">
        <f t="shared" si="1"/>
        <v>23021.4</v>
      </c>
      <c r="K15" s="218"/>
      <c r="L15" s="328"/>
    </row>
    <row r="16" spans="1:12">
      <c r="A16" s="459" t="str">
        <f>Application!B730</f>
        <v>4 Bedrooms</v>
      </c>
      <c r="B16" s="1121">
        <f>Application!G730</f>
        <v>1</v>
      </c>
      <c r="C16" s="1122" t="s">
        <v>386</v>
      </c>
      <c r="D16" s="459">
        <f>Application!O730</f>
        <v>848</v>
      </c>
      <c r="E16" s="460"/>
      <c r="F16" s="1123">
        <v>2575</v>
      </c>
      <c r="G16" s="459">
        <f t="shared" si="2"/>
        <v>2575</v>
      </c>
      <c r="H16" s="460"/>
      <c r="I16" s="459">
        <f t="shared" si="0"/>
        <v>1727</v>
      </c>
      <c r="J16" s="459">
        <f t="shared" si="1"/>
        <v>1727</v>
      </c>
      <c r="K16" s="218"/>
      <c r="L16" s="328"/>
    </row>
    <row r="17" spans="1:12">
      <c r="A17" s="459" t="str">
        <f>Application!B731</f>
        <v>4 Bedrooms</v>
      </c>
      <c r="B17" s="1121">
        <f>Application!G731</f>
        <v>7</v>
      </c>
      <c r="C17" s="1122" t="s">
        <v>386</v>
      </c>
      <c r="D17" s="459">
        <f>Application!O731</f>
        <v>1874</v>
      </c>
      <c r="E17" s="460"/>
      <c r="F17" s="1123">
        <f>F16</f>
        <v>2575</v>
      </c>
      <c r="G17" s="459">
        <f t="shared" si="2"/>
        <v>18025</v>
      </c>
      <c r="H17" s="460"/>
      <c r="I17" s="459">
        <f t="shared" si="0"/>
        <v>701</v>
      </c>
      <c r="J17" s="459">
        <f t="shared" si="1"/>
        <v>4907</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151811.6</v>
      </c>
      <c r="E40" s="460"/>
      <c r="F40" s="460"/>
      <c r="G40" s="463">
        <f>SUM(G4:G38)*12</f>
        <v>2590500</v>
      </c>
      <c r="H40" s="464"/>
      <c r="I40" s="462"/>
      <c r="J40" s="463">
        <f>SUM(J4:J38)*12</f>
        <v>768760.8</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8" workbookViewId="0">
      <selection activeCell="K22" sqref="K22"/>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1821739.2000000002</v>
      </c>
      <c r="G4" s="235">
        <f>E4*$C$4</f>
        <v>1867282.68</v>
      </c>
      <c r="I4" s="235">
        <f>G4*$C$4</f>
        <v>1913964.7469999997</v>
      </c>
      <c r="K4" s="235">
        <f>I4*$C$4</f>
        <v>1961813.8656749995</v>
      </c>
      <c r="M4" s="235">
        <f>K4*$C$4</f>
        <v>2010859.2123168744</v>
      </c>
      <c r="O4" s="235">
        <f>M4*$C$4</f>
        <v>2061130.6926247962</v>
      </c>
      <c r="Q4" s="235">
        <f>O4*$C$4</f>
        <v>2112658.9599404158</v>
      </c>
      <c r="S4" s="235">
        <f>Q4*$C$4</f>
        <v>2165475.4339389261</v>
      </c>
      <c r="U4" s="235">
        <f>S4*$C$4</f>
        <v>2219612.3197873989</v>
      </c>
      <c r="W4" s="235">
        <f>U4*$C$4</f>
        <v>2275102.6277820836</v>
      </c>
      <c r="Y4" s="235">
        <f>W4*$C$4</f>
        <v>2331980.1934766355</v>
      </c>
      <c r="AA4" s="235">
        <f>Y4*$C$4</f>
        <v>2390279.698313551</v>
      </c>
      <c r="AC4" s="235">
        <f>AA4*$C$4</f>
        <v>2450036.6907713898</v>
      </c>
      <c r="AE4" s="235">
        <f>AC4*$C$4</f>
        <v>2511287.6080406741</v>
      </c>
      <c r="AG4" s="235">
        <f>AE4*$C$4</f>
        <v>2574069.7982416907</v>
      </c>
    </row>
    <row r="5" spans="1:34" s="225" customFormat="1" ht="14.25">
      <c r="B5" s="225" t="s">
        <v>850</v>
      </c>
      <c r="C5" s="254">
        <f>IF(Application!$D$211="Special Needs",0.1,0.05)</f>
        <v>0.05</v>
      </c>
      <c r="E5" s="237">
        <f>-E4*$C$5</f>
        <v>-91086.960000000021</v>
      </c>
      <c r="F5" s="237"/>
      <c r="G5" s="237">
        <f>-G4*$C$5</f>
        <v>-93364.134000000005</v>
      </c>
      <c r="H5" s="237"/>
      <c r="I5" s="237">
        <f>-I4*$C$5</f>
        <v>-95698.237349999996</v>
      </c>
      <c r="J5" s="237"/>
      <c r="K5" s="237">
        <f>-K4*$C$5</f>
        <v>-98090.693283749977</v>
      </c>
      <c r="L5" s="237"/>
      <c r="M5" s="237">
        <f>-M4*$C$5</f>
        <v>-100542.96061584372</v>
      </c>
      <c r="N5" s="237"/>
      <c r="O5" s="237">
        <f>-O4*$C$5</f>
        <v>-103056.53463123982</v>
      </c>
      <c r="P5" s="237"/>
      <c r="Q5" s="237">
        <f>-Q4*$C$5</f>
        <v>-105632.94799702079</v>
      </c>
      <c r="R5" s="237"/>
      <c r="S5" s="237">
        <f>-S4*$C$5</f>
        <v>-108273.77169694631</v>
      </c>
      <c r="T5" s="237"/>
      <c r="U5" s="237">
        <f>-U4*$C$5</f>
        <v>-110980.61598936995</v>
      </c>
      <c r="V5" s="237"/>
      <c r="W5" s="237">
        <f>-W4*$C$5</f>
        <v>-113755.13138910418</v>
      </c>
      <c r="X5" s="237"/>
      <c r="Y5" s="237">
        <f>-Y4*$C$5</f>
        <v>-116599.00967383178</v>
      </c>
      <c r="Z5" s="237"/>
      <c r="AA5" s="237">
        <f>-AA4*$C$5</f>
        <v>-119513.98491567756</v>
      </c>
      <c r="AB5" s="237"/>
      <c r="AC5" s="237">
        <f>-AC4*$C$5</f>
        <v>-122501.8345385695</v>
      </c>
      <c r="AD5" s="237"/>
      <c r="AE5" s="237">
        <f>-AE4*$C$5</f>
        <v>-125564.38040203371</v>
      </c>
      <c r="AF5" s="237"/>
      <c r="AG5" s="237">
        <f>-AG4*$C$5</f>
        <v>-128703.48991208454</v>
      </c>
    </row>
    <row r="6" spans="1:34" s="225" customFormat="1" ht="14.25">
      <c r="A6" s="225" t="s">
        <v>848</v>
      </c>
      <c r="C6" s="253">
        <v>1.0249999999999999</v>
      </c>
      <c r="E6" s="238">
        <f>Application!Z809</f>
        <v>768760.8</v>
      </c>
      <c r="F6" s="238"/>
      <c r="G6" s="238">
        <f>E6*$C$6</f>
        <v>787979.82</v>
      </c>
      <c r="H6" s="238"/>
      <c r="I6" s="238">
        <f>G6*$C$6</f>
        <v>807679.31549999991</v>
      </c>
      <c r="J6" s="238"/>
      <c r="K6" s="238">
        <f>I6*$C$6</f>
        <v>827871.29838749988</v>
      </c>
      <c r="L6" s="238"/>
      <c r="M6" s="238">
        <f>K6*$C$6</f>
        <v>848568.08084718732</v>
      </c>
      <c r="N6" s="238"/>
      <c r="O6" s="238">
        <f>M6*$C$6</f>
        <v>869782.28286836692</v>
      </c>
      <c r="P6" s="238"/>
      <c r="Q6" s="238">
        <f>O6*$C$6</f>
        <v>891526.839940076</v>
      </c>
      <c r="R6" s="238"/>
      <c r="S6" s="238">
        <f>Q6*$C$6</f>
        <v>913815.01093857782</v>
      </c>
      <c r="T6" s="238"/>
      <c r="U6" s="238">
        <f>S6*$C$6</f>
        <v>936660.38621204218</v>
      </c>
      <c r="V6" s="238"/>
      <c r="W6" s="238">
        <f>U6*$C$6</f>
        <v>960076.89586734318</v>
      </c>
      <c r="X6" s="238"/>
      <c r="Y6" s="238">
        <f>W6*$C$6</f>
        <v>984078.81826402666</v>
      </c>
      <c r="Z6" s="238"/>
      <c r="AA6" s="238">
        <f>Y6*$C$6</f>
        <v>1008680.7887206272</v>
      </c>
      <c r="AB6" s="238"/>
      <c r="AC6" s="238">
        <f>AA6*$C$6</f>
        <v>1033897.8084386428</v>
      </c>
      <c r="AD6" s="238"/>
      <c r="AE6" s="238">
        <f>AC6*$C$6</f>
        <v>1059745.2536496087</v>
      </c>
      <c r="AF6" s="238"/>
      <c r="AG6" s="238">
        <f>AE6*$C$6</f>
        <v>1086238.8849908488</v>
      </c>
    </row>
    <row r="7" spans="1:34" s="225" customFormat="1" ht="14.25">
      <c r="B7" s="225" t="s">
        <v>850</v>
      </c>
      <c r="C7" s="254">
        <f>IF(Application!$D$211="Special Needs",0.1,0.05)</f>
        <v>0.05</v>
      </c>
      <c r="E7" s="237">
        <f>-E6*$C$7</f>
        <v>-38438.04</v>
      </c>
      <c r="F7" s="237"/>
      <c r="G7" s="237">
        <f>-G6*$C$7</f>
        <v>-39398.991000000002</v>
      </c>
      <c r="H7" s="237"/>
      <c r="I7" s="237">
        <f>-I6*$C$7</f>
        <v>-40383.965774999997</v>
      </c>
      <c r="J7" s="237"/>
      <c r="K7" s="237">
        <f>-K6*$C$7</f>
        <v>-41393.564919375</v>
      </c>
      <c r="L7" s="237"/>
      <c r="M7" s="237">
        <f>-M6*$C$7</f>
        <v>-42428.404042359369</v>
      </c>
      <c r="N7" s="237"/>
      <c r="O7" s="237">
        <f>-O6*$C$7</f>
        <v>-43489.114143418352</v>
      </c>
      <c r="P7" s="237"/>
      <c r="Q7" s="237">
        <f>-Q6*$C$7</f>
        <v>-44576.341997003801</v>
      </c>
      <c r="R7" s="237"/>
      <c r="S7" s="237">
        <f>-S6*$C$7</f>
        <v>-45690.750546928895</v>
      </c>
      <c r="T7" s="237"/>
      <c r="U7" s="237">
        <f>-U6*$C$7</f>
        <v>-46833.019310602111</v>
      </c>
      <c r="V7" s="237"/>
      <c r="W7" s="237">
        <f>-W6*$C$7</f>
        <v>-48003.844793367163</v>
      </c>
      <c r="X7" s="237"/>
      <c r="Y7" s="237">
        <f>-Y6*$C$7</f>
        <v>-49203.940913201339</v>
      </c>
      <c r="Z7" s="237"/>
      <c r="AA7" s="237">
        <f>-AA6*$C$7</f>
        <v>-50434.039436031366</v>
      </c>
      <c r="AB7" s="237"/>
      <c r="AC7" s="237">
        <f>-AC6*$C$7</f>
        <v>-51694.890421932141</v>
      </c>
      <c r="AD7" s="237"/>
      <c r="AE7" s="237">
        <f>-AE6*$C$7</f>
        <v>-52987.262682480439</v>
      </c>
      <c r="AF7" s="237"/>
      <c r="AG7" s="237">
        <f>-AG6*$C$7</f>
        <v>-54311.944249542445</v>
      </c>
    </row>
    <row r="8" spans="1:34" s="225" customFormat="1" ht="14.25">
      <c r="A8" s="225" t="s">
        <v>289</v>
      </c>
      <c r="C8" s="253">
        <v>1.0249999999999999</v>
      </c>
      <c r="E8" s="238">
        <f>Application!Z817</f>
        <v>3820</v>
      </c>
      <c r="F8" s="238"/>
      <c r="G8" s="238">
        <f>E8*$C$8</f>
        <v>3915.4999999999995</v>
      </c>
      <c r="H8" s="238"/>
      <c r="I8" s="238">
        <f>G8*$C$8</f>
        <v>4013.3874999999994</v>
      </c>
      <c r="J8" s="238"/>
      <c r="K8" s="238">
        <f>I8*$C$8</f>
        <v>4113.7221874999987</v>
      </c>
      <c r="L8" s="238"/>
      <c r="M8" s="238">
        <f>K8*$C$8</f>
        <v>4216.5652421874984</v>
      </c>
      <c r="N8" s="238"/>
      <c r="O8" s="238">
        <f>M8*$C$8</f>
        <v>4321.9793732421858</v>
      </c>
      <c r="P8" s="238"/>
      <c r="Q8" s="238">
        <f>O8*$C$8</f>
        <v>4430.0288575732402</v>
      </c>
      <c r="R8" s="238"/>
      <c r="S8" s="238">
        <f>Q8*$C$8</f>
        <v>4540.779579012571</v>
      </c>
      <c r="T8" s="238"/>
      <c r="U8" s="238">
        <f>S8*$C$8</f>
        <v>4654.2990684878851</v>
      </c>
      <c r="V8" s="238"/>
      <c r="W8" s="238">
        <f>U8*$C$8</f>
        <v>4770.6565452000814</v>
      </c>
      <c r="X8" s="238"/>
      <c r="Y8" s="238">
        <f>W8*$C$8</f>
        <v>4889.9229588300832</v>
      </c>
      <c r="Z8" s="238"/>
      <c r="AA8" s="238">
        <f>Y8*$C$8</f>
        <v>5012.1710328008348</v>
      </c>
      <c r="AB8" s="238"/>
      <c r="AC8" s="238">
        <f>AA8*$C$8</f>
        <v>5137.4753086208557</v>
      </c>
      <c r="AD8" s="238"/>
      <c r="AE8" s="238">
        <f>AC8*$C$8</f>
        <v>5265.912191336377</v>
      </c>
      <c r="AF8" s="238"/>
      <c r="AG8" s="238">
        <f>AE8*$C$8</f>
        <v>5397.5599961197859</v>
      </c>
    </row>
    <row r="9" spans="1:34" s="225" customFormat="1" ht="14.25">
      <c r="B9" s="225" t="s">
        <v>850</v>
      </c>
      <c r="C9" s="254">
        <f>IF(Application!$D$211="Special Needs",0.1,0.05)</f>
        <v>0.05</v>
      </c>
      <c r="E9" s="237">
        <f>-E8*$C$9</f>
        <v>-191</v>
      </c>
      <c r="F9" s="237"/>
      <c r="G9" s="237">
        <f>-G8*$C$9</f>
        <v>-195.77499999999998</v>
      </c>
      <c r="H9" s="237"/>
      <c r="I9" s="237">
        <f>-I8*$C$9</f>
        <v>-200.66937499999997</v>
      </c>
      <c r="J9" s="237"/>
      <c r="K9" s="237">
        <f>-K8*$C$9</f>
        <v>-205.68610937499994</v>
      </c>
      <c r="L9" s="237"/>
      <c r="M9" s="237">
        <f>-M8*$C$9</f>
        <v>-210.82826210937492</v>
      </c>
      <c r="N9" s="237"/>
      <c r="O9" s="237">
        <f>-O8*$C$9</f>
        <v>-216.09896866210931</v>
      </c>
      <c r="P9" s="237"/>
      <c r="Q9" s="237">
        <f>-Q8*$C$9</f>
        <v>-221.50144287866203</v>
      </c>
      <c r="R9" s="237"/>
      <c r="S9" s="237">
        <f>-S8*$C$9</f>
        <v>-227.03897895062858</v>
      </c>
      <c r="T9" s="237"/>
      <c r="U9" s="237">
        <f>-U8*$C$9</f>
        <v>-232.71495342439425</v>
      </c>
      <c r="V9" s="237"/>
      <c r="W9" s="237">
        <f>-W8*$C$9</f>
        <v>-238.53282726000407</v>
      </c>
      <c r="X9" s="237"/>
      <c r="Y9" s="237">
        <f>-Y8*$C$9</f>
        <v>-244.49614794150418</v>
      </c>
      <c r="Z9" s="237"/>
      <c r="AA9" s="237">
        <f>-AA8*$C$9</f>
        <v>-250.60855164004175</v>
      </c>
      <c r="AB9" s="237"/>
      <c r="AC9" s="237">
        <f>-AC8*$C$9</f>
        <v>-256.87376543104278</v>
      </c>
      <c r="AD9" s="237"/>
      <c r="AE9" s="237">
        <f>-AE8*$C$9</f>
        <v>-263.29560956681888</v>
      </c>
      <c r="AF9" s="237"/>
      <c r="AG9" s="237">
        <f>-AG8*$C$9</f>
        <v>-269.8779998059893</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2464604</v>
      </c>
      <c r="G11" s="239">
        <f>SUM(G4:G10)</f>
        <v>2526219.1</v>
      </c>
      <c r="I11" s="239">
        <f>SUM(I4:I10)</f>
        <v>2589374.5774999997</v>
      </c>
      <c r="K11" s="239">
        <f>SUM(K4:K10)</f>
        <v>2654108.9419374992</v>
      </c>
      <c r="M11" s="239">
        <f>SUM(M4:M10)</f>
        <v>2720461.6654859367</v>
      </c>
      <c r="O11" s="239">
        <f>SUM(O4:O10)</f>
        <v>2788473.2071230854</v>
      </c>
      <c r="Q11" s="239">
        <f>SUM(Q4:Q10)</f>
        <v>2858185.0373011623</v>
      </c>
      <c r="S11" s="239">
        <f>SUM(S4:S10)</f>
        <v>2929639.6632336909</v>
      </c>
      <c r="U11" s="239">
        <f>SUM(U4:U10)</f>
        <v>3002880.6548145325</v>
      </c>
      <c r="W11" s="239">
        <f>SUM(W4:W10)</f>
        <v>3077952.6711848951</v>
      </c>
      <c r="Y11" s="239">
        <f>SUM(Y4:Y10)</f>
        <v>3154901.4879645174</v>
      </c>
      <c r="AA11" s="239">
        <f>SUM(AA4:AA10)</f>
        <v>3233774.0251636305</v>
      </c>
      <c r="AC11" s="239">
        <f>SUM(AC4:AC10)</f>
        <v>3314618.3757927208</v>
      </c>
      <c r="AE11" s="239">
        <f>SUM(AE4:AE10)</f>
        <v>3397483.8351875385</v>
      </c>
      <c r="AG11" s="239">
        <f>SUM(AG4:AG10)</f>
        <v>3482420.9310672265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94898</v>
      </c>
      <c r="G15" s="235">
        <f>E15*$C$14</f>
        <v>98219.43</v>
      </c>
      <c r="I15" s="235">
        <f>G15*$C$14</f>
        <v>101657.11004999999</v>
      </c>
      <c r="K15" s="235">
        <f>I15*$C$14</f>
        <v>105215.10890174998</v>
      </c>
      <c r="M15" s="235">
        <f>K15*$C$14</f>
        <v>108897.63771331121</v>
      </c>
      <c r="O15" s="235">
        <f>M15*$C$14</f>
        <v>112709.05503327709</v>
      </c>
      <c r="Q15" s="235">
        <f>O15*$C$14</f>
        <v>116653.87195944178</v>
      </c>
      <c r="S15" s="235">
        <f>Q15*$C$14</f>
        <v>120736.75747802223</v>
      </c>
      <c r="U15" s="235">
        <f>S15*$C$14</f>
        <v>124962.543989753</v>
      </c>
      <c r="W15" s="235">
        <f>U15*$C$14</f>
        <v>129336.23302939435</v>
      </c>
      <c r="Y15" s="235">
        <f>W15*$C$14</f>
        <v>133863.00118542314</v>
      </c>
      <c r="AA15" s="235">
        <f>Y15*$C$14</f>
        <v>138548.20622691294</v>
      </c>
      <c r="AC15" s="235">
        <f>AA15*$C$14</f>
        <v>143397.39344485488</v>
      </c>
      <c r="AE15" s="235">
        <f>AC15*$C$14</f>
        <v>148416.3022154248</v>
      </c>
      <c r="AG15" s="235">
        <f>AE15*$C$14</f>
        <v>153610.87279296466</v>
      </c>
    </row>
    <row r="16" spans="1:34" s="225" customFormat="1" ht="14.25">
      <c r="A16" s="225" t="s">
        <v>345</v>
      </c>
      <c r="C16" s="249"/>
      <c r="E16" s="238">
        <f>Application!W849</f>
        <v>86268</v>
      </c>
      <c r="F16" s="238"/>
      <c r="G16" s="238">
        <f t="shared" ref="G16:AG21" si="0">E16*$C$14</f>
        <v>89287.37999999999</v>
      </c>
      <c r="H16" s="238"/>
      <c r="I16" s="238">
        <f t="shared" si="0"/>
        <v>92412.43829999998</v>
      </c>
      <c r="J16" s="238"/>
      <c r="K16" s="238">
        <f t="shared" si="0"/>
        <v>95646.873640499965</v>
      </c>
      <c r="L16" s="238"/>
      <c r="M16" s="238">
        <f t="shared" si="0"/>
        <v>98994.514217917458</v>
      </c>
      <c r="N16" s="238"/>
      <c r="O16" s="238">
        <f t="shared" si="0"/>
        <v>102459.32221554455</v>
      </c>
      <c r="P16" s="238"/>
      <c r="Q16" s="238">
        <f t="shared" si="0"/>
        <v>106045.39849308861</v>
      </c>
      <c r="R16" s="238"/>
      <c r="S16" s="238">
        <f t="shared" si="0"/>
        <v>109756.9874403467</v>
      </c>
      <c r="T16" s="238"/>
      <c r="U16" s="238">
        <f t="shared" si="0"/>
        <v>113598.48200075883</v>
      </c>
      <c r="V16" s="238"/>
      <c r="W16" s="238">
        <f t="shared" si="0"/>
        <v>117574.42887078538</v>
      </c>
      <c r="X16" s="238"/>
      <c r="Y16" s="238">
        <f t="shared" si="0"/>
        <v>121689.53388126286</v>
      </c>
      <c r="Z16" s="238"/>
      <c r="AA16" s="238">
        <f t="shared" si="0"/>
        <v>125948.66756710706</v>
      </c>
      <c r="AB16" s="238"/>
      <c r="AC16" s="238">
        <f t="shared" si="0"/>
        <v>130356.8709319558</v>
      </c>
      <c r="AD16" s="238"/>
      <c r="AE16" s="238">
        <f t="shared" si="0"/>
        <v>134919.36141457423</v>
      </c>
      <c r="AF16" s="238"/>
      <c r="AG16" s="238">
        <f t="shared" si="0"/>
        <v>139641.53906408433</v>
      </c>
    </row>
    <row r="17" spans="1:33" s="225" customFormat="1" ht="14.25">
      <c r="A17" s="225" t="s">
        <v>570</v>
      </c>
      <c r="C17" s="249"/>
      <c r="E17" s="238">
        <f>Application!W855</f>
        <v>190047</v>
      </c>
      <c r="F17" s="238"/>
      <c r="G17" s="238">
        <f t="shared" si="0"/>
        <v>196698.64499999999</v>
      </c>
      <c r="H17" s="238"/>
      <c r="I17" s="238">
        <f t="shared" si="0"/>
        <v>203583.09757499996</v>
      </c>
      <c r="J17" s="238"/>
      <c r="K17" s="238">
        <f t="shared" si="0"/>
        <v>210708.50599012495</v>
      </c>
      <c r="L17" s="238"/>
      <c r="M17" s="238">
        <f t="shared" si="0"/>
        <v>218083.3036997793</v>
      </c>
      <c r="N17" s="238"/>
      <c r="O17" s="238">
        <f t="shared" si="0"/>
        <v>225716.21932927155</v>
      </c>
      <c r="P17" s="238"/>
      <c r="Q17" s="238">
        <f t="shared" si="0"/>
        <v>233616.28700579604</v>
      </c>
      <c r="R17" s="238"/>
      <c r="S17" s="238">
        <f t="shared" si="0"/>
        <v>241792.85705099889</v>
      </c>
      <c r="T17" s="238"/>
      <c r="U17" s="238">
        <f t="shared" si="0"/>
        <v>250255.60704778382</v>
      </c>
      <c r="V17" s="238"/>
      <c r="W17" s="238">
        <f t="shared" si="0"/>
        <v>259014.55329445624</v>
      </c>
      <c r="X17" s="238"/>
      <c r="Y17" s="238">
        <f t="shared" si="0"/>
        <v>268080.06265976222</v>
      </c>
      <c r="Z17" s="238"/>
      <c r="AA17" s="238">
        <f t="shared" si="0"/>
        <v>277462.86485285388</v>
      </c>
      <c r="AB17" s="238"/>
      <c r="AC17" s="238">
        <f t="shared" si="0"/>
        <v>287174.06512270373</v>
      </c>
      <c r="AD17" s="238"/>
      <c r="AE17" s="238">
        <f t="shared" si="0"/>
        <v>297225.15740199835</v>
      </c>
      <c r="AF17" s="238"/>
      <c r="AG17" s="238">
        <f t="shared" si="0"/>
        <v>307628.0379110683</v>
      </c>
    </row>
    <row r="18" spans="1:33" s="225" customFormat="1" ht="14.25">
      <c r="A18" s="225" t="s">
        <v>854</v>
      </c>
      <c r="C18" s="249"/>
      <c r="E18" s="238">
        <f>Application!W862</f>
        <v>307454</v>
      </c>
      <c r="F18" s="238"/>
      <c r="G18" s="238">
        <f t="shared" si="0"/>
        <v>318214.88999999996</v>
      </c>
      <c r="H18" s="238"/>
      <c r="I18" s="238">
        <f t="shared" si="0"/>
        <v>329352.41114999994</v>
      </c>
      <c r="J18" s="238"/>
      <c r="K18" s="238">
        <f t="shared" si="0"/>
        <v>340879.74554024992</v>
      </c>
      <c r="L18" s="238"/>
      <c r="M18" s="238">
        <f t="shared" si="0"/>
        <v>352810.53663415863</v>
      </c>
      <c r="N18" s="238"/>
      <c r="O18" s="238">
        <f t="shared" si="0"/>
        <v>365158.90541635413</v>
      </c>
      <c r="P18" s="238"/>
      <c r="Q18" s="238">
        <f t="shared" si="0"/>
        <v>377939.46710592648</v>
      </c>
      <c r="R18" s="238"/>
      <c r="S18" s="238">
        <f t="shared" si="0"/>
        <v>391167.3484546339</v>
      </c>
      <c r="T18" s="238"/>
      <c r="U18" s="238">
        <f t="shared" si="0"/>
        <v>404858.20565054606</v>
      </c>
      <c r="V18" s="238"/>
      <c r="W18" s="238">
        <f t="shared" si="0"/>
        <v>419028.24284831516</v>
      </c>
      <c r="X18" s="238"/>
      <c r="Y18" s="238">
        <f t="shared" si="0"/>
        <v>433694.23134800617</v>
      </c>
      <c r="Z18" s="238"/>
      <c r="AA18" s="238">
        <f t="shared" si="0"/>
        <v>448873.52944518637</v>
      </c>
      <c r="AB18" s="238"/>
      <c r="AC18" s="238">
        <f t="shared" si="0"/>
        <v>464584.10297576786</v>
      </c>
      <c r="AD18" s="238"/>
      <c r="AE18" s="238">
        <f t="shared" si="0"/>
        <v>480844.5465799197</v>
      </c>
      <c r="AF18" s="238"/>
      <c r="AG18" s="238">
        <f t="shared" si="0"/>
        <v>497674.10571021686</v>
      </c>
    </row>
    <row r="19" spans="1:33" s="225" customFormat="1" ht="14.25">
      <c r="A19" s="225" t="s">
        <v>155</v>
      </c>
      <c r="C19" s="249"/>
      <c r="E19" s="238">
        <f>Application!W863</f>
        <v>62209</v>
      </c>
      <c r="F19" s="238"/>
      <c r="G19" s="238">
        <f t="shared" si="0"/>
        <v>64386.314999999995</v>
      </c>
      <c r="H19" s="238"/>
      <c r="I19" s="238">
        <f t="shared" si="0"/>
        <v>66639.836024999997</v>
      </c>
      <c r="J19" s="238"/>
      <c r="K19" s="238">
        <f t="shared" si="0"/>
        <v>68972.23028587499</v>
      </c>
      <c r="L19" s="238"/>
      <c r="M19" s="238">
        <f t="shared" si="0"/>
        <v>71386.258345880604</v>
      </c>
      <c r="N19" s="238"/>
      <c r="O19" s="238">
        <f t="shared" si="0"/>
        <v>73884.777387986425</v>
      </c>
      <c r="P19" s="238"/>
      <c r="Q19" s="238">
        <f t="shared" si="0"/>
        <v>76470.744596565943</v>
      </c>
      <c r="R19" s="238"/>
      <c r="S19" s="238">
        <f t="shared" si="0"/>
        <v>79147.220657445738</v>
      </c>
      <c r="T19" s="238"/>
      <c r="U19" s="238">
        <f t="shared" si="0"/>
        <v>81917.373380456338</v>
      </c>
      <c r="V19" s="238"/>
      <c r="W19" s="238">
        <f t="shared" si="0"/>
        <v>84784.481448772305</v>
      </c>
      <c r="X19" s="238"/>
      <c r="Y19" s="238">
        <f t="shared" si="0"/>
        <v>87751.938299479327</v>
      </c>
      <c r="Z19" s="238"/>
      <c r="AA19" s="238">
        <f t="shared" si="0"/>
        <v>90823.2561399611</v>
      </c>
      <c r="AB19" s="238"/>
      <c r="AC19" s="238">
        <f t="shared" si="0"/>
        <v>94002.070104859726</v>
      </c>
      <c r="AD19" s="238"/>
      <c r="AE19" s="238">
        <f t="shared" si="0"/>
        <v>97292.142558529813</v>
      </c>
      <c r="AF19" s="238"/>
      <c r="AG19" s="238">
        <f t="shared" si="0"/>
        <v>100697.36754807834</v>
      </c>
    </row>
    <row r="20" spans="1:33" s="225" customFormat="1" ht="14.25">
      <c r="A20" s="225" t="s">
        <v>391</v>
      </c>
      <c r="C20" s="249"/>
      <c r="E20" s="238">
        <f>Application!W872</f>
        <v>83844</v>
      </c>
      <c r="F20" s="238"/>
      <c r="G20" s="238">
        <f t="shared" si="0"/>
        <v>86778.54</v>
      </c>
      <c r="H20" s="238"/>
      <c r="I20" s="238">
        <f t="shared" si="0"/>
        <v>89815.788899999985</v>
      </c>
      <c r="J20" s="238"/>
      <c r="K20" s="238">
        <f t="shared" si="0"/>
        <v>92959.341511499981</v>
      </c>
      <c r="L20" s="238"/>
      <c r="M20" s="238">
        <f t="shared" si="0"/>
        <v>96212.918464402479</v>
      </c>
      <c r="N20" s="238"/>
      <c r="O20" s="238">
        <f t="shared" si="0"/>
        <v>99580.370610656551</v>
      </c>
      <c r="P20" s="238"/>
      <c r="Q20" s="238">
        <f t="shared" si="0"/>
        <v>103065.68358202952</v>
      </c>
      <c r="R20" s="238"/>
      <c r="S20" s="238">
        <f t="shared" si="0"/>
        <v>106672.98250740055</v>
      </c>
      <c r="T20" s="238"/>
      <c r="U20" s="238">
        <f t="shared" si="0"/>
        <v>110406.53689515956</v>
      </c>
      <c r="V20" s="238"/>
      <c r="W20" s="238">
        <f t="shared" si="0"/>
        <v>114270.76568649014</v>
      </c>
      <c r="X20" s="238"/>
      <c r="Y20" s="238">
        <f t="shared" si="0"/>
        <v>118270.24248551729</v>
      </c>
      <c r="Z20" s="238"/>
      <c r="AA20" s="238">
        <f t="shared" si="0"/>
        <v>122409.70097251039</v>
      </c>
      <c r="AB20" s="238"/>
      <c r="AC20" s="238">
        <f t="shared" si="0"/>
        <v>126694.04050654823</v>
      </c>
      <c r="AD20" s="238"/>
      <c r="AE20" s="238">
        <f t="shared" si="0"/>
        <v>131128.33192427742</v>
      </c>
      <c r="AF20" s="238"/>
      <c r="AG20" s="238">
        <f t="shared" si="0"/>
        <v>135717.82354162712</v>
      </c>
    </row>
    <row r="21" spans="1:33" s="225" customFormat="1" ht="14.25">
      <c r="A21" s="242" t="s">
        <v>982</v>
      </c>
      <c r="B21" s="242"/>
      <c r="C21" s="249"/>
      <c r="E21" s="248">
        <f>Application!W879</f>
        <v>17141</v>
      </c>
      <c r="F21" s="238"/>
      <c r="G21" s="248">
        <f t="shared" si="0"/>
        <v>17740.934999999998</v>
      </c>
      <c r="H21" s="238"/>
      <c r="I21" s="248">
        <f t="shared" si="0"/>
        <v>18361.867724999996</v>
      </c>
      <c r="J21" s="238"/>
      <c r="K21" s="248">
        <f t="shared" si="0"/>
        <v>19004.533095374994</v>
      </c>
      <c r="L21" s="238"/>
      <c r="M21" s="248">
        <f t="shared" si="0"/>
        <v>19669.691753713119</v>
      </c>
      <c r="N21" s="238"/>
      <c r="O21" s="248">
        <f t="shared" si="0"/>
        <v>20358.130965093078</v>
      </c>
      <c r="P21" s="238"/>
      <c r="Q21" s="248">
        <f t="shared" si="0"/>
        <v>21070.665548871333</v>
      </c>
      <c r="R21" s="238"/>
      <c r="S21" s="248">
        <f t="shared" si="0"/>
        <v>21808.13884308183</v>
      </c>
      <c r="T21" s="238"/>
      <c r="U21" s="248">
        <f t="shared" si="0"/>
        <v>22571.423702589691</v>
      </c>
      <c r="V21" s="238"/>
      <c r="W21" s="248">
        <f t="shared" si="0"/>
        <v>23361.423532180328</v>
      </c>
      <c r="X21" s="238"/>
      <c r="Y21" s="248">
        <f t="shared" si="0"/>
        <v>24179.073355806639</v>
      </c>
      <c r="Z21" s="238"/>
      <c r="AA21" s="248">
        <f t="shared" si="0"/>
        <v>25025.340923259868</v>
      </c>
      <c r="AB21" s="238"/>
      <c r="AC21" s="248">
        <f t="shared" si="0"/>
        <v>25901.227855573961</v>
      </c>
      <c r="AD21" s="238"/>
      <c r="AE21" s="248">
        <f t="shared" si="0"/>
        <v>26807.770830519046</v>
      </c>
      <c r="AF21" s="238"/>
      <c r="AG21" s="248">
        <f t="shared" si="0"/>
        <v>27746.042809587212</v>
      </c>
    </row>
    <row r="22" spans="1:33" s="239" customFormat="1" ht="15">
      <c r="A22" s="239" t="s">
        <v>855</v>
      </c>
      <c r="C22" s="249"/>
      <c r="E22" s="239">
        <f>SUM(E15:E21)</f>
        <v>841861</v>
      </c>
      <c r="G22" s="239">
        <f>SUM(G15:G21)</f>
        <v>871326.13500000001</v>
      </c>
      <c r="I22" s="239">
        <f>SUM(I15:I21)</f>
        <v>901822.54972499982</v>
      </c>
      <c r="K22" s="239">
        <f>SUM(K15:K21)</f>
        <v>933386.33896537474</v>
      </c>
      <c r="M22" s="239">
        <f>SUM(M15:M21)</f>
        <v>966054.86082916276</v>
      </c>
      <c r="O22" s="239">
        <f>SUM(O15:O21)</f>
        <v>999866.78095818334</v>
      </c>
      <c r="Q22" s="239">
        <f>SUM(Q15:Q21)</f>
        <v>1034862.1182917198</v>
      </c>
      <c r="S22" s="239">
        <f>SUM(S15:S21)</f>
        <v>1071082.2924319298</v>
      </c>
      <c r="U22" s="239">
        <f>SUM(U15:U21)</f>
        <v>1108570.1726670475</v>
      </c>
      <c r="W22" s="239">
        <f>SUM(W15:W21)</f>
        <v>1147370.1287103938</v>
      </c>
      <c r="Y22" s="239">
        <f>SUM(Y15:Y21)</f>
        <v>1187528.0832152576</v>
      </c>
      <c r="AA22" s="239">
        <f>SUM(AA15:AA21)</f>
        <v>1229091.5661277915</v>
      </c>
      <c r="AC22" s="239">
        <f>SUM(AC15:AC21)</f>
        <v>1272109.7709422642</v>
      </c>
      <c r="AE22" s="239">
        <f>SUM(AE15:AE21)</f>
        <v>1316633.6129252433</v>
      </c>
      <c r="AG22" s="239">
        <f>SUM(AG15:AG21)</f>
        <v>1362715.7893776267</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35000</v>
      </c>
      <c r="F27" s="238"/>
      <c r="G27" s="238">
        <f>E27*$C$27</f>
        <v>36225</v>
      </c>
      <c r="H27" s="238"/>
      <c r="I27" s="238">
        <f>G27*$C$27</f>
        <v>37492.875</v>
      </c>
      <c r="J27" s="238"/>
      <c r="K27" s="238">
        <f>I27*$C$27</f>
        <v>38805.125625000001</v>
      </c>
      <c r="L27" s="238"/>
      <c r="M27" s="238">
        <f>K27*$C$27</f>
        <v>40163.305021875</v>
      </c>
      <c r="N27" s="238"/>
      <c r="O27" s="238">
        <f>M27*$C$27</f>
        <v>41569.020697640619</v>
      </c>
      <c r="P27" s="238"/>
      <c r="Q27" s="238">
        <f>O27*$C$27</f>
        <v>43023.936422058039</v>
      </c>
      <c r="R27" s="238"/>
      <c r="S27" s="238">
        <f>Q27*$C$27</f>
        <v>44529.774196830069</v>
      </c>
      <c r="T27" s="238"/>
      <c r="U27" s="238">
        <f>S27*$C$27</f>
        <v>46088.316293719115</v>
      </c>
      <c r="V27" s="238"/>
      <c r="W27" s="238">
        <f>U27*$C$27</f>
        <v>47701.407363999278</v>
      </c>
      <c r="X27" s="238"/>
      <c r="Y27" s="238">
        <f>W27*$C$27</f>
        <v>49370.956621739249</v>
      </c>
      <c r="Z27" s="238"/>
      <c r="AA27" s="238">
        <f>Y27*$C$27</f>
        <v>51098.940103500121</v>
      </c>
      <c r="AB27" s="238"/>
      <c r="AC27" s="238">
        <f>AA27*$C$27</f>
        <v>52887.403007122623</v>
      </c>
      <c r="AD27" s="238"/>
      <c r="AE27" s="238">
        <f>AC27*$C$27</f>
        <v>54738.462112371912</v>
      </c>
      <c r="AF27" s="238"/>
      <c r="AG27" s="238">
        <f>AE27*$C$27</f>
        <v>56654.308286304928</v>
      </c>
    </row>
    <row r="28" spans="1:33" s="225" customFormat="1" ht="14.25">
      <c r="A28" s="225" t="s">
        <v>858</v>
      </c>
      <c r="C28" s="253"/>
      <c r="E28" s="238">
        <f>Application!AC889</f>
        <v>31800</v>
      </c>
      <c r="F28" s="238"/>
      <c r="G28" s="238">
        <f>$E$28</f>
        <v>31800</v>
      </c>
      <c r="H28" s="238"/>
      <c r="I28" s="238">
        <f>$E$28</f>
        <v>31800</v>
      </c>
      <c r="J28" s="238"/>
      <c r="K28" s="238">
        <f>$E$28</f>
        <v>31800</v>
      </c>
      <c r="L28" s="238"/>
      <c r="M28" s="238">
        <f>$E$28</f>
        <v>31800</v>
      </c>
      <c r="N28" s="238"/>
      <c r="O28" s="238">
        <f>$E$28</f>
        <v>31800</v>
      </c>
      <c r="P28" s="238"/>
      <c r="Q28" s="238">
        <f>$E$28</f>
        <v>31800</v>
      </c>
      <c r="R28" s="238"/>
      <c r="S28" s="238">
        <f>$E$28</f>
        <v>31800</v>
      </c>
      <c r="T28" s="238"/>
      <c r="U28" s="238">
        <f>$E$28</f>
        <v>31800</v>
      </c>
      <c r="V28" s="238"/>
      <c r="W28" s="238">
        <f>$E$28</f>
        <v>31800</v>
      </c>
      <c r="X28" s="238"/>
      <c r="Y28" s="238">
        <f>$E$28</f>
        <v>31800</v>
      </c>
      <c r="Z28" s="238"/>
      <c r="AA28" s="238">
        <f>$E$28</f>
        <v>31800</v>
      </c>
      <c r="AB28" s="238"/>
      <c r="AC28" s="238">
        <f>$E$28</f>
        <v>31800</v>
      </c>
      <c r="AD28" s="238"/>
      <c r="AE28" s="238">
        <f>$E$28</f>
        <v>31800</v>
      </c>
      <c r="AF28" s="238"/>
      <c r="AG28" s="238">
        <f>$E$28</f>
        <v>31800</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11685</v>
      </c>
      <c r="F30" s="238"/>
      <c r="G30" s="238">
        <f>E30*$C$30</f>
        <v>11918.7</v>
      </c>
      <c r="H30" s="238"/>
      <c r="I30" s="238">
        <f>G30*$C$30</f>
        <v>12157.074000000001</v>
      </c>
      <c r="J30" s="238"/>
      <c r="K30" s="238">
        <f>I30*$C$30</f>
        <v>12400.215480000001</v>
      </c>
      <c r="L30" s="238"/>
      <c r="M30" s="238">
        <f>K30*$C$30</f>
        <v>12648.219789600002</v>
      </c>
      <c r="N30" s="238"/>
      <c r="O30" s="238">
        <f>M30*$C$30</f>
        <v>12901.184185392001</v>
      </c>
      <c r="P30" s="238"/>
      <c r="Q30" s="238">
        <f>O30*$C$30</f>
        <v>13159.207869099842</v>
      </c>
      <c r="R30" s="238"/>
      <c r="S30" s="238">
        <f>Q30*$C$30</f>
        <v>13422.392026481839</v>
      </c>
      <c r="T30" s="238"/>
      <c r="U30" s="238">
        <f>S30*$C$30</f>
        <v>13690.839867011477</v>
      </c>
      <c r="V30" s="238"/>
      <c r="W30" s="238">
        <f>U30*$C$30</f>
        <v>13964.656664351707</v>
      </c>
      <c r="X30" s="238"/>
      <c r="Y30" s="238">
        <f>W30*$C$30</f>
        <v>14243.949797638741</v>
      </c>
      <c r="Z30" s="238"/>
      <c r="AA30" s="238">
        <f>Y30*$C$30</f>
        <v>14528.828793591516</v>
      </c>
      <c r="AB30" s="238"/>
      <c r="AC30" s="238">
        <f>AA30*$C$30</f>
        <v>14819.405369463346</v>
      </c>
      <c r="AD30" s="238"/>
      <c r="AE30" s="238">
        <f>AC30*$C$30</f>
        <v>15115.793476852614</v>
      </c>
      <c r="AF30" s="238"/>
      <c r="AG30" s="238">
        <f>AE30*$C$30</f>
        <v>15418.109346389667</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 xml:space="preserve">Bond Issuance Fees </v>
      </c>
      <c r="C32" s="340">
        <v>1.0349999999999999</v>
      </c>
      <c r="E32" s="238">
        <f>Application!AC893</f>
        <v>25000</v>
      </c>
      <c r="F32" s="238"/>
      <c r="G32" s="238">
        <f>E32*$C$32</f>
        <v>25874.999999999996</v>
      </c>
      <c r="H32" s="238"/>
      <c r="I32" s="238">
        <f>G32*$C$32</f>
        <v>26780.624999999993</v>
      </c>
      <c r="J32" s="238"/>
      <c r="K32" s="238">
        <f>I32*$C$32</f>
        <v>27717.946874999991</v>
      </c>
      <c r="L32" s="238"/>
      <c r="M32" s="238">
        <f>K32*$C$32</f>
        <v>28688.075015624989</v>
      </c>
      <c r="N32" s="238"/>
      <c r="O32" s="238">
        <f>M32*$C$32</f>
        <v>29692.15764117186</v>
      </c>
      <c r="P32" s="238"/>
      <c r="Q32" s="238">
        <f>O32*$C$32</f>
        <v>30731.383158612873</v>
      </c>
      <c r="R32" s="238"/>
      <c r="S32" s="238">
        <f>Q32*$C$32</f>
        <v>31806.98156916432</v>
      </c>
      <c r="T32" s="238"/>
      <c r="U32" s="238">
        <f>S32*$C$32</f>
        <v>32920.225924085069</v>
      </c>
      <c r="V32" s="238"/>
      <c r="W32" s="238">
        <f>U32*$C$32</f>
        <v>34072.433831428047</v>
      </c>
      <c r="X32" s="238"/>
      <c r="Y32" s="238">
        <f>W32*$C$32</f>
        <v>35264.969015528026</v>
      </c>
      <c r="Z32" s="238"/>
      <c r="AA32" s="238">
        <f>Y32*$C$32</f>
        <v>36499.242931071502</v>
      </c>
      <c r="AB32" s="238"/>
      <c r="AC32" s="238">
        <f>AA32*$C$32</f>
        <v>37776.716433658999</v>
      </c>
      <c r="AD32" s="238"/>
      <c r="AE32" s="238">
        <f>AC32*$C$32</f>
        <v>39098.901508837058</v>
      </c>
      <c r="AF32" s="238"/>
      <c r="AG32" s="238">
        <f>AE32*$C$32</f>
        <v>40467.363061646349</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945346</v>
      </c>
      <c r="G35" s="239">
        <f>SUM(G22:G33)</f>
        <v>977144.83499999996</v>
      </c>
      <c r="I35" s="239">
        <f>SUM(I22:I33)</f>
        <v>1010053.1237249998</v>
      </c>
      <c r="K35" s="239">
        <f>SUM(K22:K33)</f>
        <v>1044109.6269453748</v>
      </c>
      <c r="M35" s="239">
        <f>SUM(M22:M33)</f>
        <v>1079354.4606562627</v>
      </c>
      <c r="O35" s="239">
        <f>SUM(O22:O33)</f>
        <v>1115829.1434823878</v>
      </c>
      <c r="Q35" s="239">
        <f>SUM(Q22:Q33)</f>
        <v>1153576.6457414906</v>
      </c>
      <c r="S35" s="239">
        <f>SUM(S22:S33)</f>
        <v>1192641.4402244063</v>
      </c>
      <c r="U35" s="239">
        <f>SUM(U22:U33)</f>
        <v>1233069.5547518632</v>
      </c>
      <c r="W35" s="239">
        <f>SUM(W22:W33)</f>
        <v>1274908.6265701726</v>
      </c>
      <c r="Y35" s="239">
        <f>SUM(Y22:Y33)</f>
        <v>1318207.9586501636</v>
      </c>
      <c r="AA35" s="239">
        <f>SUM(AA22:AA33)</f>
        <v>1363018.5779559547</v>
      </c>
      <c r="AC35" s="239">
        <f>SUM(AC22:AC33)</f>
        <v>1409393.2957525093</v>
      </c>
      <c r="AE35" s="239">
        <f>SUM(AE22:AE33)</f>
        <v>1457386.7700233047</v>
      </c>
      <c r="AG35" s="239">
        <f>SUM(AG22:AG33)</f>
        <v>1507055.5700719678</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1519258</v>
      </c>
      <c r="G37" s="239">
        <f>G11-G35</f>
        <v>1549074.2650000001</v>
      </c>
      <c r="I37" s="239">
        <f>I11-I35</f>
        <v>1579321.4537749998</v>
      </c>
      <c r="K37" s="239">
        <f>K11-K35</f>
        <v>1609999.3149921244</v>
      </c>
      <c r="M37" s="239">
        <f>M11-M35</f>
        <v>1641107.204829674</v>
      </c>
      <c r="O37" s="239">
        <f>O11-O35</f>
        <v>1672644.0636406976</v>
      </c>
      <c r="Q37" s="239">
        <f>Q11-Q35</f>
        <v>1704608.3915596716</v>
      </c>
      <c r="S37" s="239">
        <f>S11-S35</f>
        <v>1736998.2230092846</v>
      </c>
      <c r="U37" s="239">
        <f>U11-U35</f>
        <v>1769811.1000626693</v>
      </c>
      <c r="W37" s="239">
        <f>W11-W35</f>
        <v>1803044.0446147225</v>
      </c>
      <c r="Y37" s="239">
        <f>Y11-Y35</f>
        <v>1836693.5293143538</v>
      </c>
      <c r="AA37" s="239">
        <f>AA11-AA35</f>
        <v>1870755.4472076758</v>
      </c>
      <c r="AC37" s="239">
        <f>AC11-AC35</f>
        <v>1905225.0800402116</v>
      </c>
      <c r="AE37" s="239">
        <f>AE11-AE35</f>
        <v>1940097.0651642338</v>
      </c>
      <c r="AG37" s="239">
        <f>AG11-AG35</f>
        <v>1975365.3609952587</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Perm Bond Proceeds</v>
      </c>
      <c r="B40" s="242"/>
      <c r="C40" s="236"/>
      <c r="E40" s="238">
        <f>Application!AF627</f>
        <v>1321093.9123956356</v>
      </c>
      <c r="F40" s="238"/>
      <c r="G40" s="238">
        <f>$E$40</f>
        <v>1321093.9123956356</v>
      </c>
      <c r="H40" s="238"/>
      <c r="I40" s="238">
        <f>$E$40</f>
        <v>1321093.9123956356</v>
      </c>
      <c r="J40" s="238"/>
      <c r="K40" s="238">
        <f>$E$40</f>
        <v>1321093.9123956356</v>
      </c>
      <c r="L40" s="238"/>
      <c r="M40" s="238">
        <f>$E$40</f>
        <v>1321093.9123956356</v>
      </c>
      <c r="N40" s="238"/>
      <c r="O40" s="238">
        <f>$E$40</f>
        <v>1321093.9123956356</v>
      </c>
      <c r="P40" s="238"/>
      <c r="Q40" s="238">
        <f>$E$40</f>
        <v>1321093.9123956356</v>
      </c>
      <c r="R40" s="238"/>
      <c r="S40" s="238">
        <f>$E$40</f>
        <v>1321093.9123956356</v>
      </c>
      <c r="T40" s="238"/>
      <c r="U40" s="238">
        <f>$E$40</f>
        <v>1321093.9123956356</v>
      </c>
      <c r="V40" s="238"/>
      <c r="W40" s="238">
        <f>$E$40</f>
        <v>1321093.9123956356</v>
      </c>
      <c r="X40" s="238"/>
      <c r="Y40" s="238">
        <f>$E$40</f>
        <v>1321093.9123956356</v>
      </c>
      <c r="Z40" s="238"/>
      <c r="AA40" s="238">
        <f>$E$40</f>
        <v>1321093.9123956356</v>
      </c>
      <c r="AB40" s="238"/>
      <c r="AC40" s="238">
        <f>$E$40</f>
        <v>1321093.9123956356</v>
      </c>
      <c r="AD40" s="238"/>
      <c r="AE40" s="238">
        <f>$E$40</f>
        <v>1321093.9123956356</v>
      </c>
      <c r="AF40" s="238"/>
      <c r="AG40" s="238">
        <f>$E$40</f>
        <v>1321093.9123956356</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1321093.9123956356</v>
      </c>
      <c r="G43" s="239">
        <f>SUM(G40:G42)</f>
        <v>1321093.9123956356</v>
      </c>
      <c r="I43" s="239">
        <f>SUM(I40:I42)</f>
        <v>1321093.9123956356</v>
      </c>
      <c r="K43" s="239">
        <f>SUM(K40:K42)</f>
        <v>1321093.9123956356</v>
      </c>
      <c r="M43" s="239">
        <f>SUM(M40:M42)</f>
        <v>1321093.9123956356</v>
      </c>
      <c r="O43" s="239">
        <f>SUM(O40:O42)</f>
        <v>1321093.9123956356</v>
      </c>
      <c r="Q43" s="239">
        <f>SUM(Q40:Q42)</f>
        <v>1321093.9123956356</v>
      </c>
      <c r="S43" s="239">
        <f>SUM(S40:S42)</f>
        <v>1321093.9123956356</v>
      </c>
      <c r="U43" s="239">
        <f>SUM(U40:U42)</f>
        <v>1321093.9123956356</v>
      </c>
      <c r="W43" s="239">
        <f>SUM(W40:W42)</f>
        <v>1321093.9123956356</v>
      </c>
      <c r="Y43" s="239">
        <f>SUM(Y40:Y42)</f>
        <v>1321093.9123956356</v>
      </c>
      <c r="AA43" s="239">
        <f>SUM(AA40:AA42)</f>
        <v>1321093.9123956356</v>
      </c>
      <c r="AC43" s="239">
        <f>SUM(AC40:AC42)</f>
        <v>1321093.9123956356</v>
      </c>
      <c r="AE43" s="239">
        <f>SUM(AE40:AE42)</f>
        <v>1321093.9123956356</v>
      </c>
      <c r="AG43" s="239">
        <f>SUM(AG40:AG42)</f>
        <v>1321093.9123956356</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198164.08760436438</v>
      </c>
      <c r="G45" s="239">
        <f>G37-G43</f>
        <v>227980.35260436451</v>
      </c>
      <c r="I45" s="239">
        <f>I37-I43</f>
        <v>258227.54137936421</v>
      </c>
      <c r="K45" s="239">
        <f>K37-K43</f>
        <v>288905.40259648883</v>
      </c>
      <c r="M45" s="239">
        <f>M37-M43</f>
        <v>320013.29243403836</v>
      </c>
      <c r="O45" s="239">
        <f>O37-O43</f>
        <v>351550.15124506201</v>
      </c>
      <c r="Q45" s="239">
        <f>Q37-Q43</f>
        <v>383514.47916403599</v>
      </c>
      <c r="S45" s="239">
        <f>S37-S43</f>
        <v>415904.31061364897</v>
      </c>
      <c r="U45" s="239">
        <f>U37-U43</f>
        <v>448717.18766703364</v>
      </c>
      <c r="W45" s="239">
        <f>W37-W43</f>
        <v>481950.13221908687</v>
      </c>
      <c r="Y45" s="239">
        <f>Y37-Y43</f>
        <v>515599.61691871821</v>
      </c>
      <c r="AA45" s="239">
        <f>AA37-AA43</f>
        <v>549661.53481204016</v>
      </c>
      <c r="AC45" s="239">
        <f>AC37-AC43</f>
        <v>584131.16764457594</v>
      </c>
      <c r="AE45" s="239">
        <f>AE37-AE43</f>
        <v>619003.15276859817</v>
      </c>
      <c r="AG45" s="239">
        <f>AG37-AG43</f>
        <v>654271.44859962305</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7.6383826052439319E-2</v>
      </c>
      <c r="G47" s="243">
        <f>G45/(G4+G6+G8)</f>
        <v>8.5733393027606464E-2</v>
      </c>
      <c r="I47" s="243">
        <f>I45/(I4+I6+I8)</f>
        <v>9.4739543070375271E-2</v>
      </c>
      <c r="K47" s="243">
        <f>K45/(K4+K6+K8)</f>
        <v>0.10340952028378628</v>
      </c>
      <c r="M47" s="243">
        <f>M45/(M4+M6+M8)</f>
        <v>0.11175038107292455</v>
      </c>
      <c r="O47" s="243">
        <f>O45/(O4+O6+O8)</f>
        <v>0.11976899861532976</v>
      </c>
      <c r="Q47" s="243">
        <f>Q45/(Q4+Q6+Q8)</f>
        <v>0.12747206722132332</v>
      </c>
      <c r="S47" s="243">
        <f>S45/(S4+S6+S8)</f>
        <v>0.13486610658692791</v>
      </c>
      <c r="U47" s="243">
        <f>U45/(U4+U6+U8)</f>
        <v>0.1419574659419858</v>
      </c>
      <c r="W47" s="243">
        <f>W45/(W4+W6+W8)</f>
        <v>0.14875232809602515</v>
      </c>
      <c r="Y47" s="243">
        <f>Y45/(Y4+Y6+Y8)</f>
        <v>0.15525671338435504</v>
      </c>
      <c r="AA47" s="243">
        <f>AA45/(AA4+AA6+AA8)</f>
        <v>0.1614764835168146</v>
      </c>
      <c r="AC47" s="243">
        <f>AC45/(AC4+AC6+AC8)</f>
        <v>0.16741734533153668</v>
      </c>
      <c r="AE47" s="243">
        <f>AE45/(AE4+AE6+AE8)</f>
        <v>0.17308485445603547</v>
      </c>
      <c r="AG47" s="243">
        <f>AG45/(AG4+AG6+AG8)</f>
        <v>0.17848441887786343</v>
      </c>
    </row>
    <row r="48" spans="1:33" s="243" customFormat="1" ht="14.25">
      <c r="A48" s="243" t="s">
        <v>864</v>
      </c>
      <c r="C48" s="236"/>
      <c r="E48" s="243">
        <f>E45/E43</f>
        <v>0.150000000563941</v>
      </c>
      <c r="G48" s="243">
        <f>G45/G43</f>
        <v>0.1725693763821462</v>
      </c>
      <c r="I48" s="243">
        <f>I45/I43</f>
        <v>0.19546493928739814</v>
      </c>
      <c r="K48" s="243">
        <f>K45/K43</f>
        <v>0.21868649903366497</v>
      </c>
      <c r="M48" s="243">
        <f>M45/M43</f>
        <v>0.24223356828110348</v>
      </c>
      <c r="O48" s="243">
        <f>O45/O43</f>
        <v>0.26610534493158822</v>
      </c>
      <c r="Q48" s="243">
        <f>Q45/Q43</f>
        <v>0.29030069366422356</v>
      </c>
      <c r="S48" s="243">
        <f>S45/S43</f>
        <v>0.31481812663829434</v>
      </c>
      <c r="U48" s="243">
        <f>U45/U43</f>
        <v>0.3396557833298483</v>
      </c>
      <c r="W48" s="243">
        <f>W45/W43</f>
        <v>0.36481140946681956</v>
      </c>
      <c r="Y48" s="243">
        <f>Y45/Y43</f>
        <v>0.39028233502623894</v>
      </c>
      <c r="AA48" s="243">
        <f>AA45/AA43</f>
        <v>0.41606545125569383</v>
      </c>
      <c r="AC48" s="243">
        <f>AC45/AC43</f>
        <v>0.44215718667973303</v>
      </c>
      <c r="AE48" s="243">
        <f>AE45/AE43</f>
        <v>0.46855348205042802</v>
      </c>
      <c r="AG48" s="243">
        <f>AG45/AG43</f>
        <v>0.49524976419971922</v>
      </c>
    </row>
    <row r="49" spans="1:35" s="244" customFormat="1" ht="14.25">
      <c r="A49" s="244" t="s">
        <v>862</v>
      </c>
      <c r="C49" s="245"/>
      <c r="E49" s="244">
        <f>E37/E43</f>
        <v>1.150000000563941</v>
      </c>
      <c r="G49" s="244">
        <f>G37/G43</f>
        <v>1.1725693763821461</v>
      </c>
      <c r="I49" s="244">
        <f>I37/I43</f>
        <v>1.1954649392873982</v>
      </c>
      <c r="K49" s="244">
        <f>K37/K43</f>
        <v>1.218686499033665</v>
      </c>
      <c r="M49" s="244">
        <f>M37/M43</f>
        <v>1.2422335682811034</v>
      </c>
      <c r="O49" s="244">
        <f>O37/O43</f>
        <v>1.2661053449315882</v>
      </c>
      <c r="Q49" s="244">
        <f>Q37/Q43</f>
        <v>1.2903006936642236</v>
      </c>
      <c r="S49" s="244">
        <f>S37/S43</f>
        <v>1.3148181266382943</v>
      </c>
      <c r="U49" s="244">
        <f>U37/U43</f>
        <v>1.3396557833298484</v>
      </c>
      <c r="W49" s="244">
        <f>W37/W43</f>
        <v>1.3648114094668196</v>
      </c>
      <c r="Y49" s="244">
        <f>Y37/Y43</f>
        <v>1.390282335026239</v>
      </c>
      <c r="AA49" s="244">
        <f>AA37/AA43</f>
        <v>1.4160654512556938</v>
      </c>
      <c r="AC49" s="244">
        <f>AC37/AC43</f>
        <v>1.4421571866797331</v>
      </c>
      <c r="AE49" s="244">
        <f>AE37/AE43</f>
        <v>1.468553482050428</v>
      </c>
      <c r="AG49" s="244">
        <f>AG37/AG43</f>
        <v>1.4952497641997191</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1291</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198164.08760436438</v>
      </c>
      <c r="G60" s="997">
        <f>G45-G58</f>
        <v>227980.35260436451</v>
      </c>
      <c r="I60" s="997">
        <f>I45-I58</f>
        <v>258227.54137936421</v>
      </c>
      <c r="K60" s="997">
        <f>K45-K58</f>
        <v>288905.40259648883</v>
      </c>
      <c r="M60" s="997">
        <f>M45-M58</f>
        <v>320013.29243403836</v>
      </c>
      <c r="O60" s="997">
        <f>O45-O58</f>
        <v>351550.15124506201</v>
      </c>
      <c r="Q60" s="997">
        <f>Q45-Q58</f>
        <v>383514.47916403599</v>
      </c>
      <c r="S60" s="997">
        <f>S45-S58</f>
        <v>415904.31061364897</v>
      </c>
      <c r="U60" s="997">
        <f>U45-U58</f>
        <v>448717.18766703364</v>
      </c>
      <c r="W60" s="997">
        <f>W45-W58</f>
        <v>481950.13221908687</v>
      </c>
      <c r="Y60" s="997">
        <f>Y45-Y58</f>
        <v>515599.61691871821</v>
      </c>
      <c r="AA60" s="997">
        <f>AA45-AA58</f>
        <v>549661.53481204016</v>
      </c>
      <c r="AC60" s="997">
        <f>AC45-AC58</f>
        <v>584131.16764457594</v>
      </c>
      <c r="AE60" s="997">
        <f>AE45-AE58</f>
        <v>619003.15276859817</v>
      </c>
      <c r="AG60" s="997">
        <f>AG45-AG58</f>
        <v>654271.44859962305</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99082.04380218219</v>
      </c>
      <c r="G62" s="997">
        <f>G60*$C$62</f>
        <v>113990.17630218226</v>
      </c>
      <c r="I62" s="997">
        <f>I60*$C$62</f>
        <v>129113.7706896821</v>
      </c>
      <c r="K62" s="997">
        <f>K60*$C$62</f>
        <v>144452.70129824441</v>
      </c>
      <c r="M62" s="997">
        <f>M60*$C$62</f>
        <v>160006.64621701918</v>
      </c>
      <c r="O62" s="997">
        <f>O60*$C$62</f>
        <v>175775.075622531</v>
      </c>
      <c r="Q62" s="997">
        <f>Q60*$C$62</f>
        <v>191757.239582018</v>
      </c>
      <c r="S62" s="997">
        <f>S60*$C$62</f>
        <v>207952.15530682448</v>
      </c>
      <c r="U62" s="997">
        <f>U60*$C$62</f>
        <v>224358.59383351682</v>
      </c>
      <c r="W62" s="997">
        <f>W60*$C$62</f>
        <v>240975.06610954343</v>
      </c>
      <c r="Y62" s="997">
        <f>Y60*$C$62</f>
        <v>257799.8084593591</v>
      </c>
      <c r="AA62" s="997">
        <f>AA60*$C$62</f>
        <v>274830.76740602008</v>
      </c>
      <c r="AC62" s="997">
        <f>AC60*$C$62</f>
        <v>292065.58382228797</v>
      </c>
      <c r="AE62" s="997">
        <f>AE60*$C$62</f>
        <v>309501.57638429909</v>
      </c>
      <c r="AG62" s="997">
        <f>AG60*$C$62</f>
        <v>327135.72429981153</v>
      </c>
    </row>
    <row r="63" spans="1:35" s="997" customFormat="1">
      <c r="A63" s="2675" t="s">
        <v>1291</v>
      </c>
      <c r="B63" s="2675"/>
      <c r="C63" s="2675"/>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49541.021901091095</v>
      </c>
      <c r="G66" s="995">
        <f>G60*$C$65</f>
        <v>56995.088151091128</v>
      </c>
      <c r="I66" s="995">
        <f>I60*$C$65</f>
        <v>64556.885344841052</v>
      </c>
      <c r="K66" s="995">
        <f>K60*$C$65</f>
        <v>72226.350649122207</v>
      </c>
      <c r="M66" s="995">
        <f>M60*$C$65</f>
        <v>80003.32310850959</v>
      </c>
      <c r="O66" s="995">
        <f>O60*$C$65</f>
        <v>87887.537811265502</v>
      </c>
      <c r="Q66" s="995">
        <f>Q60*$C$65</f>
        <v>95878.619791008998</v>
      </c>
      <c r="S66" s="995">
        <f>S60*$C$65</f>
        <v>103976.07765341224</v>
      </c>
      <c r="U66" s="995">
        <f>U60*$C$65</f>
        <v>112179.29691675841</v>
      </c>
      <c r="W66" s="995">
        <f>W60*$C$65</f>
        <v>120487.53305477172</v>
      </c>
      <c r="Y66" s="995">
        <f>Y60*$C$65</f>
        <v>128899.90422967955</v>
      </c>
      <c r="AA66" s="995">
        <f>AA60*$C$65</f>
        <v>137415.38370301004</v>
      </c>
      <c r="AC66" s="995">
        <f>AC60*$C$65</f>
        <v>146032.79191114398</v>
      </c>
      <c r="AE66" s="995">
        <f>AE60*$C$65</f>
        <v>154750.78819214954</v>
      </c>
      <c r="AG66" s="995">
        <f>AG60*$C$65</f>
        <v>163567.86214990576</v>
      </c>
    </row>
    <row r="67" spans="1:35" s="995" customFormat="1">
      <c r="A67" s="1000"/>
      <c r="B67" s="1000"/>
      <c r="C67" s="1005"/>
      <c r="E67" s="999">
        <f>$E60*$C$65</f>
        <v>49541.021901091095</v>
      </c>
      <c r="G67" s="995">
        <f>G60*$C$65</f>
        <v>56995.088151091128</v>
      </c>
      <c r="I67" s="995">
        <f>I60*$C$65</f>
        <v>64556.885344841052</v>
      </c>
      <c r="K67" s="995">
        <f>K60*$C$65</f>
        <v>72226.350649122207</v>
      </c>
      <c r="M67" s="995">
        <f>M60*$C$65</f>
        <v>80003.32310850959</v>
      </c>
      <c r="O67" s="995">
        <f>O60*$C$65</f>
        <v>87887.537811265502</v>
      </c>
      <c r="Q67" s="995">
        <f>Q60*$C$65</f>
        <v>95878.619791008998</v>
      </c>
      <c r="S67" s="995">
        <f>S60*$C$65</f>
        <v>103976.07765341224</v>
      </c>
      <c r="U67" s="995">
        <f>U60*$C$65</f>
        <v>112179.29691675841</v>
      </c>
      <c r="W67" s="995">
        <f>W60*$C$65</f>
        <v>120487.53305477172</v>
      </c>
      <c r="Y67" s="995">
        <f>Y60*$C$65</f>
        <v>128899.90422967955</v>
      </c>
      <c r="AA67" s="995">
        <f>AA60*$C$65</f>
        <v>137415.38370301004</v>
      </c>
      <c r="AC67" s="995">
        <f>AC60*$C$65</f>
        <v>146032.79191114398</v>
      </c>
      <c r="AE67" s="995">
        <f>AE60*$C$65</f>
        <v>154750.78819214954</v>
      </c>
      <c r="AG67" s="995">
        <f>AG60*$C$65</f>
        <v>163567.86214990576</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99082.04380218219</v>
      </c>
      <c r="G70" s="995">
        <f>SUM(G66:G69)</f>
        <v>113990.17630218226</v>
      </c>
      <c r="I70" s="995">
        <f>SUM(I66:I69)</f>
        <v>129113.7706896821</v>
      </c>
      <c r="K70" s="995">
        <f>SUM(K66:K69)</f>
        <v>144452.70129824441</v>
      </c>
      <c r="M70" s="995">
        <f>SUM(M66:M69)</f>
        <v>160006.64621701918</v>
      </c>
      <c r="O70" s="995">
        <f>SUM(O66:O69)</f>
        <v>175775.075622531</v>
      </c>
      <c r="Q70" s="995">
        <f>SUM(Q66:Q69)</f>
        <v>191757.239582018</v>
      </c>
      <c r="S70" s="995">
        <f>SUM(S66:S69)</f>
        <v>207952.15530682448</v>
      </c>
      <c r="U70" s="995">
        <f>SUM(U66:U69)</f>
        <v>224358.59383351682</v>
      </c>
      <c r="W70" s="995">
        <f>SUM(W66:W69)</f>
        <v>240975.06610954343</v>
      </c>
      <c r="Y70" s="995">
        <f>SUM(Y66:Y69)</f>
        <v>257799.8084593591</v>
      </c>
      <c r="AA70" s="995">
        <f>SUM(AA66:AA69)</f>
        <v>274830.76740602008</v>
      </c>
      <c r="AC70" s="995">
        <f>SUM(AC66:AC69)</f>
        <v>292065.58382228797</v>
      </c>
      <c r="AE70" s="995">
        <f>SUM(AE66:AE69)</f>
        <v>309501.57638429909</v>
      </c>
      <c r="AG70" s="995">
        <f>SUM(AG66:AG69)</f>
        <v>327135.72429981153</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3" t="s">
        <v>1910</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1165000</v>
      </c>
      <c r="C5" s="286">
        <f>'Sources and Uses Budget'!$C4</f>
        <v>1165000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1165000</v>
      </c>
      <c r="C9" s="290">
        <f>SUM(C5:C8)</f>
        <v>1165000</v>
      </c>
      <c r="D9" s="290">
        <f t="shared" si="0"/>
        <v>0</v>
      </c>
      <c r="E9" s="288"/>
      <c r="F9" s="287"/>
      <c r="G9" s="383"/>
    </row>
    <row r="10" spans="1:7" s="380" customFormat="1">
      <c r="A10" s="395" t="s">
        <v>603</v>
      </c>
      <c r="B10" s="286">
        <f>'Sources and Uses Budget'!$C9</f>
        <v>23835000</v>
      </c>
      <c r="C10" s="286">
        <f>'Sources and Uses Budget'!$C9</f>
        <v>23835000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23835000</v>
      </c>
      <c r="C12" s="290">
        <f>SUM(C10:C11)</f>
        <v>23835000</v>
      </c>
      <c r="D12" s="290">
        <f t="shared" si="0"/>
        <v>0</v>
      </c>
      <c r="E12" s="288"/>
      <c r="F12" s="287"/>
      <c r="G12" s="383"/>
    </row>
    <row r="13" spans="1:7" s="380" customFormat="1">
      <c r="A13" s="396" t="s">
        <v>84</v>
      </c>
      <c r="B13" s="290">
        <f>SUM(B9+B12)</f>
        <v>25000000</v>
      </c>
      <c r="C13" s="290">
        <f>SUM(C9+C12)</f>
        <v>25000000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1232250</v>
      </c>
      <c r="C18" s="286">
        <f>'Sources and Uses Budget'!$C17</f>
        <v>1232250</v>
      </c>
      <c r="D18" s="290">
        <f t="shared" si="0"/>
        <v>0</v>
      </c>
      <c r="E18" s="288"/>
      <c r="F18" s="287"/>
      <c r="G18" s="383"/>
    </row>
    <row r="19" spans="1:7" s="380" customFormat="1">
      <c r="A19" s="145" t="s">
        <v>608</v>
      </c>
      <c r="B19" s="286">
        <f>'Sources and Uses Budget'!$C18</f>
        <v>8733376</v>
      </c>
      <c r="C19" s="286">
        <f>'Sources and Uses Budget'!$C18</f>
        <v>8733376</v>
      </c>
      <c r="D19" s="290">
        <f t="shared" si="0"/>
        <v>0</v>
      </c>
      <c r="E19" s="288"/>
      <c r="F19" s="287"/>
      <c r="G19" s="383"/>
    </row>
    <row r="20" spans="1:7" s="380" customFormat="1">
      <c r="A20" s="145" t="s">
        <v>609</v>
      </c>
      <c r="B20" s="286">
        <f>'Sources and Uses Budget'!$C19</f>
        <v>597938</v>
      </c>
      <c r="C20" s="286">
        <f>'Sources and Uses Budget'!$C19</f>
        <v>597938</v>
      </c>
      <c r="D20" s="290">
        <f t="shared" si="0"/>
        <v>0</v>
      </c>
      <c r="E20" s="288"/>
      <c r="F20" s="287"/>
      <c r="G20" s="383"/>
    </row>
    <row r="21" spans="1:7" s="380" customFormat="1">
      <c r="A21" s="145" t="s">
        <v>137</v>
      </c>
      <c r="B21" s="286">
        <f>'Sources and Uses Budget'!$C20</f>
        <v>398774</v>
      </c>
      <c r="C21" s="286">
        <f>'Sources and Uses Budget'!$C20</f>
        <v>398774</v>
      </c>
      <c r="D21" s="290">
        <f t="shared" si="0"/>
        <v>0</v>
      </c>
      <c r="E21" s="288"/>
      <c r="F21" s="287"/>
      <c r="G21" s="383"/>
    </row>
    <row r="22" spans="1:7" s="380" customFormat="1">
      <c r="A22" s="145" t="s">
        <v>138</v>
      </c>
      <c r="B22" s="286">
        <f>'Sources and Uses Budget'!$C21</f>
        <v>398775</v>
      </c>
      <c r="C22" s="286">
        <f>'Sources and Uses Budget'!$C21</f>
        <v>398775</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11361113</v>
      </c>
      <c r="C27" s="290">
        <f>SUM(C18:C26)</f>
        <v>11361113</v>
      </c>
      <c r="D27" s="290">
        <f>SUM(D18:D26)</f>
        <v>0</v>
      </c>
      <c r="E27" s="288"/>
      <c r="F27" s="287"/>
      <c r="G27" s="383"/>
    </row>
    <row r="28" spans="1:7" s="380" customFormat="1">
      <c r="A28" s="291" t="s">
        <v>141</v>
      </c>
      <c r="B28" s="286">
        <f>'Sources and Uses Budget'!$C$27</f>
        <v>170000</v>
      </c>
      <c r="C28" s="286">
        <f>'Sources and Uses Budget'!$C$27</f>
        <v>170000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240000</v>
      </c>
      <c r="C41" s="286">
        <f>'Sources and Uses Budget'!$C40</f>
        <v>240000</v>
      </c>
      <c r="D41" s="290">
        <f t="shared" si="0"/>
        <v>0</v>
      </c>
      <c r="E41" s="288"/>
      <c r="F41" s="287"/>
      <c r="G41" s="383"/>
    </row>
    <row r="42" spans="1:7" s="380" customFormat="1">
      <c r="A42" s="289" t="s">
        <v>146</v>
      </c>
      <c r="B42" s="286">
        <f>'Sources and Uses Budget'!$C41</f>
        <v>75000</v>
      </c>
      <c r="C42" s="286">
        <f>'Sources and Uses Budget'!$C41</f>
        <v>75000</v>
      </c>
      <c r="D42" s="290">
        <f t="shared" si="0"/>
        <v>0</v>
      </c>
      <c r="E42" s="288"/>
      <c r="F42" s="287"/>
      <c r="G42" s="383"/>
    </row>
    <row r="43" spans="1:7" s="380" customFormat="1">
      <c r="A43" s="291" t="s">
        <v>147</v>
      </c>
      <c r="B43" s="290">
        <f>SUM(B41:B42)</f>
        <v>315000</v>
      </c>
      <c r="C43" s="290">
        <f>SUM(C41:C42)</f>
        <v>315000</v>
      </c>
      <c r="D43" s="290">
        <f t="shared" si="0"/>
        <v>0</v>
      </c>
      <c r="E43" s="288"/>
      <c r="F43" s="287"/>
      <c r="G43" s="383"/>
    </row>
    <row r="44" spans="1:7" s="380" customFormat="1">
      <c r="A44" s="291" t="s">
        <v>148</v>
      </c>
      <c r="B44" s="286">
        <f>'Sources and Uses Budget'!$C43</f>
        <v>0</v>
      </c>
      <c r="C44" s="286">
        <f>'Sources and Uses Budget'!$C43</f>
        <v>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2175726</v>
      </c>
      <c r="C46" s="286">
        <f>'Sources and Uses Budget'!$C45</f>
        <v>2175726</v>
      </c>
      <c r="D46" s="290">
        <f t="shared" si="0"/>
        <v>0</v>
      </c>
      <c r="E46" s="288"/>
      <c r="F46" s="287"/>
      <c r="G46" s="383"/>
    </row>
    <row r="47" spans="1:7" s="380" customFormat="1">
      <c r="A47" s="145" t="s">
        <v>151</v>
      </c>
      <c r="B47" s="286">
        <f>'Sources and Uses Budget'!$C46</f>
        <v>63240</v>
      </c>
      <c r="C47" s="286">
        <f>'Sources and Uses Budget'!$C46</f>
        <v>63240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229209</v>
      </c>
      <c r="C49" s="286">
        <f>'Sources and Uses Budget'!$C48</f>
        <v>229209</v>
      </c>
      <c r="D49" s="290">
        <f t="shared" si="0"/>
        <v>0</v>
      </c>
      <c r="E49" s="288"/>
      <c r="F49" s="287"/>
      <c r="G49" s="383"/>
    </row>
    <row r="50" spans="1:7" s="380" customFormat="1">
      <c r="A50" s="145" t="s">
        <v>57</v>
      </c>
      <c r="B50" s="286">
        <f>'Sources and Uses Budget'!$C49</f>
        <v>325890</v>
      </c>
      <c r="C50" s="286">
        <f>'Sources and Uses Budget'!$C49</f>
        <v>325890</v>
      </c>
      <c r="D50" s="290">
        <f t="shared" si="0"/>
        <v>0</v>
      </c>
      <c r="E50" s="288"/>
      <c r="F50" s="287"/>
      <c r="G50" s="383"/>
    </row>
    <row r="51" spans="1:7" s="380" customFormat="1">
      <c r="A51" s="145" t="s">
        <v>156</v>
      </c>
      <c r="B51" s="286">
        <f>'Sources and Uses Budget'!$C50</f>
        <v>200000</v>
      </c>
      <c r="C51" s="286">
        <f>'Sources and Uses Budget'!$C50</f>
        <v>200000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62209</v>
      </c>
      <c r="C53" s="286">
        <f>'Sources and Uses Budget'!$C52</f>
        <v>62209</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3056274</v>
      </c>
      <c r="C55" s="293">
        <f>SUM(C46:C54)</f>
        <v>3056274</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238008</v>
      </c>
      <c r="C57" s="286">
        <f>'Sources and Uses Budget'!$C56</f>
        <v>238008</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150000</v>
      </c>
      <c r="C59" s="286">
        <f>'Sources and Uses Budget'!$C58</f>
        <v>150000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33197</v>
      </c>
      <c r="C61" s="286">
        <f>'Sources and Uses Budget'!$C60</f>
        <v>33197</v>
      </c>
      <c r="D61" s="290">
        <f t="shared" si="0"/>
        <v>0</v>
      </c>
      <c r="E61" s="288"/>
      <c r="F61" s="287"/>
      <c r="G61" s="383"/>
    </row>
    <row r="62" spans="1:7" s="380" customFormat="1">
      <c r="A62" s="1054" t="str">
        <f>'Sources and Uses Budget'!A61</f>
        <v>Equity Bridge Counsel</v>
      </c>
      <c r="B62" s="286">
        <f>'Sources and Uses Budget'!$C61</f>
        <v>45000</v>
      </c>
      <c r="C62" s="286">
        <f>'Sources and Uses Budget'!$C61</f>
        <v>45000</v>
      </c>
      <c r="D62" s="290">
        <f t="shared" si="0"/>
        <v>0</v>
      </c>
      <c r="E62" s="288"/>
      <c r="F62" s="287"/>
      <c r="G62" s="383"/>
    </row>
    <row r="63" spans="1:7" s="380" customFormat="1" ht="13.7" customHeight="1">
      <c r="A63" s="291" t="s">
        <v>302</v>
      </c>
      <c r="B63" s="290">
        <f>SUM(B57:B62)</f>
        <v>466205</v>
      </c>
      <c r="C63" s="290">
        <f>SUM(C57:C62)</f>
        <v>466205</v>
      </c>
      <c r="D63" s="290">
        <f t="shared" si="0"/>
        <v>0</v>
      </c>
      <c r="E63" s="288"/>
      <c r="F63" s="287"/>
      <c r="G63" s="383"/>
    </row>
    <row r="64" spans="1:7" s="380" customFormat="1">
      <c r="A64" s="294" t="s">
        <v>303</v>
      </c>
      <c r="B64" s="290">
        <f>SUM(B9+B12+B14+B15+B17+B26+B28+B39+B43+B44+B55+B63)</f>
        <v>29007479</v>
      </c>
      <c r="C64" s="290">
        <f>SUM(C9+C12+C14+C15+C17+C26+C28+C39+C43+C44+C55+C63)</f>
        <v>29007479</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415000</v>
      </c>
      <c r="C66" s="286">
        <f>'Sources and Uses Budget'!$C65</f>
        <v>415000</v>
      </c>
      <c r="D66" s="290">
        <f t="shared" si="0"/>
        <v>0</v>
      </c>
      <c r="E66" s="288"/>
      <c r="F66" s="287"/>
      <c r="G66" s="383"/>
    </row>
    <row r="67" spans="1:7" s="380" customFormat="1" ht="24">
      <c r="A67" s="304" t="s">
        <v>1753</v>
      </c>
      <c r="B67" s="286">
        <f>'Sources and Uses Budget'!$C66</f>
        <v>316000</v>
      </c>
      <c r="C67" s="286">
        <f>'Sources and Uses Budget'!$C66</f>
        <v>316000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Lender Inspection</v>
      </c>
      <c r="B70" s="286">
        <f>'Sources and Uses Budget'!$C69</f>
        <v>18000</v>
      </c>
      <c r="C70" s="286">
        <f>'Sources and Uses Budget'!$C69</f>
        <v>18000</v>
      </c>
      <c r="D70" s="290">
        <f t="shared" si="0"/>
        <v>0</v>
      </c>
      <c r="E70" s="288"/>
      <c r="F70" s="287"/>
      <c r="G70" s="383"/>
    </row>
    <row r="71" spans="1:7" s="380" customFormat="1">
      <c r="A71" s="149" t="s">
        <v>1757</v>
      </c>
      <c r="B71" s="290">
        <f>SUM(B66:B70)</f>
        <v>749000</v>
      </c>
      <c r="C71" s="290">
        <f>SUM(C66:C70)</f>
        <v>749000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31800</v>
      </c>
      <c r="C75" s="286">
        <f>'Sources and Uses Budget'!$C74</f>
        <v>31800</v>
      </c>
      <c r="D75" s="290">
        <f t="shared" si="0"/>
        <v>0</v>
      </c>
      <c r="E75" s="288"/>
      <c r="F75" s="287"/>
      <c r="G75" s="383"/>
    </row>
    <row r="76" spans="1:7" s="380" customFormat="1">
      <c r="A76" s="289" t="s">
        <v>614</v>
      </c>
      <c r="B76" s="286">
        <f>'Sources and Uses Budget'!$C75</f>
        <v>566610</v>
      </c>
      <c r="C76" s="286">
        <f>'Sources and Uses Budget'!$C75</f>
        <v>566610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598410</v>
      </c>
      <c r="C78" s="290">
        <f>SUM(C73:C77)</f>
        <v>598410</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1159032</v>
      </c>
      <c r="C80" s="286">
        <f>'Sources and Uses Budget'!$C79</f>
        <v>1159032</v>
      </c>
      <c r="D80" s="290">
        <f t="shared" si="1"/>
        <v>0</v>
      </c>
      <c r="E80" s="288"/>
      <c r="F80" s="287"/>
      <c r="G80" s="383"/>
    </row>
    <row r="81" spans="1:7" s="380" customFormat="1">
      <c r="A81" s="544" t="s">
        <v>58</v>
      </c>
      <c r="B81" s="286">
        <f>'Sources and Uses Budget'!$C80</f>
        <v>276711</v>
      </c>
      <c r="C81" s="286">
        <f>'Sources and Uses Budget'!$C80</f>
        <v>276711</v>
      </c>
      <c r="D81" s="290">
        <f>C81-B81</f>
        <v>0</v>
      </c>
      <c r="E81" s="288"/>
      <c r="F81" s="287"/>
      <c r="G81" s="383"/>
    </row>
    <row r="82" spans="1:7" s="380" customFormat="1">
      <c r="A82" s="291" t="s">
        <v>1316</v>
      </c>
      <c r="B82" s="290">
        <f>SUM(B80:B81)</f>
        <v>1435743</v>
      </c>
      <c r="C82" s="290">
        <f>SUM(C80:C81)</f>
        <v>1435743</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102510</v>
      </c>
      <c r="C84" s="286">
        <f>'Sources and Uses Budget'!$C83</f>
        <v>102510</v>
      </c>
      <c r="D84" s="290">
        <f t="shared" si="1"/>
        <v>0</v>
      </c>
      <c r="E84" s="288"/>
      <c r="F84" s="287"/>
      <c r="G84" s="383"/>
    </row>
    <row r="85" spans="1:7" s="380" customFormat="1">
      <c r="A85" s="289" t="s">
        <v>777</v>
      </c>
      <c r="B85" s="286">
        <f>'Sources and Uses Budget'!$C84</f>
        <v>0</v>
      </c>
      <c r="C85" s="286">
        <f>'Sources and Uses Budget'!$C84</f>
        <v>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60000</v>
      </c>
      <c r="C87" s="286">
        <f>'Sources and Uses Budget'!$C86</f>
        <v>60000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0</v>
      </c>
      <c r="C89" s="286">
        <f>'Sources and Uses Budget'!$C88</f>
        <v>0</v>
      </c>
      <c r="D89" s="290">
        <f t="shared" si="1"/>
        <v>0</v>
      </c>
      <c r="E89" s="288"/>
      <c r="F89" s="287"/>
      <c r="G89" s="383"/>
    </row>
    <row r="90" spans="1:7" s="380" customFormat="1">
      <c r="A90" s="289" t="s">
        <v>782</v>
      </c>
      <c r="B90" s="286">
        <f>'Sources and Uses Budget'!$C89</f>
        <v>40315</v>
      </c>
      <c r="C90" s="286">
        <f>'Sources and Uses Budget'!$C89</f>
        <v>40315</v>
      </c>
      <c r="D90" s="290">
        <f t="shared" si="1"/>
        <v>0</v>
      </c>
      <c r="E90" s="288"/>
      <c r="F90" s="287"/>
      <c r="G90" s="383"/>
    </row>
    <row r="91" spans="1:7" s="380" customFormat="1">
      <c r="A91" s="289" t="s">
        <v>783</v>
      </c>
      <c r="B91" s="286">
        <f>'Sources and Uses Budget'!$C90</f>
        <v>16950</v>
      </c>
      <c r="C91" s="286">
        <f>'Sources and Uses Budget'!$C90</f>
        <v>16950</v>
      </c>
      <c r="D91" s="290">
        <f t="shared" si="1"/>
        <v>0</v>
      </c>
      <c r="E91" s="288"/>
      <c r="F91" s="287"/>
      <c r="G91" s="383"/>
    </row>
    <row r="92" spans="1:7" s="380" customFormat="1">
      <c r="A92" s="289" t="s">
        <v>373</v>
      </c>
      <c r="B92" s="286">
        <f>'Sources and Uses Budget'!$C91</f>
        <v>50250</v>
      </c>
      <c r="C92" s="286">
        <f>'Sources and Uses Budget'!$C91</f>
        <v>50250</v>
      </c>
      <c r="D92" s="290">
        <f t="shared" si="1"/>
        <v>0</v>
      </c>
      <c r="E92" s="288"/>
      <c r="F92" s="287"/>
      <c r="G92" s="383"/>
    </row>
    <row r="93" spans="1:7" s="380" customFormat="1">
      <c r="A93" s="544" t="s">
        <v>1318</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25000</v>
      </c>
      <c r="C95" s="286">
        <f>'Sources and Uses Budget'!$C94</f>
        <v>25000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305025</v>
      </c>
      <c r="C97" s="290">
        <f>SUM(C84:C96)</f>
        <v>305025</v>
      </c>
      <c r="D97" s="290">
        <f t="shared" si="1"/>
        <v>0</v>
      </c>
      <c r="E97" s="288"/>
      <c r="F97" s="287"/>
      <c r="G97" s="383"/>
    </row>
    <row r="98" spans="1:7" s="380" customFormat="1">
      <c r="A98" s="291" t="s">
        <v>785</v>
      </c>
      <c r="B98" s="290">
        <f>SUM(B64+B71+B78+B82+B97)</f>
        <v>32095657</v>
      </c>
      <c r="C98" s="290">
        <f>SUM(C64+C71+C78+C82+C97)</f>
        <v>32095657</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3479290</v>
      </c>
      <c r="C100" s="286">
        <f>'Sources and Uses Budget'!$C99</f>
        <v>3479290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3479290</v>
      </c>
      <c r="C105" s="290">
        <f>SUM(C100:C104)</f>
        <v>3479290</v>
      </c>
      <c r="D105" s="290">
        <f t="shared" si="1"/>
        <v>0</v>
      </c>
      <c r="E105" s="288"/>
      <c r="F105" s="287"/>
      <c r="G105" s="383"/>
    </row>
    <row r="106" spans="1:7" s="380" customFormat="1">
      <c r="A106" s="291" t="s">
        <v>790</v>
      </c>
      <c r="B106" s="293">
        <f>SUM(B98+B105)</f>
        <v>35574947</v>
      </c>
      <c r="C106" s="293">
        <f>SUM(C98+C105)</f>
        <v>35574947</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15"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25">
      <c r="A17" s="176"/>
      <c r="B17" s="468"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1153</v>
      </c>
      <c r="E21" s="1288"/>
      <c r="F21" s="1288"/>
    </row>
    <row r="22" spans="1:6" ht="14.25">
      <c r="A22" s="176"/>
      <c r="B22" s="176"/>
      <c r="D22" s="35"/>
    </row>
    <row r="23" spans="1:6" ht="14.25">
      <c r="A23" s="176"/>
      <c r="B23" s="468" t="s">
        <v>308</v>
      </c>
      <c r="D23" s="1264" t="s">
        <v>1154</v>
      </c>
      <c r="E23" s="1264"/>
      <c r="F23" s="1264"/>
    </row>
    <row r="24" spans="1:6" ht="14.25">
      <c r="A24" s="176"/>
      <c r="B24" s="176"/>
      <c r="D24" s="1264"/>
      <c r="E24" s="1264"/>
      <c r="F24" s="1264"/>
    </row>
    <row r="25" spans="1:6"/>
    <row r="26" spans="1:6" ht="14.25">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4.25">
      <c r="A34" s="176"/>
      <c r="B34" s="176"/>
      <c r="D34" s="220"/>
    </row>
    <row r="35" spans="1:6" ht="14.45" customHeight="1">
      <c r="A35" s="176"/>
      <c r="B35" s="468" t="s">
        <v>308</v>
      </c>
      <c r="D35" s="1264" t="s">
        <v>1157</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1158</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1159</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1160</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1161</v>
      </c>
      <c r="E54" s="1264"/>
      <c r="F54" s="1264"/>
      <c r="G54" s="3"/>
    </row>
    <row r="55" spans="1:7" ht="14.25">
      <c r="A55" s="176"/>
      <c r="B55" s="176"/>
      <c r="C55" s="385"/>
      <c r="D55" s="1264"/>
      <c r="E55" s="1264"/>
      <c r="F55" s="1264"/>
      <c r="G55" s="3"/>
    </row>
    <row r="56" spans="1:7">
      <c r="D56" s="220"/>
    </row>
    <row r="57" spans="1:7" ht="14.25">
      <c r="A57" s="176"/>
      <c r="B57" s="468" t="s">
        <v>308</v>
      </c>
      <c r="D57" s="1264" t="s">
        <v>1162</v>
      </c>
      <c r="E57" s="1264"/>
      <c r="F57" s="1264"/>
    </row>
    <row r="58" spans="1:7">
      <c r="D58" s="1264"/>
      <c r="E58" s="1264"/>
      <c r="F58" s="1264"/>
    </row>
    <row r="59" spans="1:7">
      <c r="D59" s="1264"/>
      <c r="E59" s="1264"/>
      <c r="F59" s="1264"/>
    </row>
    <row r="60" spans="1:7">
      <c r="D60" s="3"/>
    </row>
    <row r="61" spans="1:7" ht="14.25">
      <c r="A61" s="176"/>
      <c r="B61" s="468" t="s">
        <v>308</v>
      </c>
      <c r="D61" s="1264" t="s">
        <v>1163</v>
      </c>
      <c r="E61" s="1264"/>
      <c r="F61" s="1264"/>
    </row>
    <row r="62" spans="1:7">
      <c r="D62" s="1264"/>
      <c r="E62" s="1264"/>
      <c r="F62" s="1264"/>
    </row>
    <row r="63" spans="1:7"/>
    <row r="64" spans="1:7" ht="14.25">
      <c r="A64" s="176"/>
      <c r="B64" s="468" t="s">
        <v>308</v>
      </c>
      <c r="D64" s="1264" t="s">
        <v>1164</v>
      </c>
      <c r="E64" s="1264"/>
      <c r="F64" s="1264"/>
    </row>
    <row r="65" spans="1:7">
      <c r="D65" s="1264"/>
      <c r="E65" s="1264"/>
      <c r="F65" s="1264"/>
    </row>
    <row r="66" spans="1:7">
      <c r="D66" s="1264"/>
      <c r="E66" s="1264"/>
      <c r="F66" s="1264"/>
    </row>
    <row r="67" spans="1:7">
      <c r="D67"/>
    </row>
    <row r="68" spans="1:7" ht="14.25">
      <c r="A68" s="176"/>
      <c r="B68" s="468" t="s">
        <v>308</v>
      </c>
      <c r="D68" s="1264" t="s">
        <v>1165</v>
      </c>
      <c r="E68" s="1264"/>
      <c r="F68" s="1264"/>
    </row>
    <row r="69" spans="1:7">
      <c r="D69" s="1264"/>
      <c r="E69" s="1264"/>
      <c r="F69" s="1264"/>
    </row>
    <row r="70" spans="1:7" ht="14.25">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25">
      <c r="A76" s="176"/>
      <c r="B76" s="468" t="s">
        <v>308</v>
      </c>
      <c r="D76" s="1264" t="s">
        <v>1171</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1270</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1172</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1173</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1174</v>
      </c>
      <c r="E114" s="1306"/>
      <c r="F114" s="1306"/>
      <c r="G114"/>
    </row>
    <row r="115" spans="1:7" ht="14.25">
      <c r="A115" s="176"/>
      <c r="B115" s="176"/>
      <c r="C115"/>
      <c r="D115" s="1306"/>
      <c r="E115" s="1306"/>
      <c r="F115" s="1306"/>
      <c r="G115"/>
    </row>
    <row r="116" spans="1:7"/>
    <row r="117" spans="1:7" ht="14.25">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1176</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1284</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1177</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1178</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1179</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15"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25">
      <c r="A178" s="176"/>
      <c r="B178" s="468" t="s">
        <v>308</v>
      </c>
      <c r="D178" s="1279" t="s">
        <v>1181</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4.25">
      <c r="A186" s="176"/>
      <c r="B186" s="468" t="s">
        <v>308</v>
      </c>
      <c r="C186" s="385"/>
      <c r="D186" s="1264" t="s">
        <v>1180</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15" customHeight="1">
      <c r="A196" s="13"/>
      <c r="C196" s="13"/>
      <c r="D196" s="1283" t="s">
        <v>555</v>
      </c>
      <c r="E196" s="1283"/>
      <c r="F196" s="1283"/>
    </row>
    <row r="197" spans="1:6" ht="14.25">
      <c r="A197" s="176"/>
      <c r="B197" s="468" t="s">
        <v>308</v>
      </c>
      <c r="D197" s="1264" t="s">
        <v>1198</v>
      </c>
      <c r="E197" s="1264"/>
      <c r="F197" s="1264"/>
    </row>
    <row r="198" spans="1:6" ht="14.25">
      <c r="A198" s="176"/>
      <c r="B198" s="176"/>
      <c r="D198" s="1264"/>
      <c r="E198" s="1264"/>
      <c r="F198" s="1264"/>
    </row>
    <row r="199" spans="1:6"/>
    <row r="200" spans="1:6" ht="14.25">
      <c r="A200" s="176"/>
      <c r="B200" s="468" t="s">
        <v>308</v>
      </c>
      <c r="D200" s="1264" t="s">
        <v>1199</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1200</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1201</v>
      </c>
      <c r="E210" s="1264"/>
      <c r="F210" s="1264"/>
    </row>
    <row r="211" spans="1:7" ht="14.25">
      <c r="A211" s="176"/>
      <c r="B211" s="176"/>
      <c r="D211" s="1264"/>
      <c r="E211" s="1264"/>
      <c r="F211" s="1264"/>
    </row>
    <row r="212" spans="1:7" ht="14.25">
      <c r="A212" s="176"/>
      <c r="B212" s="176"/>
      <c r="D212" s="1282" t="s">
        <v>910</v>
      </c>
      <c r="E212" s="1282"/>
      <c r="F212" s="1282"/>
    </row>
    <row r="213" spans="1:7" ht="14.25">
      <c r="A213" s="176"/>
      <c r="B213" s="176"/>
      <c r="D213" s="35"/>
      <c r="E213" s="35"/>
      <c r="F213" s="35"/>
    </row>
    <row r="214" spans="1:7" ht="14.45" customHeight="1">
      <c r="A214" s="176"/>
      <c r="B214" s="468" t="s">
        <v>308</v>
      </c>
      <c r="D214" s="1264" t="s">
        <v>1203</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1202</v>
      </c>
      <c r="E220" s="1264"/>
      <c r="F220" s="1264"/>
    </row>
    <row r="221" spans="1:7" ht="14.25">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1206</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45"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25">
      <c r="A253" s="176"/>
      <c r="B253" s="468" t="s">
        <v>308</v>
      </c>
      <c r="D253" s="1264" t="s">
        <v>1212</v>
      </c>
      <c r="E253" s="1264"/>
      <c r="F253" s="1264"/>
    </row>
    <row r="254" spans="1:7" ht="14.25">
      <c r="A254" s="176"/>
      <c r="B254" s="176"/>
      <c r="D254" s="1264"/>
      <c r="E254" s="1264"/>
      <c r="F254" s="1264"/>
    </row>
    <row r="255" spans="1:7">
      <c r="D255" s="35"/>
      <c r="E255" s="35"/>
      <c r="F255" s="35"/>
    </row>
    <row r="256" spans="1:7" ht="14.25">
      <c r="A256" s="176"/>
      <c r="B256" s="468" t="s">
        <v>308</v>
      </c>
      <c r="D256" s="1264" t="s">
        <v>1213</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1214</v>
      </c>
      <c r="E260" s="1264"/>
      <c r="F260" s="1264"/>
    </row>
    <row r="261" spans="1:7" ht="14.25">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8" t="s">
        <v>308</v>
      </c>
      <c r="D268" s="1284" t="s">
        <v>1216</v>
      </c>
      <c r="E268" s="1284"/>
      <c r="F268" s="1284"/>
    </row>
    <row r="269" spans="1:7" ht="14.25">
      <c r="A269" s="176"/>
      <c r="B269" s="176"/>
      <c r="D269" s="341"/>
      <c r="E269" s="342"/>
      <c r="F269" s="342"/>
    </row>
    <row r="270" spans="1:7" ht="13.15" customHeight="1">
      <c r="B270" s="468" t="s">
        <v>308</v>
      </c>
      <c r="D270" s="1314" t="s">
        <v>1217</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1218</v>
      </c>
      <c r="E276" s="1314"/>
      <c r="F276" s="1314"/>
    </row>
    <row r="277" spans="1:6">
      <c r="D277" s="1314"/>
      <c r="E277" s="1314"/>
      <c r="F277" s="1314"/>
    </row>
    <row r="278" spans="1:6" ht="14.25">
      <c r="A278" s="176"/>
      <c r="B278" s="176"/>
      <c r="D278" s="341"/>
      <c r="E278" s="342"/>
      <c r="F278" s="342"/>
    </row>
    <row r="279" spans="1:6">
      <c r="B279" s="468" t="s">
        <v>308</v>
      </c>
      <c r="D279" s="1284" t="s">
        <v>1219</v>
      </c>
      <c r="E279" s="1284"/>
      <c r="F279" s="1284"/>
    </row>
    <row r="280" spans="1:6">
      <c r="E280" s="35"/>
      <c r="F280" s="35"/>
    </row>
    <row r="281" spans="1:6" ht="14.25">
      <c r="A281" s="176"/>
      <c r="B281" s="468" t="s">
        <v>308</v>
      </c>
      <c r="D281" s="1264" t="s">
        <v>1220</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999</v>
      </c>
      <c r="E314" s="1310"/>
      <c r="F314" s="1310"/>
      <c r="G314"/>
    </row>
    <row r="315" spans="1:7" ht="13.5" thickTop="1">
      <c r="D315" s="1311" t="s">
        <v>1223</v>
      </c>
      <c r="E315" s="1311"/>
      <c r="F315" s="1311"/>
      <c r="G315"/>
    </row>
    <row r="316" spans="1:7">
      <c r="A316" s="218"/>
      <c r="B316" s="218"/>
      <c r="C316" s="218"/>
      <c r="D316" s="220"/>
      <c r="E316" s="220"/>
      <c r="F316" s="35"/>
      <c r="G316"/>
    </row>
    <row r="317" spans="1:7" ht="14.25">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1230</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1231</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1235</v>
      </c>
      <c r="E416" s="1264"/>
      <c r="F416" s="1264"/>
      <c r="G416"/>
    </row>
    <row r="417" spans="1:7">
      <c r="D417" s="1264"/>
      <c r="E417" s="1264"/>
      <c r="F417" s="1264"/>
      <c r="G417"/>
    </row>
    <row r="418" spans="1:7">
      <c r="D418" s="35"/>
      <c r="E418" s="35"/>
      <c r="F418" s="35"/>
      <c r="G418"/>
    </row>
    <row r="419" spans="1:7" ht="14.25">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25">
      <c r="A445" s="176"/>
      <c r="B445" s="176"/>
      <c r="D445" s="1312" t="s">
        <v>1239</v>
      </c>
      <c r="E445" s="1312"/>
      <c r="F445" s="1312"/>
    </row>
    <row r="446" spans="1:7" ht="14.25">
      <c r="A446" s="176"/>
      <c r="B446" s="176"/>
      <c r="D446" s="481"/>
      <c r="E446" s="3"/>
      <c r="F446" s="3"/>
    </row>
    <row r="447" spans="1:7" ht="14.25">
      <c r="A447" s="176"/>
      <c r="B447" s="468" t="s">
        <v>308</v>
      </c>
      <c r="D447" s="1267" t="s">
        <v>1240</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1241</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1242</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1243</v>
      </c>
      <c r="E459" s="1284"/>
      <c r="F459" s="1284"/>
      <c r="G459"/>
    </row>
    <row r="460" spans="1:7" ht="14.25">
      <c r="A460" s="176"/>
      <c r="B460" s="176"/>
      <c r="D460" s="118"/>
      <c r="E460" s="3"/>
      <c r="F460" s="3"/>
      <c r="G460"/>
    </row>
    <row r="461" spans="1:7" ht="14.25">
      <c r="A461" s="176"/>
      <c r="B461" s="468" t="s">
        <v>308</v>
      </c>
      <c r="D461" s="1264" t="s">
        <v>1244</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1245</v>
      </c>
      <c r="E464" s="1284"/>
      <c r="F464" s="1284"/>
      <c r="G464"/>
    </row>
    <row r="465" spans="1:7" ht="14.25">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15"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15" customHeight="1">
      <c r="A519" s="176"/>
      <c r="B519" s="468" t="s">
        <v>308</v>
      </c>
      <c r="C519" s="179"/>
      <c r="D519" s="1284" t="s">
        <v>897</v>
      </c>
      <c r="E519" s="1284"/>
      <c r="F519" s="1284"/>
      <c r="G519"/>
    </row>
    <row r="520" spans="1:7" ht="13.15" customHeight="1">
      <c r="A520" s="179"/>
      <c r="B520" s="179"/>
      <c r="C520" s="179"/>
      <c r="D520" s="118"/>
      <c r="E520"/>
      <c r="F520"/>
      <c r="G520"/>
    </row>
    <row r="521" spans="1:7" ht="14.25">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25">
      <c r="A546" s="176"/>
      <c r="B546" s="176"/>
      <c r="C546" s="179"/>
      <c r="E546" s="35"/>
      <c r="F546" s="35"/>
    </row>
    <row r="547" spans="1:7" ht="14.25">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1150</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5"/>
    </row>
    <row r="562" spans="1:6">
      <c r="A562" s="175"/>
      <c r="B562" s="468" t="s">
        <v>308</v>
      </c>
      <c r="D562" s="1301" t="s">
        <v>903</v>
      </c>
      <c r="E562" s="1301"/>
      <c r="F562" s="1301"/>
    </row>
    <row r="563" spans="1:6">
      <c r="A563" s="13"/>
      <c r="B563" s="13"/>
      <c r="D563" s="218"/>
    </row>
    <row r="564" spans="1:6">
      <c r="A564" s="13"/>
      <c r="B564" s="468"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1102</v>
      </c>
      <c r="E573" s="1301"/>
      <c r="F573" s="1301"/>
    </row>
    <row r="574" spans="1:6">
      <c r="A574" s="13"/>
      <c r="B574" s="13"/>
      <c r="D574" s="1301"/>
      <c r="E574" s="1301"/>
      <c r="F574" s="1301"/>
    </row>
    <row r="575" spans="1:6">
      <c r="A575" s="13"/>
      <c r="B575" s="13"/>
      <c r="D575" s="255"/>
    </row>
    <row r="576" spans="1:6">
      <c r="A576" s="13"/>
      <c r="B576" s="468" t="s">
        <v>308</v>
      </c>
      <c r="D576" s="1301" t="s">
        <v>1103</v>
      </c>
      <c r="E576" s="1301"/>
      <c r="F576" s="1301"/>
    </row>
    <row r="577" spans="1:7">
      <c r="A577" s="13"/>
      <c r="B577" s="13"/>
      <c r="D577" s="1301"/>
      <c r="E577" s="1301"/>
      <c r="F577" s="1301"/>
    </row>
    <row r="578" spans="1:7">
      <c r="A578" s="13"/>
      <c r="B578" s="13"/>
      <c r="D578" s="255"/>
    </row>
    <row r="579" spans="1:7" ht="14.25">
      <c r="A579" s="176"/>
      <c r="B579" s="468" t="s">
        <v>308</v>
      </c>
      <c r="D579" s="1301" t="s">
        <v>898</v>
      </c>
      <c r="E579" s="1301"/>
      <c r="F579" s="1301"/>
    </row>
    <row r="580" spans="1:7" ht="14.25">
      <c r="A580" s="176"/>
      <c r="B580" s="176"/>
      <c r="D580" s="255"/>
    </row>
    <row r="581" spans="1:7" ht="14.25">
      <c r="A581" s="176"/>
      <c r="B581" s="468" t="s">
        <v>308</v>
      </c>
      <c r="D581" s="1301" t="s">
        <v>1104</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8"/>
      <c r="E592" s="433"/>
      <c r="F592" s="433"/>
    </row>
    <row r="593" spans="1:7" ht="14.25">
      <c r="A593" s="176"/>
      <c r="B593" s="468"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c r="C609" s="180"/>
      <c r="D609" s="1281"/>
      <c r="E609" s="1281"/>
      <c r="F609" s="1281"/>
    </row>
    <row r="610" spans="1:7">
      <c r="C610" s="180"/>
    </row>
    <row r="611" spans="1:7">
      <c r="B611" s="468"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25">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1195</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45" customHeight="1">
      <c r="A640" s="176"/>
      <c r="B640" s="468" t="s">
        <v>308</v>
      </c>
      <c r="C640" s="179"/>
      <c r="D640" s="1264" t="s">
        <v>1248</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1098</v>
      </c>
      <c r="E646" s="1298"/>
      <c r="F646" s="1298"/>
    </row>
    <row r="647" spans="1:11" ht="14.25">
      <c r="A647" s="176"/>
      <c r="B647" s="176"/>
      <c r="C647" s="179"/>
      <c r="D647" s="1297" t="s">
        <v>1249</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937</v>
      </c>
      <c r="E669" s="1284"/>
      <c r="F669" s="1284"/>
      <c r="H669" s="181"/>
      <c r="I669" s="181"/>
      <c r="J669" s="181"/>
      <c r="K669" s="181"/>
    </row>
    <row r="670" spans="1:11" ht="14.25">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9"/>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4.25">
      <c r="A759" s="176"/>
      <c r="B759" s="468" t="s">
        <v>308</v>
      </c>
      <c r="D759" s="1294" t="s">
        <v>1006</v>
      </c>
      <c r="E759" s="1294"/>
      <c r="F759" s="1294"/>
      <c r="G759" s="183"/>
    </row>
    <row r="760" spans="1:11">
      <c r="D760" s="433"/>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25">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4"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1" t="s">
        <v>2358</v>
      </c>
      <c r="B73" s="1271"/>
      <c r="C73" s="1271"/>
      <c r="D73" s="1271"/>
      <c r="E73" s="1271"/>
    </row>
    <row r="74" spans="1:9" ht="12.75">
      <c r="A74" s="1271" t="s">
        <v>2359</v>
      </c>
      <c r="B74" s="1271"/>
      <c r="C74" s="1271"/>
      <c r="D74" s="1271"/>
      <c r="E74" s="1271"/>
    </row>
    <row r="75" spans="1:9" ht="12.75">
      <c r="A75" s="1271" t="s">
        <v>2061</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729" workbookViewId="0">
      <selection activeCell="D762" sqref="D762:F763"/>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7"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ht="14.25">
      <c r="A15" s="518"/>
      <c r="B15" s="519" t="s">
        <v>2784</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ht="14.25">
      <c r="A20" s="518"/>
      <c r="B20" s="519" t="s">
        <v>2784</v>
      </c>
      <c r="D20" s="1279" t="s">
        <v>2222</v>
      </c>
      <c r="E20" s="1279"/>
      <c r="F20" s="1279"/>
      <c r="I20" s="524" t="s">
        <v>2073</v>
      </c>
    </row>
    <row r="21" spans="1:9" ht="14.25">
      <c r="A21" s="518"/>
      <c r="D21" s="1279"/>
      <c r="E21" s="1279"/>
      <c r="F21" s="1279"/>
      <c r="I21" s="524"/>
    </row>
    <row r="22" spans="1:9" ht="14.25">
      <c r="A22" s="518"/>
      <c r="D22" s="423"/>
      <c r="E22" s="96" t="s">
        <v>2218</v>
      </c>
      <c r="F22" s="423"/>
      <c r="I22" s="524"/>
    </row>
    <row r="23" spans="1:9" ht="14.25">
      <c r="A23" s="518"/>
      <c r="B23" s="518"/>
      <c r="D23" s="480"/>
      <c r="I23" s="524"/>
    </row>
    <row r="24" spans="1:9" ht="14.25">
      <c r="A24" s="518"/>
      <c r="B24" s="519" t="s">
        <v>2769</v>
      </c>
      <c r="D24" s="1279" t="s">
        <v>1154</v>
      </c>
      <c r="E24" s="1279"/>
      <c r="F24" s="1279"/>
      <c r="I24" s="524" t="s">
        <v>2073</v>
      </c>
    </row>
    <row r="25" spans="1:9" ht="14.25">
      <c r="A25" s="518"/>
      <c r="B25" s="518"/>
      <c r="D25" s="1279"/>
      <c r="E25" s="1279"/>
      <c r="F25" s="1279"/>
      <c r="I25" s="524"/>
    </row>
    <row r="26" spans="1:9">
      <c r="I26" s="524"/>
    </row>
    <row r="27" spans="1:9" ht="14.25">
      <c r="A27" s="518"/>
      <c r="B27" s="519" t="s">
        <v>2784</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2784</v>
      </c>
      <c r="D33" s="1279" t="s">
        <v>2362</v>
      </c>
      <c r="E33" s="1279"/>
      <c r="F33" s="1279"/>
      <c r="I33" s="524" t="s">
        <v>2072</v>
      </c>
    </row>
    <row r="34" spans="1:9">
      <c r="D34" s="1279"/>
      <c r="E34" s="1279"/>
      <c r="F34" s="1279"/>
      <c r="I34" s="524"/>
    </row>
    <row r="35" spans="1:9" ht="14.25">
      <c r="A35" s="518"/>
      <c r="B35" s="518"/>
      <c r="D35" s="481"/>
      <c r="I35" s="524"/>
    </row>
    <row r="36" spans="1:9" ht="14.45" customHeight="1">
      <c r="A36" s="518"/>
      <c r="B36" s="519" t="s">
        <v>2784</v>
      </c>
      <c r="D36" s="1279" t="s">
        <v>1321</v>
      </c>
      <c r="E36" s="1279"/>
      <c r="F36" s="1279"/>
      <c r="I36" s="524" t="s">
        <v>2143</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2784</v>
      </c>
      <c r="D41" s="1279" t="s">
        <v>1158</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2769</v>
      </c>
      <c r="D47" s="1279" t="s">
        <v>1159</v>
      </c>
      <c r="E47" s="1279"/>
      <c r="F47" s="1279"/>
      <c r="I47" s="524" t="s">
        <v>2143</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2784</v>
      </c>
      <c r="D52" s="1279" t="s">
        <v>1160</v>
      </c>
      <c r="E52" s="1279"/>
      <c r="F52" s="1279"/>
      <c r="I52" s="524" t="s">
        <v>2143</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2784</v>
      </c>
      <c r="D56" s="1335" t="s">
        <v>1161</v>
      </c>
      <c r="E56" s="1335"/>
      <c r="F56" s="1335"/>
      <c r="I56" s="524"/>
    </row>
    <row r="57" spans="1:9" ht="14.25">
      <c r="A57" s="518"/>
      <c r="B57" s="518"/>
      <c r="D57" s="1335"/>
      <c r="E57" s="1335"/>
      <c r="F57" s="1335"/>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2769</v>
      </c>
      <c r="D61" s="1279" t="s">
        <v>1162</v>
      </c>
      <c r="E61" s="1279"/>
      <c r="F61" s="1279"/>
      <c r="I61" s="524" t="s">
        <v>2074</v>
      </c>
    </row>
    <row r="62" spans="1:9">
      <c r="D62" s="1279"/>
      <c r="E62" s="1279"/>
      <c r="F62" s="1279"/>
      <c r="I62" s="524"/>
    </row>
    <row r="63" spans="1:9">
      <c r="D63" s="1279"/>
      <c r="E63" s="1279"/>
      <c r="F63" s="1279"/>
      <c r="I63" s="524"/>
    </row>
    <row r="64" spans="1:9">
      <c r="I64" s="524"/>
    </row>
    <row r="65" spans="1:9" ht="14.25">
      <c r="A65" s="518"/>
      <c r="B65" s="519" t="s">
        <v>2769</v>
      </c>
      <c r="D65" s="1279" t="s">
        <v>1163</v>
      </c>
      <c r="E65" s="1279"/>
      <c r="F65" s="1279"/>
      <c r="I65" s="524" t="s">
        <v>2075</v>
      </c>
    </row>
    <row r="66" spans="1:9">
      <c r="D66" s="1279"/>
      <c r="E66" s="1279"/>
      <c r="F66" s="1279"/>
      <c r="I66" s="524"/>
    </row>
    <row r="67" spans="1:9">
      <c r="I67" s="524"/>
    </row>
    <row r="68" spans="1:9" ht="14.25">
      <c r="A68" s="518"/>
      <c r="B68" s="519" t="s">
        <v>2784</v>
      </c>
      <c r="D68" s="1279" t="s">
        <v>1164</v>
      </c>
      <c r="E68" s="1279"/>
      <c r="F68" s="1279"/>
      <c r="I68" s="524"/>
    </row>
    <row r="69" spans="1:9">
      <c r="D69" s="1279"/>
      <c r="E69" s="1279"/>
      <c r="F69" s="1279"/>
      <c r="I69" s="524" t="s">
        <v>2076</v>
      </c>
    </row>
    <row r="70" spans="1:9">
      <c r="D70" s="1279"/>
      <c r="E70" s="1279"/>
      <c r="F70" s="1279"/>
      <c r="I70" s="524"/>
    </row>
    <row r="71" spans="1:9">
      <c r="I71" s="524"/>
    </row>
    <row r="72" spans="1:9" ht="14.25">
      <c r="A72" s="518"/>
      <c r="B72" s="519" t="s">
        <v>2784</v>
      </c>
      <c r="D72" s="1279" t="s">
        <v>1165</v>
      </c>
      <c r="E72" s="1279"/>
      <c r="F72" s="1279"/>
      <c r="I72" s="524" t="s">
        <v>2076</v>
      </c>
    </row>
    <row r="73" spans="1:9">
      <c r="D73" s="1279"/>
      <c r="E73" s="1279"/>
      <c r="F73" s="1279"/>
      <c r="I73" s="524"/>
    </row>
    <row r="74" spans="1:9" ht="14.25">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7" customHeight="1">
      <c r="A80" s="518"/>
      <c r="B80" s="519" t="s">
        <v>2784</v>
      </c>
      <c r="D80" s="1279" t="s">
        <v>1354</v>
      </c>
      <c r="E80" s="1279"/>
      <c r="F80" s="1279"/>
      <c r="I80" s="524" t="s">
        <v>2077</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2784</v>
      </c>
      <c r="D89" s="1279" t="s">
        <v>1931</v>
      </c>
      <c r="E89" s="1279"/>
      <c r="F89" s="1279"/>
      <c r="I89" s="524" t="s">
        <v>2078</v>
      </c>
    </row>
    <row r="90" spans="1:9" ht="14.25">
      <c r="A90" s="518"/>
      <c r="B90" s="518"/>
      <c r="D90" s="1279"/>
      <c r="E90" s="1279"/>
      <c r="F90" s="1279"/>
      <c r="I90" s="524"/>
    </row>
    <row r="91" spans="1:9" ht="14.25">
      <c r="A91" s="518"/>
      <c r="B91" s="518"/>
      <c r="D91" s="479"/>
      <c r="E91" s="479"/>
      <c r="F91" s="479"/>
      <c r="I91" s="524"/>
    </row>
    <row r="92" spans="1:9" ht="14.25">
      <c r="A92" s="518"/>
      <c r="B92" s="519" t="s">
        <v>2784</v>
      </c>
      <c r="D92" s="1279" t="s">
        <v>1934</v>
      </c>
      <c r="E92" s="1279"/>
      <c r="F92" s="1279"/>
      <c r="I92" s="524" t="s">
        <v>2079</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2784</v>
      </c>
      <c r="D96" s="1279" t="s">
        <v>1933</v>
      </c>
      <c r="E96" s="1279"/>
      <c r="F96" s="1279"/>
      <c r="I96" s="524" t="s">
        <v>2124</v>
      </c>
    </row>
    <row r="97" spans="1:9" s="1022" customFormat="1" ht="14.25">
      <c r="A97" s="1020"/>
      <c r="B97" s="1020"/>
      <c r="C97" s="1021"/>
      <c r="D97" s="1279"/>
      <c r="E97" s="1279"/>
      <c r="F97" s="1279"/>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2769</v>
      </c>
      <c r="D100" s="1279" t="s">
        <v>1932</v>
      </c>
      <c r="E100" s="1279"/>
      <c r="F100" s="1279"/>
      <c r="I100" s="524" t="s">
        <v>2080</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2769</v>
      </c>
      <c r="D103" s="1279" t="s">
        <v>1301</v>
      </c>
      <c r="E103" s="1279"/>
      <c r="F103" s="1279"/>
      <c r="I103" s="524" t="s">
        <v>2081</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2769</v>
      </c>
      <c r="D119" s="1306" t="s">
        <v>1172</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2784</v>
      </c>
      <c r="C128" s="433"/>
      <c r="D128" s="1306" t="s">
        <v>2363</v>
      </c>
      <c r="E128" s="1306"/>
      <c r="F128" s="1306"/>
      <c r="I128" s="524" t="s">
        <v>2082</v>
      </c>
    </row>
    <row r="129" spans="1:9" ht="14.25">
      <c r="A129" s="518"/>
      <c r="B129" s="518"/>
      <c r="C129" s="433"/>
      <c r="D129" s="1306"/>
      <c r="E129" s="1306"/>
      <c r="F129" s="1306"/>
      <c r="I129" s="524"/>
    </row>
    <row r="130" spans="1:9">
      <c r="I130" s="524"/>
    </row>
    <row r="131" spans="1:9" ht="14.25">
      <c r="A131" s="518"/>
      <c r="B131" s="519" t="s">
        <v>2784</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2784</v>
      </c>
      <c r="D137" s="1279" t="s">
        <v>1176</v>
      </c>
      <c r="E137" s="1279"/>
      <c r="F137" s="1279"/>
      <c r="I137" s="524" t="s">
        <v>2083</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2769</v>
      </c>
      <c r="D151" s="1279" t="s">
        <v>1284</v>
      </c>
      <c r="E151" s="1279"/>
      <c r="F151" s="1279"/>
      <c r="I151" s="524" t="s">
        <v>2084</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2387</v>
      </c>
      <c r="E169" s="1337"/>
      <c r="F169" s="1337"/>
      <c r="G169" s="541"/>
      <c r="I169" s="524"/>
    </row>
    <row r="170" spans="1:9" ht="13.7" customHeight="1">
      <c r="D170" s="1312"/>
      <c r="E170" s="1312"/>
      <c r="F170" s="1312"/>
      <c r="G170" s="1312"/>
      <c r="I170" s="524"/>
    </row>
    <row r="171" spans="1:9" ht="14.45" customHeight="1">
      <c r="A171" s="523"/>
      <c r="B171" s="519" t="s">
        <v>2769</v>
      </c>
      <c r="C171" s="510"/>
      <c r="D171" s="1267" t="s">
        <v>2575</v>
      </c>
      <c r="E171" s="1267"/>
      <c r="F171" s="1267"/>
      <c r="G171" s="510"/>
      <c r="I171" s="524" t="s">
        <v>2079</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2769</v>
      </c>
      <c r="C177" s="510"/>
      <c r="D177" s="1267" t="s">
        <v>1178</v>
      </c>
      <c r="E177" s="1267"/>
      <c r="F177" s="1267"/>
      <c r="G177" s="510"/>
      <c r="I177" s="524" t="s">
        <v>2085</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2769</v>
      </c>
      <c r="D182" s="1301" t="s">
        <v>2364</v>
      </c>
      <c r="E182" s="1301"/>
      <c r="F182" s="1301"/>
      <c r="I182" s="524" t="s">
        <v>2086</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2769</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2769</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2769</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2769</v>
      </c>
      <c r="D209" s="417" t="s">
        <v>2194</v>
      </c>
      <c r="E209" s="416"/>
      <c r="F209" s="416"/>
      <c r="I209" s="524" t="s">
        <v>2138</v>
      </c>
    </row>
    <row r="210" spans="1:9" ht="14.25">
      <c r="A210" s="518"/>
      <c r="B210" s="518"/>
      <c r="D210" s="1284" t="s">
        <v>2201</v>
      </c>
      <c r="E210" s="1284"/>
      <c r="F210" s="1284"/>
      <c r="I210" s="524"/>
    </row>
    <row r="211" spans="1:9">
      <c r="D211" s="416"/>
      <c r="E211" s="1336" t="s">
        <v>2227</v>
      </c>
      <c r="F211" s="1336"/>
      <c r="I211" s="524"/>
    </row>
    <row r="212" spans="1:9">
      <c r="D212" s="481"/>
      <c r="I212" s="524"/>
    </row>
    <row r="213" spans="1:9">
      <c r="B213" s="519" t="s">
        <v>2769</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ht="14.25">
      <c r="A217" s="518"/>
      <c r="B217" s="519" t="s">
        <v>2769</v>
      </c>
      <c r="D217" s="1279" t="s">
        <v>1323</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7" customHeight="1">
      <c r="A227" s="524"/>
      <c r="C227" s="524"/>
      <c r="D227" s="1277" t="s">
        <v>555</v>
      </c>
      <c r="E227" s="1277"/>
      <c r="F227" s="1277"/>
      <c r="I227" s="524" t="s">
        <v>2087</v>
      </c>
    </row>
    <row r="228" spans="1:9" ht="14.25">
      <c r="A228" s="518"/>
      <c r="B228" s="519" t="s">
        <v>2784</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2784</v>
      </c>
      <c r="D233" s="1279" t="s">
        <v>1943</v>
      </c>
      <c r="E233" s="1279"/>
      <c r="F233" s="1279"/>
      <c r="I233" s="524" t="s">
        <v>2088</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1200</v>
      </c>
      <c r="E239" s="1279"/>
      <c r="F239" s="1279"/>
      <c r="I239" s="524" t="s">
        <v>2087</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2769</v>
      </c>
      <c r="D245" s="1279" t="s">
        <v>2366</v>
      </c>
      <c r="E245" s="1279"/>
      <c r="F245" s="1279"/>
      <c r="I245" s="524" t="s">
        <v>2126</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2769</v>
      </c>
      <c r="D250" s="1279" t="s">
        <v>2367</v>
      </c>
      <c r="E250" s="1279"/>
      <c r="F250" s="1279"/>
      <c r="I250" s="524" t="s">
        <v>2144</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2784</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2784</v>
      </c>
      <c r="D259" s="1279" t="s">
        <v>1202</v>
      </c>
      <c r="E259" s="1279"/>
      <c r="F259" s="1279"/>
      <c r="I259" s="524"/>
    </row>
    <row r="260" spans="1:9" ht="14.25">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45" customHeight="1">
      <c r="A267" s="518"/>
      <c r="B267" s="519" t="s">
        <v>2784</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45" customHeight="1">
      <c r="A271" s="518"/>
      <c r="B271" s="519" t="s">
        <v>2769</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2769</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ht="14.25">
      <c r="A290" s="518"/>
      <c r="B290" s="519" t="s">
        <v>2784</v>
      </c>
      <c r="D290" s="1279" t="s">
        <v>1212</v>
      </c>
      <c r="E290" s="1279"/>
      <c r="F290" s="1279"/>
      <c r="I290" s="524" t="s">
        <v>2089</v>
      </c>
    </row>
    <row r="291" spans="1:9" ht="14.25">
      <c r="A291" s="518"/>
      <c r="B291" s="518"/>
      <c r="D291" s="1279"/>
      <c r="E291" s="1279"/>
      <c r="F291" s="1279"/>
      <c r="I291" s="524"/>
    </row>
    <row r="292" spans="1:9">
      <c r="D292" s="480"/>
      <c r="E292" s="480"/>
      <c r="F292" s="480"/>
      <c r="I292" s="524"/>
    </row>
    <row r="293" spans="1:9" ht="14.25">
      <c r="A293" s="518"/>
      <c r="B293" s="519" t="s">
        <v>2784</v>
      </c>
      <c r="D293" s="1279" t="s">
        <v>1213</v>
      </c>
      <c r="E293" s="1279"/>
      <c r="F293" s="1279"/>
      <c r="I293" s="524" t="s">
        <v>2089</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2769</v>
      </c>
      <c r="D297" s="1279" t="s">
        <v>1214</v>
      </c>
      <c r="E297" s="1279"/>
      <c r="F297" s="1279"/>
      <c r="I297" s="524" t="s">
        <v>2089</v>
      </c>
    </row>
    <row r="298" spans="1:9" ht="14.25">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2784</v>
      </c>
      <c r="D305" s="1308" t="s">
        <v>1216</v>
      </c>
      <c r="E305" s="1308"/>
      <c r="F305" s="1308"/>
      <c r="I305" s="524" t="s">
        <v>2090</v>
      </c>
    </row>
    <row r="306" spans="1:9" ht="14.25">
      <c r="A306" s="518"/>
      <c r="B306" s="518"/>
      <c r="D306" s="528"/>
      <c r="E306" s="529"/>
      <c r="F306" s="529"/>
      <c r="I306" s="524"/>
    </row>
    <row r="307" spans="1:9" ht="13.7" customHeight="1">
      <c r="B307" s="519" t="s">
        <v>2769</v>
      </c>
      <c r="D307" s="1329" t="s">
        <v>1326</v>
      </c>
      <c r="E307" s="1329"/>
      <c r="F307" s="1329"/>
      <c r="I307" s="524" t="s">
        <v>2090</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2769</v>
      </c>
      <c r="D313" s="1329" t="s">
        <v>1218</v>
      </c>
      <c r="E313" s="1329"/>
      <c r="F313" s="1329"/>
      <c r="I313" s="524" t="s">
        <v>2090</v>
      </c>
    </row>
    <row r="314" spans="1:9">
      <c r="D314" s="1329"/>
      <c r="E314" s="1329"/>
      <c r="F314" s="1329"/>
      <c r="I314" s="524"/>
    </row>
    <row r="315" spans="1:9" ht="14.25">
      <c r="A315" s="518"/>
      <c r="B315" s="518"/>
      <c r="D315" s="528"/>
      <c r="E315" s="529"/>
      <c r="F315" s="529"/>
      <c r="I315" s="524"/>
    </row>
    <row r="316" spans="1:9">
      <c r="B316" s="519" t="s">
        <v>2769</v>
      </c>
      <c r="D316" s="1308" t="s">
        <v>1219</v>
      </c>
      <c r="E316" s="1308"/>
      <c r="F316" s="1308"/>
      <c r="I316" s="524" t="s">
        <v>2076</v>
      </c>
    </row>
    <row r="317" spans="1:9">
      <c r="E317" s="480"/>
      <c r="F317" s="480"/>
      <c r="I317" s="524"/>
    </row>
    <row r="318" spans="1:9" ht="14.25">
      <c r="A318" s="518"/>
      <c r="B318" s="519" t="s">
        <v>2784</v>
      </c>
      <c r="D318" s="1279" t="s">
        <v>2388</v>
      </c>
      <c r="E318" s="1279"/>
      <c r="F318" s="1279"/>
      <c r="I318" s="524" t="s">
        <v>2091</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1070</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2784</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4" t="s">
        <v>999</v>
      </c>
      <c r="E351" s="1334"/>
      <c r="F351" s="1334"/>
      <c r="G351" s="1062"/>
      <c r="H351" s="1062"/>
      <c r="I351" s="1259"/>
    </row>
    <row r="352" spans="1:9" ht="13.5"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ht="14.25">
      <c r="A355" s="518"/>
      <c r="B355" s="519" t="s">
        <v>2784</v>
      </c>
      <c r="C355" s="521"/>
      <c r="D355" s="1308" t="s">
        <v>2200</v>
      </c>
      <c r="E355" s="1308"/>
      <c r="F355" s="1308"/>
      <c r="I355" s="1326" t="s">
        <v>2142</v>
      </c>
    </row>
    <row r="356" spans="1:9" ht="12.75" customHeight="1">
      <c r="D356" s="1072"/>
      <c r="E356" s="96" t="s">
        <v>2199</v>
      </c>
      <c r="F356" s="1072"/>
      <c r="I356" s="1327"/>
    </row>
    <row r="357" spans="1:9">
      <c r="D357" s="1279" t="s">
        <v>1347</v>
      </c>
      <c r="E357" s="1279"/>
      <c r="F357" s="1279"/>
      <c r="I357" s="1327"/>
    </row>
    <row r="358" spans="1:9">
      <c r="D358" s="1279"/>
      <c r="E358" s="1279"/>
      <c r="F358" s="1279"/>
      <c r="I358" s="1327"/>
    </row>
    <row r="359" spans="1:9">
      <c r="D359" s="1279"/>
      <c r="E359" s="1279"/>
      <c r="F359" s="1279"/>
      <c r="I359" s="1328"/>
    </row>
    <row r="360" spans="1:9" ht="14.25">
      <c r="A360" s="518"/>
      <c r="B360" s="519" t="s">
        <v>2784</v>
      </c>
      <c r="C360" s="510"/>
      <c r="D360" s="1312" t="s">
        <v>2370</v>
      </c>
      <c r="E360" s="1312"/>
      <c r="F360" s="1312"/>
      <c r="I360" s="514"/>
    </row>
    <row r="361" spans="1:9">
      <c r="A361" s="510"/>
      <c r="B361" s="510"/>
      <c r="C361" s="510"/>
      <c r="D361" s="481"/>
      <c r="E361" s="481"/>
      <c r="F361" s="480"/>
      <c r="I361" s="524"/>
    </row>
    <row r="362" spans="1:9">
      <c r="A362" s="510"/>
      <c r="B362" s="519" t="s">
        <v>2784</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2784</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2769</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2769</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2784</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2784</v>
      </c>
      <c r="D423" s="1267" t="s">
        <v>2129</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2784</v>
      </c>
      <c r="C429" s="510"/>
      <c r="D429" s="1267" t="s">
        <v>1348</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ht="14.25">
      <c r="A435" s="518"/>
      <c r="B435" s="519" t="s">
        <v>2769</v>
      </c>
      <c r="C435" s="521"/>
      <c r="D435" s="1279" t="s">
        <v>2372</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2784</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2784</v>
      </c>
      <c r="C471" s="518"/>
      <c r="D471" s="1279" t="s">
        <v>1304</v>
      </c>
      <c r="E471" s="1279"/>
      <c r="F471" s="1279"/>
      <c r="I471" s="524"/>
    </row>
    <row r="472" spans="1:9">
      <c r="D472" s="1279"/>
      <c r="E472" s="1279"/>
      <c r="F472" s="1279"/>
      <c r="I472" s="524"/>
    </row>
    <row r="473" spans="1:9">
      <c r="D473" s="480"/>
      <c r="E473" s="480"/>
      <c r="F473" s="480"/>
      <c r="I473" s="524"/>
    </row>
    <row r="474" spans="1:9" ht="14.25">
      <c r="B474" s="519" t="s">
        <v>2784</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2784</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2769</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2769</v>
      </c>
      <c r="C486" s="433"/>
      <c r="D486" s="1279"/>
      <c r="E486" s="1279"/>
      <c r="F486" s="1279"/>
      <c r="I486" s="524"/>
    </row>
    <row r="487" spans="1:9">
      <c r="A487" s="433"/>
      <c r="C487" s="433"/>
      <c r="D487" s="1279"/>
      <c r="E487" s="1279"/>
      <c r="F487" s="1279"/>
      <c r="I487" s="524"/>
    </row>
    <row r="488" spans="1:9">
      <c r="A488" s="433"/>
      <c r="B488" s="519" t="s">
        <v>2769</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2769</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ht="14.25">
      <c r="A499" s="518"/>
      <c r="B499" s="518"/>
      <c r="D499" s="1312" t="s">
        <v>1239</v>
      </c>
      <c r="E499" s="1312"/>
      <c r="F499" s="1312"/>
      <c r="I499" s="524"/>
    </row>
    <row r="500" spans="1:9" ht="14.25">
      <c r="A500" s="518"/>
      <c r="B500" s="518"/>
      <c r="D500" s="481"/>
      <c r="I500" s="524"/>
    </row>
    <row r="501" spans="1:9" ht="14.25">
      <c r="A501" s="518"/>
      <c r="B501" s="519" t="s">
        <v>2784</v>
      </c>
      <c r="D501" s="1267" t="s">
        <v>1240</v>
      </c>
      <c r="E501" s="1267"/>
      <c r="F501" s="1267"/>
      <c r="I501" s="524" t="s">
        <v>2093</v>
      </c>
    </row>
    <row r="502" spans="1:9" ht="14.25">
      <c r="A502" s="518"/>
      <c r="B502" s="518"/>
      <c r="D502" s="1267"/>
      <c r="E502" s="1267"/>
      <c r="F502" s="1267"/>
      <c r="I502" s="524"/>
    </row>
    <row r="503" spans="1:9" ht="14.25">
      <c r="A503" s="518"/>
      <c r="B503" s="518"/>
      <c r="D503" s="480"/>
      <c r="I503" s="524"/>
    </row>
    <row r="504" spans="1:9" ht="12.75" customHeight="1">
      <c r="B504" s="519" t="s">
        <v>2784</v>
      </c>
      <c r="D504" s="1301" t="s">
        <v>1382</v>
      </c>
      <c r="E504" s="1301"/>
      <c r="F504" s="1301"/>
      <c r="I504" s="524" t="s">
        <v>2094</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2784</v>
      </c>
      <c r="D509" s="1308" t="s">
        <v>1243</v>
      </c>
      <c r="E509" s="1308"/>
      <c r="F509" s="1308"/>
      <c r="I509" s="524" t="s">
        <v>2095</v>
      </c>
    </row>
    <row r="510" spans="1:9" ht="14.25">
      <c r="A510" s="518"/>
      <c r="B510" s="518"/>
      <c r="D510" s="480"/>
      <c r="I510" s="524"/>
    </row>
    <row r="511" spans="1:9" ht="14.25">
      <c r="A511" s="518"/>
      <c r="B511" s="519" t="s">
        <v>2784</v>
      </c>
      <c r="D511" s="1279" t="s">
        <v>1244</v>
      </c>
      <c r="E511" s="1279"/>
      <c r="F511" s="1279"/>
      <c r="I511" s="524" t="s">
        <v>2095</v>
      </c>
    </row>
    <row r="512" spans="1:9" ht="14.25">
      <c r="A512" s="518"/>
      <c r="D512" s="1279"/>
      <c r="E512" s="1279"/>
      <c r="F512" s="1279"/>
      <c r="I512" s="524"/>
    </row>
    <row r="513" spans="1:9">
      <c r="A513" s="524"/>
      <c r="B513" s="524"/>
      <c r="D513" s="481"/>
      <c r="I513" s="524"/>
    </row>
    <row r="514" spans="1:9">
      <c r="A514" s="524"/>
      <c r="B514" s="519" t="s">
        <v>2769</v>
      </c>
      <c r="D514" s="1308" t="s">
        <v>1245</v>
      </c>
      <c r="E514" s="1308"/>
      <c r="F514" s="1308"/>
      <c r="I514" s="524" t="s">
        <v>2148</v>
      </c>
    </row>
    <row r="515" spans="1:9" ht="14.25">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2784</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2784</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2769</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7" customHeight="1">
      <c r="A543" s="518"/>
      <c r="B543" s="519" t="s">
        <v>2784</v>
      </c>
      <c r="C543" s="521"/>
      <c r="D543" s="1308" t="s">
        <v>897</v>
      </c>
      <c r="E543" s="1308"/>
      <c r="F543" s="1308"/>
      <c r="I543" s="524" t="s">
        <v>2146</v>
      </c>
    </row>
    <row r="544" spans="1:9" ht="13.7" customHeight="1">
      <c r="A544" s="521"/>
      <c r="B544" s="521"/>
      <c r="C544" s="521"/>
      <c r="D544" s="480"/>
      <c r="I544" s="524"/>
    </row>
    <row r="545" spans="1:9" ht="14.25">
      <c r="A545" s="518"/>
      <c r="B545" s="519" t="s">
        <v>2784</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2784</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2784</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2784</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2769</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2784</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2784</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2784</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2784</v>
      </c>
      <c r="C573" s="521"/>
      <c r="D573" s="1279" t="s">
        <v>2376</v>
      </c>
      <c r="E573" s="1279"/>
      <c r="F573" s="1279"/>
      <c r="I573" s="524" t="s">
        <v>2100</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2784</v>
      </c>
      <c r="D583" s="1301" t="s">
        <v>903</v>
      </c>
      <c r="E583" s="1301"/>
      <c r="F583" s="1301"/>
      <c r="I583" s="524"/>
    </row>
    <row r="584" spans="1:9">
      <c r="A584" s="524"/>
      <c r="B584" s="524"/>
      <c r="D584" s="510"/>
      <c r="I584" s="524"/>
    </row>
    <row r="585" spans="1:9">
      <c r="A585" s="524"/>
      <c r="B585" s="519" t="s">
        <v>2784</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2769</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2784</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2769</v>
      </c>
      <c r="D597" s="1301" t="s">
        <v>1103</v>
      </c>
      <c r="E597" s="1301"/>
      <c r="F597" s="1301"/>
      <c r="I597" s="524" t="s">
        <v>2150</v>
      </c>
    </row>
    <row r="598" spans="1:9">
      <c r="A598" s="524"/>
      <c r="B598" s="524"/>
      <c r="D598" s="1301"/>
      <c r="E598" s="1301"/>
      <c r="F598" s="1301"/>
      <c r="I598" s="524"/>
    </row>
    <row r="599" spans="1:9" ht="14.25">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2784</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2784</v>
      </c>
      <c r="D615" s="1281" t="s">
        <v>1189</v>
      </c>
      <c r="E615" s="1281"/>
      <c r="F615" s="1281"/>
      <c r="I615" s="524" t="s">
        <v>2151</v>
      </c>
    </row>
    <row r="616" spans="1:9">
      <c r="D616" s="1281"/>
      <c r="E616" s="1281"/>
      <c r="F616" s="1281"/>
      <c r="I616" s="524"/>
    </row>
    <row r="617" spans="1:9">
      <c r="I617" s="524"/>
    </row>
    <row r="618" spans="1:9">
      <c r="B618" s="519" t="s">
        <v>2784</v>
      </c>
      <c r="D618" s="1281" t="s">
        <v>1190</v>
      </c>
      <c r="E618" s="1281"/>
      <c r="F618" s="1281"/>
      <c r="I618" s="524" t="s">
        <v>2104</v>
      </c>
    </row>
    <row r="619" spans="1:9">
      <c r="C619" s="534"/>
      <c r="D619" s="1281"/>
      <c r="E619" s="1281"/>
      <c r="F619" s="1281"/>
      <c r="I619" s="524"/>
    </row>
    <row r="620" spans="1:9">
      <c r="C620" s="534"/>
      <c r="I620" s="524"/>
    </row>
    <row r="621" spans="1:9">
      <c r="B621" s="519" t="s">
        <v>2769</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2784</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2769</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2769</v>
      </c>
      <c r="C638" s="521"/>
      <c r="D638" s="1279" t="s">
        <v>1333</v>
      </c>
      <c r="E638" s="1279"/>
      <c r="F638" s="1279"/>
      <c r="I638" s="524" t="s">
        <v>2105</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2769</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2784</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2784</v>
      </c>
      <c r="C653" s="521"/>
      <c r="D653" s="1279" t="s">
        <v>1392</v>
      </c>
      <c r="E653" s="1279"/>
      <c r="F653" s="1279"/>
      <c r="I653" s="524" t="s">
        <v>2157</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2784</v>
      </c>
      <c r="C659" s="521"/>
      <c r="D659" s="1279" t="s">
        <v>1391</v>
      </c>
      <c r="E659" s="1279"/>
      <c r="F659" s="1279"/>
      <c r="I659" s="524" t="s">
        <v>2157</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1070</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ht="14.25">
      <c r="A680" s="518"/>
      <c r="B680" s="519" t="s">
        <v>2769</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2769</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ht="14.25">
      <c r="A689" s="518"/>
      <c r="B689" s="519" t="s">
        <v>2769</v>
      </c>
      <c r="C689" s="517"/>
      <c r="D689" s="1308" t="s">
        <v>937</v>
      </c>
      <c r="E689" s="1308"/>
      <c r="F689" s="1308"/>
      <c r="H689" s="535"/>
      <c r="I689" s="517"/>
      <c r="J689" s="535"/>
      <c r="K689" s="535"/>
    </row>
    <row r="690" spans="1:11" ht="14.25">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2769</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2769</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2769</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2769</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2769</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2769</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2769</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2769</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2784</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2784</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2784</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2784</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2769</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2784</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2769</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2784</v>
      </c>
      <c r="C782" s="1024"/>
      <c r="D782" s="1297" t="s">
        <v>1947</v>
      </c>
      <c r="E782" s="1297"/>
      <c r="F782" s="1297"/>
      <c r="G782" s="1023"/>
      <c r="I782" s="517" t="s">
        <v>2158</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2769</v>
      </c>
      <c r="C786" s="1024"/>
      <c r="D786" s="1297" t="s">
        <v>1948</v>
      </c>
      <c r="E786" s="1297"/>
      <c r="F786" s="1297"/>
      <c r="G786" s="1023"/>
      <c r="I786" s="517" t="s">
        <v>2158</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1992</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2769</v>
      </c>
      <c r="C796" s="1024"/>
      <c r="D796" s="1297" t="s">
        <v>1949</v>
      </c>
      <c r="E796" s="1297"/>
      <c r="F796" s="1297"/>
      <c r="G796" s="1023"/>
      <c r="I796" s="517" t="s">
        <v>2158</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2769</v>
      </c>
      <c r="C803" s="1024"/>
      <c r="D803" s="1297" t="s">
        <v>1950</v>
      </c>
      <c r="E803" s="1297"/>
      <c r="F803" s="1297"/>
      <c r="G803" s="1023"/>
      <c r="I803" s="517" t="s">
        <v>2158</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2769</v>
      </c>
      <c r="C810" s="1024"/>
      <c r="D810" s="1305" t="s">
        <v>1951</v>
      </c>
      <c r="E810" s="1305"/>
      <c r="F810" s="1305"/>
      <c r="G810" s="1023"/>
      <c r="I810" s="517" t="s">
        <v>2158</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2784</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2784</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2769</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2769</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2769</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2784</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2784</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2769</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2769</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2769</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2769</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2784</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2784</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2769</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2769</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2769</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2769</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2784</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2784</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2784</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2769</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2769</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2769</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2769</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2784</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2769</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2769</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2769</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2769</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2784</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2769</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2769</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2784</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2769</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2769</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2784</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2769</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2769</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2769</v>
      </c>
      <c r="C1050" s="433"/>
      <c r="D1050" s="433" t="s">
        <v>2002</v>
      </c>
      <c r="I1050" s="524" t="s">
        <v>2114</v>
      </c>
    </row>
    <row r="1051" spans="1:9">
      <c r="A1051" s="433"/>
      <c r="B1051" s="433"/>
      <c r="C1051" s="433"/>
      <c r="I1051" s="524"/>
    </row>
    <row r="1052" spans="1:9">
      <c r="A1052" s="433"/>
      <c r="B1052" s="519" t="s">
        <v>2769</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2784</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2769</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2769</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2769</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2769</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2769</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2784</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2164</v>
      </c>
      <c r="I1098" s="514"/>
    </row>
    <row r="1099" spans="1:9">
      <c r="A1099" s="433"/>
      <c r="B1099" s="519" t="s">
        <v>2769</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2784</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2769</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20" zoomScaleNormal="120" workbookViewId="0">
      <selection activeCell="H18" sqref="H18:AJ1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3" t="s">
        <v>100</v>
      </c>
      <c r="B8" s="1843"/>
      <c r="C8" s="1843"/>
      <c r="D8" s="1843"/>
      <c r="E8" s="1843"/>
      <c r="F8" s="1843"/>
      <c r="G8" s="1843"/>
      <c r="H8" s="1843"/>
      <c r="I8" s="1843"/>
      <c r="J8" s="1843"/>
      <c r="K8" s="1843"/>
      <c r="L8" s="1843"/>
      <c r="M8" s="1843"/>
      <c r="N8" s="1843"/>
      <c r="O8" s="1843"/>
      <c r="P8" s="1843"/>
      <c r="Q8" s="1843"/>
      <c r="R8" s="1843"/>
      <c r="S8" s="1843"/>
      <c r="T8" s="1843"/>
      <c r="U8" s="1843"/>
      <c r="V8" s="1843"/>
      <c r="W8" s="1843"/>
      <c r="X8" s="1843"/>
      <c r="Y8" s="1843"/>
      <c r="Z8" s="1843"/>
      <c r="AA8" s="1843"/>
      <c r="AB8" s="1843"/>
      <c r="AC8" s="1843"/>
      <c r="AD8" s="1843"/>
      <c r="AE8" s="1843"/>
      <c r="AF8" s="1843"/>
      <c r="AG8" s="1843"/>
      <c r="AH8" s="1843"/>
      <c r="AI8" s="1843"/>
      <c r="AJ8" s="1843"/>
      <c r="AK8" s="1843"/>
      <c r="AL8" s="1843"/>
      <c r="AM8" s="1843"/>
      <c r="AN8" s="1843"/>
      <c r="AO8" s="1843"/>
      <c r="AP8" s="1843"/>
      <c r="AQ8" s="1843"/>
      <c r="AR8" s="1843"/>
      <c r="AS8" s="1843"/>
      <c r="AT8" s="1843"/>
      <c r="AU8" s="933"/>
      <c r="AV8" s="933"/>
      <c r="AW8" s="933"/>
      <c r="AX8" s="933"/>
      <c r="AY8" s="933"/>
    </row>
    <row r="9" spans="1:51" ht="12.95"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4" t="s">
        <v>2640</v>
      </c>
      <c r="B12" s="1844"/>
      <c r="C12" s="1844"/>
      <c r="D12" s="1844"/>
      <c r="E12" s="1844"/>
      <c r="F12" s="1844"/>
      <c r="G12" s="1844"/>
      <c r="H12" s="1844"/>
      <c r="I12" s="1844"/>
      <c r="J12" s="1844"/>
      <c r="K12" s="1844"/>
      <c r="L12" s="1844"/>
      <c r="M12" s="1844"/>
      <c r="N12" s="1844"/>
      <c r="O12" s="1844"/>
      <c r="P12" s="1844"/>
      <c r="Q12" s="1844"/>
      <c r="R12" s="1844"/>
      <c r="S12" s="1844"/>
      <c r="T12" s="1844"/>
      <c r="U12" s="1844"/>
      <c r="V12" s="1844"/>
      <c r="W12" s="1844"/>
      <c r="X12" s="1844"/>
      <c r="Y12" s="1844"/>
      <c r="Z12" s="1844"/>
      <c r="AA12" s="1844"/>
      <c r="AB12" s="1844"/>
      <c r="AC12" s="1844"/>
      <c r="AD12" s="1844"/>
      <c r="AE12" s="1844"/>
      <c r="AF12" s="1844"/>
      <c r="AG12" s="1844"/>
      <c r="AH12" s="1844"/>
      <c r="AI12" s="1844"/>
      <c r="AJ12" s="1844"/>
      <c r="AK12" s="1844"/>
      <c r="AL12" s="1844"/>
      <c r="AM12" s="1844"/>
      <c r="AN12" s="1844"/>
      <c r="AO12" s="1844"/>
      <c r="AP12" s="1844"/>
      <c r="AQ12" s="1844"/>
      <c r="AR12" s="1844"/>
      <c r="AS12" s="1844"/>
      <c r="AT12" s="1844"/>
      <c r="AU12" s="6"/>
      <c r="AV12" s="6"/>
      <c r="AW12" s="6"/>
      <c r="AX12" s="6"/>
      <c r="AY12" s="6"/>
    </row>
    <row r="13" spans="1:51" ht="12.95"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554" t="s">
        <v>2653</v>
      </c>
      <c r="I16" s="1549"/>
      <c r="J16" s="1549"/>
      <c r="K16" s="1549"/>
      <c r="L16" s="1549"/>
      <c r="M16" s="1549"/>
      <c r="N16" s="1549"/>
      <c r="O16" s="1549"/>
      <c r="P16" s="1549"/>
      <c r="Q16" s="1549"/>
      <c r="R16" s="1549"/>
      <c r="S16" s="1549"/>
      <c r="T16" s="1549"/>
      <c r="U16" s="1549"/>
      <c r="V16" s="1549"/>
      <c r="W16" s="1549"/>
      <c r="X16" s="1549"/>
      <c r="Y16" s="1549"/>
      <c r="Z16" s="1549"/>
      <c r="AA16" s="1549"/>
      <c r="AB16" s="1549"/>
      <c r="AC16" s="1549"/>
      <c r="AD16" s="1549"/>
      <c r="AE16" s="1549"/>
      <c r="AF16" s="1549"/>
      <c r="AG16" s="1549"/>
      <c r="AH16" s="1549"/>
      <c r="AI16" s="1549"/>
      <c r="AJ16" s="1549"/>
    </row>
    <row r="17" spans="1:52" ht="12.95" customHeight="1"/>
    <row r="18" spans="1:52" ht="12.95" customHeight="1">
      <c r="A18" s="57" t="s">
        <v>101</v>
      </c>
      <c r="C18" s="4"/>
      <c r="D18" s="4"/>
      <c r="E18" s="4"/>
      <c r="F18" s="4"/>
      <c r="G18" s="4"/>
      <c r="H18" s="1552" t="s">
        <v>2642</v>
      </c>
      <c r="I18" s="1447"/>
      <c r="J18" s="1447"/>
      <c r="K18" s="1447"/>
      <c r="L18" s="1447"/>
      <c r="M18" s="1447"/>
      <c r="N18" s="1447"/>
      <c r="O18" s="1447"/>
      <c r="P18" s="1447"/>
      <c r="Q18" s="1447"/>
      <c r="R18" s="1447"/>
      <c r="S18" s="1447"/>
      <c r="T18" s="1447"/>
      <c r="U18" s="1447"/>
      <c r="V18" s="1447"/>
      <c r="W18" s="1447"/>
      <c r="X18" s="1447"/>
      <c r="Y18" s="1447"/>
      <c r="Z18" s="1447"/>
      <c r="AA18" s="1447"/>
      <c r="AB18" s="1447"/>
      <c r="AC18" s="1447"/>
      <c r="AD18" s="1447"/>
      <c r="AE18" s="1447"/>
      <c r="AF18" s="1447"/>
      <c r="AG18" s="1447"/>
      <c r="AH18" s="1447"/>
      <c r="AI18" s="1447"/>
      <c r="AJ18" s="1447"/>
    </row>
    <row r="19" spans="1:52" ht="12.95" customHeight="1"/>
    <row r="20" spans="1:52" ht="12.95" customHeight="1">
      <c r="A20" s="1845" t="s">
        <v>885</v>
      </c>
      <c r="B20" s="1845"/>
      <c r="C20" s="1845"/>
      <c r="D20" s="1845"/>
      <c r="E20" s="1845"/>
      <c r="F20" s="1845"/>
      <c r="G20" s="1845"/>
      <c r="H20" s="1845"/>
      <c r="I20" s="1845"/>
      <c r="J20" s="1845"/>
      <c r="K20" s="1845"/>
      <c r="L20" s="1845"/>
      <c r="M20" s="1845"/>
      <c r="N20" s="1845"/>
      <c r="O20" s="1845"/>
      <c r="P20" s="1845"/>
      <c r="Q20" s="1845"/>
      <c r="R20" s="1845"/>
      <c r="S20" s="1845"/>
      <c r="T20" s="1845"/>
      <c r="U20" s="1845"/>
      <c r="V20" s="1845"/>
      <c r="W20" s="1845"/>
      <c r="X20" s="1845"/>
      <c r="Y20" s="1845"/>
      <c r="Z20" s="1845"/>
      <c r="AA20" s="1845"/>
      <c r="AB20" s="1845"/>
      <c r="AC20" s="1845"/>
      <c r="AD20" s="1845"/>
      <c r="AE20" s="1845"/>
      <c r="AF20" s="1845"/>
      <c r="AG20" s="1845"/>
      <c r="AH20" s="1845"/>
      <c r="AI20" s="1845"/>
      <c r="AJ20" s="1845"/>
      <c r="AK20" s="1845"/>
      <c r="AL20" s="1845"/>
      <c r="AM20" s="1845"/>
      <c r="AN20" s="1845"/>
      <c r="AO20" s="1845"/>
      <c r="AP20" s="1845"/>
      <c r="AQ20" s="1845"/>
      <c r="AR20" s="1845"/>
      <c r="AS20" s="1845"/>
      <c r="AT20" s="1845"/>
      <c r="AU20" s="935"/>
      <c r="AV20" s="935"/>
      <c r="AW20" s="935"/>
      <c r="AX20" s="935"/>
      <c r="AY20" s="935"/>
    </row>
    <row r="21" spans="1:52" ht="12.95" customHeight="1">
      <c r="A21" s="1848" t="s">
        <v>1034</v>
      </c>
      <c r="B21" s="1848"/>
      <c r="C21" s="1848"/>
      <c r="D21" s="1848"/>
      <c r="E21" s="1848"/>
      <c r="F21" s="1848"/>
      <c r="G21" s="1848"/>
      <c r="H21" s="1848"/>
      <c r="I21" s="1848"/>
      <c r="J21" s="1848"/>
      <c r="K21" s="1848"/>
      <c r="L21" s="1848"/>
      <c r="M21" s="1848"/>
      <c r="N21" s="1848"/>
      <c r="O21" s="1848"/>
      <c r="P21" s="1848"/>
      <c r="Q21" s="1848"/>
      <c r="R21" s="1848"/>
      <c r="S21" s="1848"/>
      <c r="T21" s="1848"/>
      <c r="U21" s="1848"/>
      <c r="V21" s="1848"/>
      <c r="W21" s="1848"/>
      <c r="X21" s="1848"/>
      <c r="Y21" s="1848"/>
      <c r="Z21" s="1848"/>
      <c r="AA21" s="1848"/>
      <c r="AB21" s="1848"/>
      <c r="AC21" s="1848"/>
      <c r="AD21" s="1848"/>
      <c r="AE21" s="1848"/>
      <c r="AF21" s="1848"/>
      <c r="AG21" s="1848"/>
      <c r="AH21" s="1848"/>
      <c r="AI21" s="1848"/>
      <c r="AJ21" s="1848"/>
      <c r="AK21" s="1848"/>
      <c r="AL21" s="1848"/>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7">
        <f>'Basis &amp; Credits'!AB56</f>
        <v>1901879</v>
      </c>
      <c r="N26" s="1847"/>
      <c r="O26" s="1847"/>
      <c r="P26" s="1847"/>
      <c r="Q26" s="1847"/>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442">
        <f>'Basis &amp; Credits'!AB78</f>
        <v>0</v>
      </c>
      <c r="N27" s="1442"/>
      <c r="O27" s="1442"/>
      <c r="P27" s="1442"/>
      <c r="Q27" s="1442"/>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580" t="s">
        <v>2507</v>
      </c>
      <c r="B29" s="1580"/>
      <c r="C29" s="1580"/>
      <c r="D29" s="1580"/>
      <c r="E29" s="1580"/>
      <c r="F29" s="1580"/>
      <c r="G29" s="1580"/>
      <c r="H29" s="1580"/>
      <c r="I29" s="1580"/>
      <c r="J29" s="1580"/>
      <c r="K29" s="1580"/>
      <c r="L29" s="1580"/>
      <c r="M29" s="1580"/>
      <c r="N29" s="1580"/>
      <c r="O29" s="1580"/>
      <c r="P29" s="1580"/>
      <c r="Q29" s="1580"/>
      <c r="R29" s="1580"/>
      <c r="S29" s="1580"/>
      <c r="T29" s="1580"/>
      <c r="U29" s="1580"/>
      <c r="V29" s="1580"/>
      <c r="W29" s="1580"/>
      <c r="X29" s="1580"/>
      <c r="Y29" s="1580"/>
      <c r="Z29" s="1580"/>
      <c r="AA29" s="1580"/>
      <c r="AB29" s="1580"/>
      <c r="AC29" s="1580"/>
      <c r="AD29" s="1580"/>
      <c r="AE29" s="1580"/>
      <c r="AF29" s="1580"/>
      <c r="AG29" s="1580"/>
      <c r="AH29" s="1580"/>
      <c r="AI29" s="1580"/>
      <c r="AJ29" s="1580"/>
      <c r="AK29" s="1580"/>
      <c r="AL29" s="1580"/>
      <c r="AM29" s="1580"/>
      <c r="AN29" s="1580"/>
      <c r="AO29" s="1580"/>
      <c r="AP29" s="1580"/>
      <c r="AQ29" s="1580"/>
      <c r="AR29" s="1580"/>
      <c r="AS29" s="1580"/>
      <c r="AT29" s="1580"/>
    </row>
    <row r="30" spans="1:52" ht="12.95" customHeight="1">
      <c r="A30" s="1580"/>
      <c r="B30" s="1580"/>
      <c r="C30" s="1580"/>
      <c r="D30" s="1580"/>
      <c r="E30" s="1580"/>
      <c r="F30" s="1580"/>
      <c r="G30" s="1580"/>
      <c r="H30" s="1580"/>
      <c r="I30" s="1580"/>
      <c r="J30" s="1580"/>
      <c r="K30" s="1580"/>
      <c r="L30" s="1580"/>
      <c r="M30" s="1580"/>
      <c r="N30" s="1580"/>
      <c r="O30" s="1580"/>
      <c r="P30" s="1580"/>
      <c r="Q30" s="1580"/>
      <c r="R30" s="1580"/>
      <c r="S30" s="1580"/>
      <c r="T30" s="1580"/>
      <c r="U30" s="1580"/>
      <c r="V30" s="1580"/>
      <c r="W30" s="1580"/>
      <c r="X30" s="1580"/>
      <c r="Y30" s="1580"/>
      <c r="Z30" s="1580"/>
      <c r="AA30" s="1580"/>
      <c r="AB30" s="1580"/>
      <c r="AC30" s="1580"/>
      <c r="AD30" s="1580"/>
      <c r="AE30" s="1580"/>
      <c r="AF30" s="1580"/>
      <c r="AG30" s="1580"/>
      <c r="AH30" s="1580"/>
      <c r="AI30" s="1580"/>
      <c r="AJ30" s="1580"/>
      <c r="AK30" s="1580"/>
      <c r="AL30" s="1580"/>
      <c r="AM30" s="1580"/>
      <c r="AN30" s="1580"/>
      <c r="AO30" s="1580"/>
      <c r="AP30" s="1580"/>
      <c r="AQ30" s="1580"/>
      <c r="AR30" s="1580"/>
      <c r="AS30" s="1580"/>
      <c r="AT30" s="1580"/>
      <c r="AZ30" s="20"/>
    </row>
    <row r="31" spans="1:52" ht="12.95" customHeight="1">
      <c r="A31" s="1580"/>
      <c r="B31" s="1580"/>
      <c r="C31" s="1580"/>
      <c r="D31" s="1580"/>
      <c r="E31" s="1580"/>
      <c r="F31" s="1580"/>
      <c r="G31" s="1580"/>
      <c r="H31" s="1580"/>
      <c r="I31" s="1580"/>
      <c r="J31" s="1580"/>
      <c r="K31" s="1580"/>
      <c r="L31" s="1580"/>
      <c r="M31" s="1580"/>
      <c r="N31" s="1580"/>
      <c r="O31" s="1580"/>
      <c r="P31" s="1580"/>
      <c r="Q31" s="1580"/>
      <c r="R31" s="1580"/>
      <c r="S31" s="1580"/>
      <c r="T31" s="1580"/>
      <c r="U31" s="1580"/>
      <c r="V31" s="1580"/>
      <c r="W31" s="1580"/>
      <c r="X31" s="1580"/>
      <c r="Y31" s="1580"/>
      <c r="Z31" s="1580"/>
      <c r="AA31" s="1580"/>
      <c r="AB31" s="1580"/>
      <c r="AC31" s="1580"/>
      <c r="AD31" s="1580"/>
      <c r="AE31" s="1580"/>
      <c r="AF31" s="1580"/>
      <c r="AG31" s="1580"/>
      <c r="AH31" s="1580"/>
      <c r="AI31" s="1580"/>
      <c r="AJ31" s="1580"/>
      <c r="AK31" s="1580"/>
      <c r="AL31" s="1580"/>
      <c r="AM31" s="1580"/>
      <c r="AN31" s="1580"/>
      <c r="AO31" s="1580"/>
      <c r="AP31" s="1580"/>
      <c r="AQ31" s="1580"/>
      <c r="AR31" s="1580"/>
      <c r="AS31" s="1580"/>
      <c r="AT31" s="1580"/>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428" t="s">
        <v>678</v>
      </c>
      <c r="P33" s="1428"/>
      <c r="Q33" s="1846" t="s">
        <v>2508</v>
      </c>
      <c r="R33" s="1846"/>
      <c r="S33" s="1846"/>
      <c r="T33" s="1846"/>
      <c r="U33" s="1846"/>
      <c r="V33" s="1846"/>
      <c r="W33" s="1846"/>
      <c r="X33" s="1846"/>
      <c r="Y33" s="1846"/>
      <c r="Z33" s="1846"/>
      <c r="AA33" s="1846"/>
      <c r="AB33" s="1846"/>
      <c r="AC33" s="1846"/>
      <c r="AD33" s="1846"/>
      <c r="AE33" s="1846"/>
      <c r="AF33" s="1846"/>
      <c r="AG33" s="1846"/>
      <c r="AH33" s="1846"/>
      <c r="AI33" s="1846"/>
      <c r="AJ33" s="1846"/>
      <c r="AK33" s="1846"/>
      <c r="AL33" s="1846"/>
      <c r="AM33" s="1846"/>
      <c r="AN33" s="1846"/>
      <c r="AO33" s="1846"/>
      <c r="AP33" s="1846"/>
      <c r="AQ33" s="1846"/>
      <c r="AR33" s="1846"/>
      <c r="AS33" s="1846"/>
      <c r="AT33" s="1846"/>
      <c r="AU33" s="20"/>
      <c r="AV33" s="20"/>
      <c r="AW33" s="20"/>
      <c r="AX33" s="20"/>
      <c r="AY33" s="20"/>
    </row>
    <row r="34" spans="1:52" ht="12.95" customHeight="1">
      <c r="A34" s="1580" t="s">
        <v>2509</v>
      </c>
      <c r="B34" s="1580"/>
      <c r="C34" s="1580"/>
      <c r="D34" s="1580"/>
      <c r="E34" s="1580"/>
      <c r="F34" s="1580"/>
      <c r="G34" s="1580"/>
      <c r="H34" s="1580"/>
      <c r="I34" s="1580"/>
      <c r="J34" s="1580"/>
      <c r="K34" s="1580"/>
      <c r="L34" s="1580"/>
      <c r="M34" s="1580"/>
      <c r="N34" s="1580"/>
      <c r="O34" s="1580"/>
      <c r="P34" s="1580"/>
      <c r="Q34" s="1580"/>
      <c r="R34" s="1580"/>
      <c r="S34" s="1580"/>
      <c r="T34" s="1580"/>
      <c r="U34" s="1580"/>
      <c r="V34" s="1580"/>
      <c r="W34" s="1580"/>
      <c r="X34" s="1580"/>
      <c r="Y34" s="1580"/>
      <c r="Z34" s="1580"/>
      <c r="AA34" s="1580"/>
      <c r="AB34" s="1580"/>
      <c r="AC34" s="1580"/>
      <c r="AD34" s="1580"/>
      <c r="AE34" s="1580"/>
      <c r="AF34" s="1580"/>
      <c r="AG34" s="1580"/>
      <c r="AH34" s="1580"/>
      <c r="AI34" s="1580"/>
      <c r="AJ34" s="1580"/>
      <c r="AK34" s="1580"/>
      <c r="AL34" s="1580"/>
      <c r="AM34" s="1580"/>
      <c r="AN34" s="1580"/>
      <c r="AO34" s="1580"/>
      <c r="AP34" s="1580"/>
      <c r="AQ34" s="1580"/>
      <c r="AR34" s="1580"/>
      <c r="AS34" s="1580"/>
      <c r="AT34" s="1580"/>
      <c r="AU34" s="20"/>
      <c r="AV34" s="20"/>
      <c r="AW34" s="20"/>
      <c r="AX34" s="20"/>
      <c r="AY34" s="20"/>
      <c r="AZ34" s="20"/>
    </row>
    <row r="35" spans="1:52" ht="12.95" customHeight="1">
      <c r="A35" s="1580"/>
      <c r="B35" s="1580"/>
      <c r="C35" s="1580"/>
      <c r="D35" s="1580"/>
      <c r="E35" s="1580"/>
      <c r="F35" s="1580"/>
      <c r="G35" s="1580"/>
      <c r="H35" s="1580"/>
      <c r="I35" s="1580"/>
      <c r="J35" s="1580"/>
      <c r="K35" s="1580"/>
      <c r="L35" s="1580"/>
      <c r="M35" s="1580"/>
      <c r="N35" s="1580"/>
      <c r="O35" s="1580"/>
      <c r="P35" s="1580"/>
      <c r="Q35" s="1580"/>
      <c r="R35" s="1580"/>
      <c r="S35" s="1580"/>
      <c r="T35" s="1580"/>
      <c r="U35" s="1580"/>
      <c r="V35" s="1580"/>
      <c r="W35" s="1580"/>
      <c r="X35" s="1580"/>
      <c r="Y35" s="1580"/>
      <c r="Z35" s="1580"/>
      <c r="AA35" s="1580"/>
      <c r="AB35" s="1580"/>
      <c r="AC35" s="1580"/>
      <c r="AD35" s="1580"/>
      <c r="AE35" s="1580"/>
      <c r="AF35" s="1580"/>
      <c r="AG35" s="1580"/>
      <c r="AH35" s="1580"/>
      <c r="AI35" s="1580"/>
      <c r="AJ35" s="1580"/>
      <c r="AK35" s="1580"/>
      <c r="AL35" s="1580"/>
      <c r="AM35" s="1580"/>
      <c r="AN35" s="1580"/>
      <c r="AO35" s="1580"/>
      <c r="AP35" s="1580"/>
      <c r="AQ35" s="1580"/>
      <c r="AR35" s="1580"/>
      <c r="AS35" s="1580"/>
      <c r="AT35" s="1580"/>
      <c r="AU35" s="20"/>
      <c r="AV35" s="20"/>
      <c r="AW35" s="20"/>
      <c r="AX35" s="20"/>
      <c r="AY35" s="20"/>
      <c r="AZ35" s="20"/>
    </row>
    <row r="36" spans="1:52" ht="12.95" customHeight="1">
      <c r="A36" s="1580"/>
      <c r="B36" s="1580"/>
      <c r="C36" s="1580"/>
      <c r="D36" s="1580"/>
      <c r="E36" s="1580"/>
      <c r="F36" s="1580"/>
      <c r="G36" s="1580"/>
      <c r="H36" s="1580"/>
      <c r="I36" s="1580"/>
      <c r="J36" s="1580"/>
      <c r="K36" s="1580"/>
      <c r="L36" s="1580"/>
      <c r="M36" s="1580"/>
      <c r="N36" s="1580"/>
      <c r="O36" s="1580"/>
      <c r="P36" s="1580"/>
      <c r="Q36" s="1580"/>
      <c r="R36" s="1580"/>
      <c r="S36" s="1580"/>
      <c r="T36" s="1580"/>
      <c r="U36" s="1580"/>
      <c r="V36" s="1580"/>
      <c r="W36" s="1580"/>
      <c r="X36" s="1580"/>
      <c r="Y36" s="1580"/>
      <c r="Z36" s="1580"/>
      <c r="AA36" s="1580"/>
      <c r="AB36" s="1580"/>
      <c r="AC36" s="1580"/>
      <c r="AD36" s="1580"/>
      <c r="AE36" s="1580"/>
      <c r="AF36" s="1580"/>
      <c r="AG36" s="1580"/>
      <c r="AH36" s="1580"/>
      <c r="AI36" s="1580"/>
      <c r="AJ36" s="1580"/>
      <c r="AK36" s="1580"/>
      <c r="AL36" s="1580"/>
      <c r="AM36" s="1580"/>
      <c r="AN36" s="1580"/>
      <c r="AO36" s="1580"/>
      <c r="AP36" s="1580"/>
      <c r="AQ36" s="1580"/>
      <c r="AR36" s="1580"/>
      <c r="AS36" s="1580"/>
      <c r="AT36" s="1580"/>
      <c r="AU36" s="20"/>
      <c r="AV36" s="20"/>
      <c r="AW36" s="20"/>
      <c r="AX36" s="20"/>
      <c r="AY36" s="20"/>
      <c r="AZ36" s="20"/>
    </row>
    <row r="37" spans="1:52" ht="12.95" customHeight="1">
      <c r="A37" s="1580"/>
      <c r="B37" s="1580"/>
      <c r="C37" s="1580"/>
      <c r="D37" s="1580"/>
      <c r="E37" s="1580"/>
      <c r="F37" s="1580"/>
      <c r="G37" s="1580"/>
      <c r="H37" s="1580"/>
      <c r="I37" s="1580"/>
      <c r="J37" s="1580"/>
      <c r="K37" s="1580"/>
      <c r="L37" s="1580"/>
      <c r="M37" s="1580"/>
      <c r="N37" s="1580"/>
      <c r="O37" s="1580"/>
      <c r="P37" s="1580"/>
      <c r="Q37" s="1580"/>
      <c r="R37" s="1580"/>
      <c r="S37" s="1580"/>
      <c r="T37" s="1580"/>
      <c r="U37" s="1580"/>
      <c r="V37" s="1580"/>
      <c r="W37" s="1580"/>
      <c r="X37" s="1580"/>
      <c r="Y37" s="1580"/>
      <c r="Z37" s="1580"/>
      <c r="AA37" s="1580"/>
      <c r="AB37" s="1580"/>
      <c r="AC37" s="1580"/>
      <c r="AD37" s="1580"/>
      <c r="AE37" s="1580"/>
      <c r="AF37" s="1580"/>
      <c r="AG37" s="1580"/>
      <c r="AH37" s="1580"/>
      <c r="AI37" s="1580"/>
      <c r="AJ37" s="1580"/>
      <c r="AK37" s="1580"/>
      <c r="AL37" s="1580"/>
      <c r="AM37" s="1580"/>
      <c r="AN37" s="1580"/>
      <c r="AO37" s="1580"/>
      <c r="AP37" s="1580"/>
      <c r="AQ37" s="1580"/>
      <c r="AR37" s="1580"/>
      <c r="AS37" s="1580"/>
      <c r="AT37" s="1580"/>
      <c r="AZ37" s="20"/>
    </row>
    <row r="38" spans="1:52" ht="12.95" customHeight="1">
      <c r="A38" s="3"/>
      <c r="AZ38" s="20"/>
    </row>
    <row r="39" spans="1:52" ht="12.95"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69" t="s">
        <v>2516</v>
      </c>
      <c r="B65" s="1569"/>
      <c r="C65" s="1569"/>
      <c r="D65" s="1569"/>
      <c r="E65" s="1569"/>
      <c r="F65" s="1569"/>
      <c r="G65" s="1569"/>
      <c r="H65" s="1569"/>
      <c r="I65" s="1569"/>
      <c r="J65" s="1569"/>
      <c r="K65" s="1569"/>
      <c r="L65" s="1569"/>
      <c r="M65" s="1569"/>
      <c r="N65" s="1569"/>
      <c r="O65" s="1569"/>
      <c r="P65" s="1569"/>
      <c r="Q65" s="1569"/>
      <c r="R65" s="1569"/>
      <c r="S65" s="1569"/>
      <c r="T65" s="1569"/>
      <c r="U65" s="1569"/>
      <c r="V65" s="1569"/>
      <c r="W65" s="1569"/>
      <c r="X65" s="1569"/>
      <c r="Y65" s="1569"/>
      <c r="Z65" s="1569"/>
      <c r="AA65" s="1569"/>
      <c r="AB65" s="1569"/>
      <c r="AC65" s="1569"/>
      <c r="AD65" s="1569"/>
      <c r="AE65" s="1569"/>
      <c r="AF65" s="1569"/>
      <c r="AG65" s="1569"/>
      <c r="AH65" s="1569"/>
      <c r="AI65" s="1569"/>
      <c r="AJ65" s="1569"/>
      <c r="AK65" s="1569"/>
      <c r="AL65" s="1569"/>
      <c r="AM65" s="1569"/>
      <c r="AN65" s="1569"/>
      <c r="AO65" s="1569"/>
      <c r="AP65" s="1569"/>
      <c r="AQ65" s="1569"/>
      <c r="AR65" s="1569"/>
      <c r="AS65" s="1569"/>
      <c r="AT65" s="1569"/>
      <c r="AU65" s="21"/>
      <c r="AV65" s="21"/>
      <c r="AW65" s="21"/>
      <c r="AX65" s="21"/>
      <c r="AY65" s="21"/>
      <c r="AZ65" s="20"/>
    </row>
    <row r="66" spans="1:52" ht="12.95" customHeight="1">
      <c r="A66" s="1569"/>
      <c r="B66" s="1569"/>
      <c r="C66" s="1569"/>
      <c r="D66" s="1569"/>
      <c r="E66" s="1569"/>
      <c r="F66" s="1569"/>
      <c r="G66" s="1569"/>
      <c r="H66" s="1569"/>
      <c r="I66" s="1569"/>
      <c r="J66" s="1569"/>
      <c r="K66" s="1569"/>
      <c r="L66" s="1569"/>
      <c r="M66" s="1569"/>
      <c r="N66" s="1569"/>
      <c r="O66" s="1569"/>
      <c r="P66" s="1569"/>
      <c r="Q66" s="1569"/>
      <c r="R66" s="1569"/>
      <c r="S66" s="1569"/>
      <c r="T66" s="1569"/>
      <c r="U66" s="1569"/>
      <c r="V66" s="1569"/>
      <c r="W66" s="1569"/>
      <c r="X66" s="1569"/>
      <c r="Y66" s="1569"/>
      <c r="Z66" s="1569"/>
      <c r="AA66" s="1569"/>
      <c r="AB66" s="1569"/>
      <c r="AC66" s="1569"/>
      <c r="AD66" s="1569"/>
      <c r="AE66" s="1569"/>
      <c r="AF66" s="1569"/>
      <c r="AG66" s="1569"/>
      <c r="AH66" s="1569"/>
      <c r="AI66" s="1569"/>
      <c r="AJ66" s="1569"/>
      <c r="AK66" s="1569"/>
      <c r="AL66" s="1569"/>
      <c r="AM66" s="1569"/>
      <c r="AN66" s="1569"/>
      <c r="AO66" s="1569"/>
      <c r="AP66" s="1569"/>
      <c r="AQ66" s="1569"/>
      <c r="AR66" s="1569"/>
      <c r="AS66" s="1569"/>
      <c r="AT66" s="1569"/>
      <c r="AU66" s="21"/>
      <c r="AV66" s="21"/>
      <c r="AW66" s="21"/>
      <c r="AX66" s="21"/>
      <c r="AY66" s="21"/>
      <c r="AZ66" s="20"/>
    </row>
    <row r="67" spans="1:52" ht="12.95" customHeight="1">
      <c r="A67" s="1569"/>
      <c r="B67" s="1569"/>
      <c r="C67" s="1569"/>
      <c r="D67" s="1569"/>
      <c r="E67" s="1569"/>
      <c r="F67" s="1569"/>
      <c r="G67" s="1569"/>
      <c r="H67" s="1569"/>
      <c r="I67" s="1569"/>
      <c r="J67" s="1569"/>
      <c r="K67" s="1569"/>
      <c r="L67" s="1569"/>
      <c r="M67" s="1569"/>
      <c r="N67" s="1569"/>
      <c r="O67" s="1569"/>
      <c r="P67" s="1569"/>
      <c r="Q67" s="1569"/>
      <c r="R67" s="1569"/>
      <c r="S67" s="1569"/>
      <c r="T67" s="1569"/>
      <c r="U67" s="1569"/>
      <c r="V67" s="1569"/>
      <c r="W67" s="1569"/>
      <c r="X67" s="1569"/>
      <c r="Y67" s="1569"/>
      <c r="Z67" s="1569"/>
      <c r="AA67" s="1569"/>
      <c r="AB67" s="1569"/>
      <c r="AC67" s="1569"/>
      <c r="AD67" s="1569"/>
      <c r="AE67" s="1569"/>
      <c r="AF67" s="1569"/>
      <c r="AG67" s="1569"/>
      <c r="AH67" s="1569"/>
      <c r="AI67" s="1569"/>
      <c r="AJ67" s="1569"/>
      <c r="AK67" s="1569"/>
      <c r="AL67" s="1569"/>
      <c r="AM67" s="1569"/>
      <c r="AN67" s="1569"/>
      <c r="AO67" s="1569"/>
      <c r="AP67" s="1569"/>
      <c r="AQ67" s="1569"/>
      <c r="AR67" s="1569"/>
      <c r="AS67" s="1569"/>
      <c r="AT67" s="1569"/>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69" t="s">
        <v>2517</v>
      </c>
      <c r="B69" s="1569"/>
      <c r="C69" s="1569"/>
      <c r="D69" s="1569"/>
      <c r="E69" s="1569"/>
      <c r="F69" s="1569"/>
      <c r="G69" s="1569"/>
      <c r="H69" s="1569"/>
      <c r="I69" s="1569"/>
      <c r="J69" s="1569"/>
      <c r="K69" s="1569"/>
      <c r="L69" s="1569"/>
      <c r="M69" s="1569"/>
      <c r="N69" s="1569"/>
      <c r="O69" s="1569"/>
      <c r="P69" s="1569"/>
      <c r="Q69" s="1569"/>
      <c r="R69" s="1569"/>
      <c r="S69" s="1569"/>
      <c r="T69" s="1569"/>
      <c r="U69" s="1569"/>
      <c r="V69" s="1569"/>
      <c r="W69" s="1569"/>
      <c r="X69" s="1569"/>
      <c r="Y69" s="1569"/>
      <c r="Z69" s="1569"/>
      <c r="AA69" s="1569"/>
      <c r="AB69" s="1569"/>
      <c r="AC69" s="1569"/>
      <c r="AD69" s="1569"/>
      <c r="AE69" s="1569"/>
      <c r="AF69" s="1569"/>
      <c r="AG69" s="1569"/>
      <c r="AH69" s="1569"/>
      <c r="AI69" s="1569"/>
      <c r="AJ69" s="1569"/>
      <c r="AK69" s="1569"/>
      <c r="AL69" s="1569"/>
      <c r="AM69" s="1569"/>
      <c r="AN69" s="1569"/>
      <c r="AO69" s="1569"/>
      <c r="AP69" s="1569"/>
      <c r="AQ69" s="1569"/>
      <c r="AR69" s="1569"/>
      <c r="AS69" s="1569"/>
      <c r="AT69" s="1569"/>
      <c r="AZ69" s="20"/>
    </row>
    <row r="70" spans="1:52" ht="12.95" customHeight="1">
      <c r="A70" s="1569"/>
      <c r="B70" s="1569"/>
      <c r="C70" s="1569"/>
      <c r="D70" s="1569"/>
      <c r="E70" s="1569"/>
      <c r="F70" s="1569"/>
      <c r="G70" s="1569"/>
      <c r="H70" s="1569"/>
      <c r="I70" s="1569"/>
      <c r="J70" s="1569"/>
      <c r="K70" s="1569"/>
      <c r="L70" s="1569"/>
      <c r="M70" s="1569"/>
      <c r="N70" s="1569"/>
      <c r="O70" s="1569"/>
      <c r="P70" s="1569"/>
      <c r="Q70" s="1569"/>
      <c r="R70" s="1569"/>
      <c r="S70" s="1569"/>
      <c r="T70" s="1569"/>
      <c r="U70" s="1569"/>
      <c r="V70" s="1569"/>
      <c r="W70" s="1569"/>
      <c r="X70" s="1569"/>
      <c r="Y70" s="1569"/>
      <c r="Z70" s="1569"/>
      <c r="AA70" s="1569"/>
      <c r="AB70" s="1569"/>
      <c r="AC70" s="1569"/>
      <c r="AD70" s="1569"/>
      <c r="AE70" s="1569"/>
      <c r="AF70" s="1569"/>
      <c r="AG70" s="1569"/>
      <c r="AH70" s="1569"/>
      <c r="AI70" s="1569"/>
      <c r="AJ70" s="1569"/>
      <c r="AK70" s="1569"/>
      <c r="AL70" s="1569"/>
      <c r="AM70" s="1569"/>
      <c r="AN70" s="1569"/>
      <c r="AO70" s="1569"/>
      <c r="AP70" s="1569"/>
      <c r="AQ70" s="1569"/>
      <c r="AR70" s="1569"/>
      <c r="AS70" s="1569"/>
      <c r="AT70" s="1569"/>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580" t="s">
        <v>2518</v>
      </c>
      <c r="B72" s="1580"/>
      <c r="C72" s="1580"/>
      <c r="D72" s="1580"/>
      <c r="E72" s="1580"/>
      <c r="F72" s="1580"/>
      <c r="G72" s="1580"/>
      <c r="H72" s="1580"/>
      <c r="I72" s="1580"/>
      <c r="J72" s="1580"/>
      <c r="K72" s="1580"/>
      <c r="L72" s="1580"/>
      <c r="M72" s="1580"/>
      <c r="N72" s="1580"/>
      <c r="O72" s="1580"/>
      <c r="P72" s="1580"/>
      <c r="Q72" s="1580"/>
      <c r="R72" s="1580"/>
      <c r="S72" s="1580"/>
      <c r="T72" s="1580"/>
      <c r="U72" s="1580"/>
      <c r="V72" s="1580"/>
      <c r="W72" s="1580"/>
      <c r="X72" s="1580"/>
      <c r="Y72" s="1580"/>
      <c r="Z72" s="1580"/>
      <c r="AA72" s="1580"/>
      <c r="AB72" s="1580"/>
      <c r="AC72" s="1580"/>
      <c r="AD72" s="1580"/>
      <c r="AE72" s="1580"/>
      <c r="AF72" s="1580"/>
      <c r="AG72" s="1580"/>
      <c r="AH72" s="1580"/>
      <c r="AI72" s="1580"/>
      <c r="AJ72" s="1580"/>
      <c r="AK72" s="1580"/>
      <c r="AL72" s="1580"/>
      <c r="AM72" s="1580"/>
      <c r="AN72" s="1580"/>
      <c r="AO72" s="1580"/>
      <c r="AP72" s="1580"/>
      <c r="AQ72" s="1580"/>
      <c r="AR72" s="1580"/>
      <c r="AS72" s="1580"/>
      <c r="AT72" s="1580"/>
      <c r="AU72" s="20"/>
      <c r="AV72" s="20"/>
      <c r="AW72" s="20"/>
      <c r="AX72" s="20"/>
      <c r="AY72" s="20"/>
      <c r="AZ72" s="20"/>
    </row>
    <row r="73" spans="1:52" ht="12.95" customHeight="1">
      <c r="A73" s="1580"/>
      <c r="B73" s="1580"/>
      <c r="C73" s="1580"/>
      <c r="D73" s="1580"/>
      <c r="E73" s="1580"/>
      <c r="F73" s="1580"/>
      <c r="G73" s="1580"/>
      <c r="H73" s="1580"/>
      <c r="I73" s="1580"/>
      <c r="J73" s="1580"/>
      <c r="K73" s="1580"/>
      <c r="L73" s="1580"/>
      <c r="M73" s="1580"/>
      <c r="N73" s="1580"/>
      <c r="O73" s="1580"/>
      <c r="P73" s="1580"/>
      <c r="Q73" s="1580"/>
      <c r="R73" s="1580"/>
      <c r="S73" s="1580"/>
      <c r="T73" s="1580"/>
      <c r="U73" s="1580"/>
      <c r="V73" s="1580"/>
      <c r="W73" s="1580"/>
      <c r="X73" s="1580"/>
      <c r="Y73" s="1580"/>
      <c r="Z73" s="1580"/>
      <c r="AA73" s="1580"/>
      <c r="AB73" s="1580"/>
      <c r="AC73" s="1580"/>
      <c r="AD73" s="1580"/>
      <c r="AE73" s="1580"/>
      <c r="AF73" s="1580"/>
      <c r="AG73" s="1580"/>
      <c r="AH73" s="1580"/>
      <c r="AI73" s="1580"/>
      <c r="AJ73" s="1580"/>
      <c r="AK73" s="1580"/>
      <c r="AL73" s="1580"/>
      <c r="AM73" s="1580"/>
      <c r="AN73" s="1580"/>
      <c r="AO73" s="1580"/>
      <c r="AP73" s="1580"/>
      <c r="AQ73" s="1580"/>
      <c r="AR73" s="1580"/>
      <c r="AS73" s="1580"/>
      <c r="AT73" s="1580"/>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61" t="s">
        <v>2519</v>
      </c>
      <c r="B75" s="1561"/>
      <c r="C75" s="1561"/>
      <c r="D75" s="1561"/>
      <c r="E75" s="1561"/>
      <c r="F75" s="1561"/>
      <c r="G75" s="1561"/>
      <c r="H75" s="1561"/>
      <c r="I75" s="1561"/>
      <c r="J75" s="1561"/>
      <c r="K75" s="1561"/>
      <c r="L75" s="1561"/>
      <c r="M75" s="1561"/>
      <c r="N75" s="1561"/>
      <c r="O75" s="1561"/>
      <c r="P75" s="1561"/>
      <c r="Q75" s="1561"/>
      <c r="R75" s="1561"/>
      <c r="S75" s="1561"/>
      <c r="T75" s="1561"/>
      <c r="U75" s="1561"/>
      <c r="V75" s="1561"/>
      <c r="W75" s="1561"/>
      <c r="X75" s="1561"/>
      <c r="Y75" s="1561"/>
      <c r="Z75" s="1561"/>
      <c r="AA75" s="1561"/>
      <c r="AB75" s="1561"/>
      <c r="AC75" s="1561"/>
      <c r="AD75" s="1561"/>
      <c r="AE75" s="1561"/>
      <c r="AF75" s="1561"/>
      <c r="AG75" s="1561"/>
      <c r="AH75" s="1561"/>
      <c r="AI75" s="1561"/>
      <c r="AJ75" s="1561"/>
      <c r="AK75" s="1561"/>
      <c r="AL75" s="1561"/>
      <c r="AM75" s="1561"/>
      <c r="AN75" s="1561"/>
      <c r="AO75" s="1561"/>
      <c r="AP75" s="1561"/>
      <c r="AQ75" s="1561"/>
      <c r="AR75" s="1561"/>
      <c r="AS75" s="1561"/>
      <c r="AT75" s="1561"/>
      <c r="AU75" s="20"/>
      <c r="AV75" s="20"/>
      <c r="AW75" s="20"/>
      <c r="AX75" s="20"/>
      <c r="AY75" s="20"/>
      <c r="AZ75" s="20"/>
    </row>
    <row r="76" spans="1:52" ht="12.95" customHeight="1">
      <c r="A76" s="1561"/>
      <c r="B76" s="1561"/>
      <c r="C76" s="1561"/>
      <c r="D76" s="1561"/>
      <c r="E76" s="1561"/>
      <c r="F76" s="1561"/>
      <c r="G76" s="1561"/>
      <c r="H76" s="1561"/>
      <c r="I76" s="1561"/>
      <c r="J76" s="1561"/>
      <c r="K76" s="1561"/>
      <c r="L76" s="1561"/>
      <c r="M76" s="1561"/>
      <c r="N76" s="1561"/>
      <c r="O76" s="1561"/>
      <c r="P76" s="1561"/>
      <c r="Q76" s="1561"/>
      <c r="R76" s="1561"/>
      <c r="S76" s="1561"/>
      <c r="T76" s="1561"/>
      <c r="U76" s="1561"/>
      <c r="V76" s="1561"/>
      <c r="W76" s="1561"/>
      <c r="X76" s="1561"/>
      <c r="Y76" s="1561"/>
      <c r="Z76" s="1561"/>
      <c r="AA76" s="1561"/>
      <c r="AB76" s="1561"/>
      <c r="AC76" s="1561"/>
      <c r="AD76" s="1561"/>
      <c r="AE76" s="1561"/>
      <c r="AF76" s="1561"/>
      <c r="AG76" s="1561"/>
      <c r="AH76" s="1561"/>
      <c r="AI76" s="1561"/>
      <c r="AJ76" s="1561"/>
      <c r="AK76" s="1561"/>
      <c r="AL76" s="1561"/>
      <c r="AM76" s="1561"/>
      <c r="AN76" s="1561"/>
      <c r="AO76" s="1561"/>
      <c r="AP76" s="1561"/>
      <c r="AQ76" s="1561"/>
      <c r="AR76" s="1561"/>
      <c r="AS76" s="1561"/>
      <c r="AT76" s="1561"/>
      <c r="AU76" s="20"/>
      <c r="AV76" s="20"/>
      <c r="AW76" s="20"/>
      <c r="AX76" s="20"/>
      <c r="AY76" s="20"/>
      <c r="AZ76" s="17"/>
    </row>
    <row r="77" spans="1:52" ht="12.95" customHeight="1">
      <c r="A77" s="1561"/>
      <c r="B77" s="1561"/>
      <c r="C77" s="1561"/>
      <c r="D77" s="1561"/>
      <c r="E77" s="1561"/>
      <c r="F77" s="1561"/>
      <c r="G77" s="1561"/>
      <c r="H77" s="1561"/>
      <c r="I77" s="1561"/>
      <c r="J77" s="1561"/>
      <c r="K77" s="1561"/>
      <c r="L77" s="1561"/>
      <c r="M77" s="1561"/>
      <c r="N77" s="1561"/>
      <c r="O77" s="1561"/>
      <c r="P77" s="1561"/>
      <c r="Q77" s="1561"/>
      <c r="R77" s="1561"/>
      <c r="S77" s="1561"/>
      <c r="T77" s="1561"/>
      <c r="U77" s="1561"/>
      <c r="V77" s="1561"/>
      <c r="W77" s="1561"/>
      <c r="X77" s="1561"/>
      <c r="Y77" s="1561"/>
      <c r="Z77" s="1561"/>
      <c r="AA77" s="1561"/>
      <c r="AB77" s="1561"/>
      <c r="AC77" s="1561"/>
      <c r="AD77" s="1561"/>
      <c r="AE77" s="1561"/>
      <c r="AF77" s="1561"/>
      <c r="AG77" s="1561"/>
      <c r="AH77" s="1561"/>
      <c r="AI77" s="1561"/>
      <c r="AJ77" s="1561"/>
      <c r="AK77" s="1561"/>
      <c r="AL77" s="1561"/>
      <c r="AM77" s="1561"/>
      <c r="AN77" s="1561"/>
      <c r="AO77" s="1561"/>
      <c r="AP77" s="1561"/>
      <c r="AQ77" s="1561"/>
      <c r="AR77" s="1561"/>
      <c r="AS77" s="1561"/>
      <c r="AT77" s="1561"/>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69" t="s">
        <v>2520</v>
      </c>
      <c r="B79" s="1569"/>
      <c r="C79" s="1569"/>
      <c r="D79" s="1569"/>
      <c r="E79" s="1569"/>
      <c r="F79" s="1569"/>
      <c r="G79" s="1569"/>
      <c r="H79" s="1569"/>
      <c r="I79" s="1569"/>
      <c r="J79" s="1569"/>
      <c r="K79" s="1569"/>
      <c r="L79" s="1569"/>
      <c r="M79" s="1569"/>
      <c r="N79" s="1569"/>
      <c r="O79" s="1569"/>
      <c r="P79" s="1569"/>
      <c r="Q79" s="1569"/>
      <c r="R79" s="1569"/>
      <c r="S79" s="1569"/>
      <c r="T79" s="1569"/>
      <c r="U79" s="1569"/>
      <c r="V79" s="1569"/>
      <c r="W79" s="1569"/>
      <c r="X79" s="1569"/>
      <c r="Y79" s="1569"/>
      <c r="Z79" s="1569"/>
      <c r="AA79" s="1569"/>
      <c r="AB79" s="1569"/>
      <c r="AC79" s="1569"/>
      <c r="AD79" s="1569"/>
      <c r="AE79" s="1569"/>
      <c r="AF79" s="1569"/>
      <c r="AG79" s="1569"/>
      <c r="AH79" s="1569"/>
      <c r="AI79" s="1569"/>
      <c r="AJ79" s="1569"/>
      <c r="AK79" s="1569"/>
      <c r="AL79" s="1569"/>
      <c r="AM79" s="1569"/>
      <c r="AN79" s="1569"/>
      <c r="AO79" s="1569"/>
      <c r="AP79" s="1569"/>
      <c r="AQ79" s="1569"/>
      <c r="AR79" s="1569"/>
      <c r="AS79" s="1569"/>
      <c r="AT79" s="1569"/>
      <c r="AU79" s="20"/>
      <c r="AV79" s="20"/>
      <c r="AW79" s="20"/>
      <c r="AX79" s="20"/>
      <c r="AY79" s="20"/>
      <c r="AZ79" s="20"/>
    </row>
    <row r="80" spans="1:52" ht="12.95" customHeight="1">
      <c r="A80" s="1569"/>
      <c r="B80" s="1569"/>
      <c r="C80" s="1569"/>
      <c r="D80" s="1569"/>
      <c r="E80" s="1569"/>
      <c r="F80" s="1569"/>
      <c r="G80" s="1569"/>
      <c r="H80" s="1569"/>
      <c r="I80" s="1569"/>
      <c r="J80" s="1569"/>
      <c r="K80" s="1569"/>
      <c r="L80" s="1569"/>
      <c r="M80" s="1569"/>
      <c r="N80" s="1569"/>
      <c r="O80" s="1569"/>
      <c r="P80" s="1569"/>
      <c r="Q80" s="1569"/>
      <c r="R80" s="1569"/>
      <c r="S80" s="1569"/>
      <c r="T80" s="1569"/>
      <c r="U80" s="1569"/>
      <c r="V80" s="1569"/>
      <c r="W80" s="1569"/>
      <c r="X80" s="1569"/>
      <c r="Y80" s="1569"/>
      <c r="Z80" s="1569"/>
      <c r="AA80" s="1569"/>
      <c r="AB80" s="1569"/>
      <c r="AC80" s="1569"/>
      <c r="AD80" s="1569"/>
      <c r="AE80" s="1569"/>
      <c r="AF80" s="1569"/>
      <c r="AG80" s="1569"/>
      <c r="AH80" s="1569"/>
      <c r="AI80" s="1569"/>
      <c r="AJ80" s="1569"/>
      <c r="AK80" s="1569"/>
      <c r="AL80" s="1569"/>
      <c r="AM80" s="1569"/>
      <c r="AN80" s="1569"/>
      <c r="AO80" s="1569"/>
      <c r="AP80" s="1569"/>
      <c r="AQ80" s="1569"/>
      <c r="AR80" s="1569"/>
      <c r="AS80" s="1569"/>
      <c r="AT80" s="1569"/>
      <c r="AU80" s="20"/>
      <c r="AV80" s="20"/>
      <c r="AW80" s="20"/>
      <c r="AX80" s="20"/>
      <c r="AY80" s="20"/>
      <c r="AZ80" s="20"/>
    </row>
    <row r="81" spans="1:52" ht="12.95" customHeight="1">
      <c r="A81" s="1569"/>
      <c r="B81" s="1569"/>
      <c r="C81" s="1569"/>
      <c r="D81" s="1569"/>
      <c r="E81" s="1569"/>
      <c r="F81" s="1569"/>
      <c r="G81" s="1569"/>
      <c r="H81" s="1569"/>
      <c r="I81" s="1569"/>
      <c r="J81" s="1569"/>
      <c r="K81" s="1569"/>
      <c r="L81" s="1569"/>
      <c r="M81" s="1569"/>
      <c r="N81" s="1569"/>
      <c r="O81" s="1569"/>
      <c r="P81" s="1569"/>
      <c r="Q81" s="1569"/>
      <c r="R81" s="1569"/>
      <c r="S81" s="1569"/>
      <c r="T81" s="1569"/>
      <c r="U81" s="1569"/>
      <c r="V81" s="1569"/>
      <c r="W81" s="1569"/>
      <c r="X81" s="1569"/>
      <c r="Y81" s="1569"/>
      <c r="Z81" s="1569"/>
      <c r="AA81" s="1569"/>
      <c r="AB81" s="1569"/>
      <c r="AC81" s="1569"/>
      <c r="AD81" s="1569"/>
      <c r="AE81" s="1569"/>
      <c r="AF81" s="1569"/>
      <c r="AG81" s="1569"/>
      <c r="AH81" s="1569"/>
      <c r="AI81" s="1569"/>
      <c r="AJ81" s="1569"/>
      <c r="AK81" s="1569"/>
      <c r="AL81" s="1569"/>
      <c r="AM81" s="1569"/>
      <c r="AN81" s="1569"/>
      <c r="AO81" s="1569"/>
      <c r="AP81" s="1569"/>
      <c r="AQ81" s="1569"/>
      <c r="AR81" s="1569"/>
      <c r="AS81" s="1569"/>
      <c r="AT81" s="1569"/>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0" t="s">
        <v>2523</v>
      </c>
      <c r="B89" s="1560"/>
      <c r="C89" s="1560"/>
      <c r="D89" s="1560"/>
      <c r="E89" s="1560"/>
      <c r="F89" s="1560"/>
      <c r="G89" s="1560"/>
      <c r="H89" s="1560"/>
      <c r="I89" s="1560"/>
      <c r="J89" s="1560"/>
      <c r="K89" s="1560"/>
      <c r="L89" s="1560"/>
      <c r="M89" s="1560"/>
      <c r="N89" s="1560"/>
      <c r="O89" s="1560"/>
      <c r="P89" s="1560"/>
      <c r="Q89" s="1560"/>
      <c r="R89" s="1560"/>
      <c r="S89" s="1560"/>
      <c r="T89" s="1560"/>
      <c r="U89" s="1560"/>
      <c r="V89" s="1560"/>
      <c r="W89" s="1560"/>
      <c r="X89" s="1560"/>
      <c r="Y89" s="1560"/>
      <c r="Z89" s="1560"/>
      <c r="AA89" s="1560"/>
      <c r="AB89" s="1560"/>
      <c r="AC89" s="1560"/>
      <c r="AD89" s="1560"/>
      <c r="AE89" s="1560"/>
      <c r="AF89" s="1560"/>
      <c r="AG89" s="1560"/>
      <c r="AH89" s="1560"/>
      <c r="AI89" s="1560"/>
      <c r="AJ89" s="1560"/>
      <c r="AK89" s="1560"/>
      <c r="AL89" s="1560"/>
      <c r="AM89" s="1560"/>
      <c r="AN89" s="1560"/>
      <c r="AO89" s="1560"/>
      <c r="AP89" s="1560"/>
      <c r="AQ89" s="1560"/>
      <c r="AR89" s="1560"/>
      <c r="AS89" s="1560"/>
      <c r="AT89" s="1560"/>
      <c r="AU89" s="17"/>
      <c r="AV89" s="17"/>
      <c r="AW89" s="17"/>
      <c r="AX89" s="17"/>
      <c r="AY89" s="17"/>
      <c r="AZ89" s="20"/>
    </row>
    <row r="90" spans="1:52" ht="12.95" customHeight="1">
      <c r="A90" s="1560"/>
      <c r="B90" s="1560"/>
      <c r="C90" s="1560"/>
      <c r="D90" s="1560"/>
      <c r="E90" s="1560"/>
      <c r="F90" s="1560"/>
      <c r="G90" s="1560"/>
      <c r="H90" s="1560"/>
      <c r="I90" s="1560"/>
      <c r="J90" s="1560"/>
      <c r="K90" s="1560"/>
      <c r="L90" s="1560"/>
      <c r="M90" s="1560"/>
      <c r="N90" s="1560"/>
      <c r="O90" s="1560"/>
      <c r="P90" s="1560"/>
      <c r="Q90" s="1560"/>
      <c r="R90" s="1560"/>
      <c r="S90" s="1560"/>
      <c r="T90" s="1560"/>
      <c r="U90" s="1560"/>
      <c r="V90" s="1560"/>
      <c r="W90" s="1560"/>
      <c r="X90" s="1560"/>
      <c r="Y90" s="1560"/>
      <c r="Z90" s="1560"/>
      <c r="AA90" s="1560"/>
      <c r="AB90" s="1560"/>
      <c r="AC90" s="1560"/>
      <c r="AD90" s="1560"/>
      <c r="AE90" s="1560"/>
      <c r="AF90" s="1560"/>
      <c r="AG90" s="1560"/>
      <c r="AH90" s="1560"/>
      <c r="AI90" s="1560"/>
      <c r="AJ90" s="1560"/>
      <c r="AK90" s="1560"/>
      <c r="AL90" s="1560"/>
      <c r="AM90" s="1560"/>
      <c r="AN90" s="1560"/>
      <c r="AO90" s="1560"/>
      <c r="AP90" s="1560"/>
      <c r="AQ90" s="1560"/>
      <c r="AR90" s="1560"/>
      <c r="AS90" s="1560"/>
      <c r="AT90" s="1560"/>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61" t="s">
        <v>2524</v>
      </c>
      <c r="B92" s="1561"/>
      <c r="C92" s="1561"/>
      <c r="D92" s="1561"/>
      <c r="E92" s="1561"/>
      <c r="F92" s="1561"/>
      <c r="G92" s="1561"/>
      <c r="H92" s="1561"/>
      <c r="I92" s="1561"/>
      <c r="J92" s="1561"/>
      <c r="K92" s="1561"/>
      <c r="L92" s="1561"/>
      <c r="M92" s="1561"/>
      <c r="N92" s="1561"/>
      <c r="O92" s="1561"/>
      <c r="P92" s="1561"/>
      <c r="Q92" s="1561"/>
      <c r="R92" s="1561"/>
      <c r="S92" s="1561"/>
      <c r="T92" s="1561"/>
      <c r="U92" s="1561"/>
      <c r="V92" s="1561"/>
      <c r="W92" s="1561"/>
      <c r="X92" s="1561"/>
      <c r="Y92" s="1561"/>
      <c r="Z92" s="1561"/>
      <c r="AA92" s="1561"/>
      <c r="AB92" s="1561"/>
      <c r="AC92" s="1561"/>
      <c r="AD92" s="1561"/>
      <c r="AE92" s="1561"/>
      <c r="AF92" s="1561"/>
      <c r="AG92" s="1561"/>
      <c r="AH92" s="1561"/>
      <c r="AI92" s="1561"/>
      <c r="AJ92" s="1561"/>
      <c r="AK92" s="1561"/>
      <c r="AL92" s="1561"/>
      <c r="AM92" s="1561"/>
      <c r="AN92" s="1561"/>
      <c r="AO92" s="1561"/>
      <c r="AP92" s="1561"/>
      <c r="AQ92" s="1561"/>
      <c r="AR92" s="1561"/>
      <c r="AS92" s="1561"/>
      <c r="AT92" s="1561"/>
      <c r="AU92" s="20"/>
      <c r="AV92" s="20"/>
      <c r="AW92" s="20"/>
      <c r="AX92" s="20"/>
      <c r="AY92" s="20"/>
      <c r="AZ92" s="20"/>
    </row>
    <row r="93" spans="1:52" ht="12.95" customHeight="1">
      <c r="A93" s="1561"/>
      <c r="B93" s="1561"/>
      <c r="C93" s="1561"/>
      <c r="D93" s="1561"/>
      <c r="E93" s="1561"/>
      <c r="F93" s="1561"/>
      <c r="G93" s="1561"/>
      <c r="H93" s="1561"/>
      <c r="I93" s="1561"/>
      <c r="J93" s="1561"/>
      <c r="K93" s="1561"/>
      <c r="L93" s="1561"/>
      <c r="M93" s="1561"/>
      <c r="N93" s="1561"/>
      <c r="O93" s="1561"/>
      <c r="P93" s="1561"/>
      <c r="Q93" s="1561"/>
      <c r="R93" s="1561"/>
      <c r="S93" s="1561"/>
      <c r="T93" s="1561"/>
      <c r="U93" s="1561"/>
      <c r="V93" s="1561"/>
      <c r="W93" s="1561"/>
      <c r="X93" s="1561"/>
      <c r="Y93" s="1561"/>
      <c r="Z93" s="1561"/>
      <c r="AA93" s="1561"/>
      <c r="AB93" s="1561"/>
      <c r="AC93" s="1561"/>
      <c r="AD93" s="1561"/>
      <c r="AE93" s="1561"/>
      <c r="AF93" s="1561"/>
      <c r="AG93" s="1561"/>
      <c r="AH93" s="1561"/>
      <c r="AI93" s="1561"/>
      <c r="AJ93" s="1561"/>
      <c r="AK93" s="1561"/>
      <c r="AL93" s="1561"/>
      <c r="AM93" s="1561"/>
      <c r="AN93" s="1561"/>
      <c r="AO93" s="1561"/>
      <c r="AP93" s="1561"/>
      <c r="AQ93" s="1561"/>
      <c r="AR93" s="1561"/>
      <c r="AS93" s="1561"/>
      <c r="AT93" s="1561"/>
      <c r="AU93" s="20"/>
      <c r="AV93" s="20"/>
      <c r="AW93" s="20"/>
      <c r="AX93" s="20"/>
      <c r="AY93" s="20"/>
      <c r="AZ93" s="20"/>
    </row>
    <row r="94" spans="1:52" ht="12.95" customHeight="1">
      <c r="A94" s="1561"/>
      <c r="B94" s="1561"/>
      <c r="C94" s="1561"/>
      <c r="D94" s="1561"/>
      <c r="E94" s="1561"/>
      <c r="F94" s="1561"/>
      <c r="G94" s="1561"/>
      <c r="H94" s="1561"/>
      <c r="I94" s="1561"/>
      <c r="J94" s="1561"/>
      <c r="K94" s="1561"/>
      <c r="L94" s="1561"/>
      <c r="M94" s="1561"/>
      <c r="N94" s="1561"/>
      <c r="O94" s="1561"/>
      <c r="P94" s="1561"/>
      <c r="Q94" s="1561"/>
      <c r="R94" s="1561"/>
      <c r="S94" s="1561"/>
      <c r="T94" s="1561"/>
      <c r="U94" s="1561"/>
      <c r="V94" s="1561"/>
      <c r="W94" s="1561"/>
      <c r="X94" s="1561"/>
      <c r="Y94" s="1561"/>
      <c r="Z94" s="1561"/>
      <c r="AA94" s="1561"/>
      <c r="AB94" s="1561"/>
      <c r="AC94" s="1561"/>
      <c r="AD94" s="1561"/>
      <c r="AE94" s="1561"/>
      <c r="AF94" s="1561"/>
      <c r="AG94" s="1561"/>
      <c r="AH94" s="1561"/>
      <c r="AI94" s="1561"/>
      <c r="AJ94" s="1561"/>
      <c r="AK94" s="1561"/>
      <c r="AL94" s="1561"/>
      <c r="AM94" s="1561"/>
      <c r="AN94" s="1561"/>
      <c r="AO94" s="1561"/>
      <c r="AP94" s="1561"/>
      <c r="AQ94" s="1561"/>
      <c r="AR94" s="1561"/>
      <c r="AS94" s="1561"/>
      <c r="AT94" s="1561"/>
      <c r="AU94" s="20"/>
      <c r="AV94" s="20"/>
      <c r="AW94" s="20"/>
      <c r="AX94" s="20"/>
      <c r="AY94" s="20"/>
      <c r="AZ94" s="20"/>
    </row>
    <row r="95" spans="1:52" ht="12.95" customHeight="1">
      <c r="A95" s="1561"/>
      <c r="B95" s="1561"/>
      <c r="C95" s="1561"/>
      <c r="D95" s="1561"/>
      <c r="E95" s="1561"/>
      <c r="F95" s="1561"/>
      <c r="G95" s="1561"/>
      <c r="H95" s="1561"/>
      <c r="I95" s="1561"/>
      <c r="J95" s="1561"/>
      <c r="K95" s="1561"/>
      <c r="L95" s="1561"/>
      <c r="M95" s="1561"/>
      <c r="N95" s="1561"/>
      <c r="O95" s="1561"/>
      <c r="P95" s="1561"/>
      <c r="Q95" s="1561"/>
      <c r="R95" s="1561"/>
      <c r="S95" s="1561"/>
      <c r="T95" s="1561"/>
      <c r="U95" s="1561"/>
      <c r="V95" s="1561"/>
      <c r="W95" s="1561"/>
      <c r="X95" s="1561"/>
      <c r="Y95" s="1561"/>
      <c r="Z95" s="1561"/>
      <c r="AA95" s="1561"/>
      <c r="AB95" s="1561"/>
      <c r="AC95" s="1561"/>
      <c r="AD95" s="1561"/>
      <c r="AE95" s="1561"/>
      <c r="AF95" s="1561"/>
      <c r="AG95" s="1561"/>
      <c r="AH95" s="1561"/>
      <c r="AI95" s="1561"/>
      <c r="AJ95" s="1561"/>
      <c r="AK95" s="1561"/>
      <c r="AL95" s="1561"/>
      <c r="AM95" s="1561"/>
      <c r="AN95" s="1561"/>
      <c r="AO95" s="1561"/>
      <c r="AP95" s="1561"/>
      <c r="AQ95" s="1561"/>
      <c r="AR95" s="1561"/>
      <c r="AS95" s="1561"/>
      <c r="AT95" s="1561"/>
      <c r="AU95" s="20"/>
      <c r="AV95" s="20"/>
      <c r="AW95" s="20"/>
      <c r="AX95" s="20"/>
      <c r="AY95" s="20"/>
      <c r="AZ95" s="20"/>
    </row>
    <row r="96" spans="1:52" ht="12.95" customHeight="1">
      <c r="A96" s="1561"/>
      <c r="B96" s="1561"/>
      <c r="C96" s="1561"/>
      <c r="D96" s="1561"/>
      <c r="E96" s="1561"/>
      <c r="F96" s="1561"/>
      <c r="G96" s="1561"/>
      <c r="H96" s="1561"/>
      <c r="I96" s="1561"/>
      <c r="J96" s="1561"/>
      <c r="K96" s="1561"/>
      <c r="L96" s="1561"/>
      <c r="M96" s="1561"/>
      <c r="N96" s="1561"/>
      <c r="O96" s="1561"/>
      <c r="P96" s="1561"/>
      <c r="Q96" s="1561"/>
      <c r="R96" s="1561"/>
      <c r="S96" s="1561"/>
      <c r="T96" s="1561"/>
      <c r="U96" s="1561"/>
      <c r="V96" s="1561"/>
      <c r="W96" s="1561"/>
      <c r="X96" s="1561"/>
      <c r="Y96" s="1561"/>
      <c r="Z96" s="1561"/>
      <c r="AA96" s="1561"/>
      <c r="AB96" s="1561"/>
      <c r="AC96" s="1561"/>
      <c r="AD96" s="1561"/>
      <c r="AE96" s="1561"/>
      <c r="AF96" s="1561"/>
      <c r="AG96" s="1561"/>
      <c r="AH96" s="1561"/>
      <c r="AI96" s="1561"/>
      <c r="AJ96" s="1561"/>
      <c r="AK96" s="1561"/>
      <c r="AL96" s="1561"/>
      <c r="AM96" s="1561"/>
      <c r="AN96" s="1561"/>
      <c r="AO96" s="1561"/>
      <c r="AP96" s="1561"/>
      <c r="AQ96" s="1561"/>
      <c r="AR96" s="1561"/>
      <c r="AS96" s="1561"/>
      <c r="AT96" s="1561"/>
      <c r="AU96" s="20"/>
      <c r="AV96" s="20"/>
      <c r="AW96" s="20"/>
      <c r="AX96" s="20"/>
      <c r="AY96" s="20"/>
      <c r="AZ96" s="20"/>
    </row>
    <row r="97" spans="1:52" ht="12.95" customHeight="1">
      <c r="A97" s="1561"/>
      <c r="B97" s="1561"/>
      <c r="C97" s="1561"/>
      <c r="D97" s="1561"/>
      <c r="E97" s="1561"/>
      <c r="F97" s="1561"/>
      <c r="G97" s="1561"/>
      <c r="H97" s="1561"/>
      <c r="I97" s="1561"/>
      <c r="J97" s="1561"/>
      <c r="K97" s="1561"/>
      <c r="L97" s="1561"/>
      <c r="M97" s="1561"/>
      <c r="N97" s="1561"/>
      <c r="O97" s="1561"/>
      <c r="P97" s="1561"/>
      <c r="Q97" s="1561"/>
      <c r="R97" s="1561"/>
      <c r="S97" s="1561"/>
      <c r="T97" s="1561"/>
      <c r="U97" s="1561"/>
      <c r="V97" s="1561"/>
      <c r="W97" s="1561"/>
      <c r="X97" s="1561"/>
      <c r="Y97" s="1561"/>
      <c r="Z97" s="1561"/>
      <c r="AA97" s="1561"/>
      <c r="AB97" s="1561"/>
      <c r="AC97" s="1561"/>
      <c r="AD97" s="1561"/>
      <c r="AE97" s="1561"/>
      <c r="AF97" s="1561"/>
      <c r="AG97" s="1561"/>
      <c r="AH97" s="1561"/>
      <c r="AI97" s="1561"/>
      <c r="AJ97" s="1561"/>
      <c r="AK97" s="1561"/>
      <c r="AL97" s="1561"/>
      <c r="AM97" s="1561"/>
      <c r="AN97" s="1561"/>
      <c r="AO97" s="1561"/>
      <c r="AP97" s="1561"/>
      <c r="AQ97" s="1561"/>
      <c r="AR97" s="1561"/>
      <c r="AS97" s="1561"/>
      <c r="AT97" s="1561"/>
      <c r="AU97" s="20"/>
      <c r="AV97" s="20"/>
      <c r="AW97" s="20"/>
      <c r="AX97" s="20"/>
      <c r="AY97" s="20"/>
      <c r="AZ97" s="20"/>
    </row>
    <row r="98" spans="1:52" ht="12.95" customHeight="1">
      <c r="A98" s="1561"/>
      <c r="B98" s="1561"/>
      <c r="C98" s="1561"/>
      <c r="D98" s="1561"/>
      <c r="E98" s="1561"/>
      <c r="F98" s="1561"/>
      <c r="G98" s="1561"/>
      <c r="H98" s="1561"/>
      <c r="I98" s="1561"/>
      <c r="J98" s="1561"/>
      <c r="K98" s="1561"/>
      <c r="L98" s="1561"/>
      <c r="M98" s="1561"/>
      <c r="N98" s="1561"/>
      <c r="O98" s="1561"/>
      <c r="P98" s="1561"/>
      <c r="Q98" s="1561"/>
      <c r="R98" s="1561"/>
      <c r="S98" s="1561"/>
      <c r="T98" s="1561"/>
      <c r="U98" s="1561"/>
      <c r="V98" s="1561"/>
      <c r="W98" s="1561"/>
      <c r="X98" s="1561"/>
      <c r="Y98" s="1561"/>
      <c r="Z98" s="1561"/>
      <c r="AA98" s="1561"/>
      <c r="AB98" s="1561"/>
      <c r="AC98" s="1561"/>
      <c r="AD98" s="1561"/>
      <c r="AE98" s="1561"/>
      <c r="AF98" s="1561"/>
      <c r="AG98" s="1561"/>
      <c r="AH98" s="1561"/>
      <c r="AI98" s="1561"/>
      <c r="AJ98" s="1561"/>
      <c r="AK98" s="1561"/>
      <c r="AL98" s="1561"/>
      <c r="AM98" s="1561"/>
      <c r="AN98" s="1561"/>
      <c r="AO98" s="1561"/>
      <c r="AP98" s="1561"/>
      <c r="AQ98" s="1561"/>
      <c r="AR98" s="1561"/>
      <c r="AS98" s="1561"/>
      <c r="AT98" s="1561"/>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63">
        <v>14</v>
      </c>
      <c r="H113" s="1563"/>
      <c r="I113" s="3" t="s">
        <v>182</v>
      </c>
      <c r="L113" s="1563" t="s">
        <v>2732</v>
      </c>
      <c r="M113" s="1563"/>
      <c r="N113" s="1563"/>
      <c r="O113" s="1563"/>
      <c r="P113" s="1578" t="s">
        <v>2528</v>
      </c>
      <c r="Q113" s="1578"/>
      <c r="R113" s="1578"/>
      <c r="S113" s="157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71" t="s">
        <v>68</v>
      </c>
      <c r="D115" s="1571"/>
      <c r="E115" s="1571"/>
      <c r="F115" s="1571"/>
      <c r="G115" s="1571"/>
      <c r="H115" s="1571"/>
      <c r="I115" s="1571"/>
      <c r="J115" s="1571"/>
      <c r="K115" s="1571"/>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563"/>
      <c r="Z117" s="1563"/>
      <c r="AA117" s="1563"/>
      <c r="AB117" s="1563"/>
      <c r="AC117" s="1563"/>
      <c r="AD117" s="1563"/>
      <c r="AE117" s="1563"/>
      <c r="AF117" s="1563"/>
      <c r="AG117" s="1563"/>
      <c r="AH117" s="1563"/>
      <c r="AI117" s="1563"/>
      <c r="AJ117" s="1563"/>
      <c r="AK117" s="1563"/>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63" t="s">
        <v>2731</v>
      </c>
      <c r="Z120" s="1563"/>
      <c r="AA120" s="1563"/>
      <c r="AB120" s="1563"/>
      <c r="AC120" s="1563"/>
      <c r="AD120" s="1563"/>
      <c r="AE120" s="1563"/>
      <c r="AF120" s="1563"/>
      <c r="AG120" s="1563"/>
      <c r="AH120" s="1563"/>
      <c r="AI120" s="1563"/>
      <c r="AJ120" s="1563"/>
      <c r="AK120" s="1563"/>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63" t="s">
        <v>2772</v>
      </c>
      <c r="Z123" s="1563"/>
      <c r="AA123" s="1563"/>
      <c r="AB123" s="1563"/>
      <c r="AC123" s="1563"/>
      <c r="AD123" s="1563"/>
      <c r="AE123" s="1563"/>
      <c r="AF123" s="1563"/>
      <c r="AG123" s="1563"/>
      <c r="AH123" s="1563"/>
      <c r="AI123" s="1563"/>
      <c r="AJ123" s="1563"/>
      <c r="AK123" s="1563"/>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552" t="s">
        <v>2643</v>
      </c>
      <c r="P153" s="1552"/>
      <c r="Q153" s="1552"/>
      <c r="R153" s="1552"/>
      <c r="S153" s="1552"/>
      <c r="T153" s="1552"/>
      <c r="U153" s="1552"/>
      <c r="V153" s="1552"/>
      <c r="W153" s="1552"/>
      <c r="X153" s="1552"/>
      <c r="Y153" s="1552"/>
      <c r="Z153" s="1552"/>
      <c r="AA153" s="1552"/>
      <c r="AB153" s="1552"/>
      <c r="AC153" s="1552"/>
      <c r="AD153" s="1552"/>
      <c r="AE153" s="1552"/>
      <c r="AF153" s="1552"/>
      <c r="AG153" s="1552"/>
      <c r="AH153" s="1552"/>
    </row>
    <row r="154" spans="1:72" ht="12.95" customHeight="1">
      <c r="D154" s="325" t="s">
        <v>442</v>
      </c>
      <c r="O154" s="1559" t="s">
        <v>2644</v>
      </c>
      <c r="P154" s="1559"/>
      <c r="Q154" s="1559"/>
      <c r="R154" s="1559"/>
      <c r="S154" s="1559"/>
      <c r="T154" s="1559"/>
      <c r="U154" s="1559"/>
      <c r="V154" s="1559"/>
      <c r="W154" s="1559"/>
      <c r="X154" s="1559"/>
      <c r="Y154" s="1559"/>
      <c r="Z154" s="1559"/>
      <c r="AA154" s="1559"/>
      <c r="AB154" s="1559"/>
      <c r="AC154" s="1559"/>
      <c r="AD154" s="1559"/>
      <c r="AE154" s="1559"/>
      <c r="AF154" s="1559"/>
      <c r="AG154" s="1559"/>
      <c r="AH154" s="1559"/>
    </row>
    <row r="155" spans="1:72" ht="12.95" customHeight="1">
      <c r="D155" s="8" t="s">
        <v>444</v>
      </c>
      <c r="F155" s="8"/>
      <c r="G155" s="8"/>
      <c r="H155" s="8"/>
      <c r="I155" s="8"/>
      <c r="J155" s="8"/>
      <c r="K155" s="8"/>
      <c r="L155" s="8"/>
      <c r="M155" s="8"/>
      <c r="N155" s="8"/>
      <c r="O155" s="1576" t="s">
        <v>443</v>
      </c>
      <c r="P155" s="1576"/>
      <c r="Q155" s="1576"/>
      <c r="R155" s="1576"/>
      <c r="S155" s="1576"/>
      <c r="T155" s="1576"/>
      <c r="U155" s="1576"/>
      <c r="V155" s="1576"/>
      <c r="W155" s="1576"/>
      <c r="X155" s="1576"/>
      <c r="Y155" s="1576"/>
      <c r="Z155" s="1576"/>
      <c r="AA155" s="1576"/>
      <c r="AB155" s="1576"/>
      <c r="AC155" s="1576"/>
      <c r="AD155" s="1576"/>
      <c r="AE155" s="1576"/>
      <c r="AF155" s="1576"/>
      <c r="AG155" s="1576"/>
      <c r="AH155" s="1576"/>
    </row>
    <row r="156" spans="1:72" ht="12.95" customHeight="1">
      <c r="D156" t="s">
        <v>314</v>
      </c>
      <c r="O156" s="1467" t="s">
        <v>2645</v>
      </c>
      <c r="P156" s="1467"/>
      <c r="Q156" s="1467"/>
      <c r="R156" s="1467"/>
      <c r="S156" s="1467"/>
      <c r="T156" s="1467"/>
      <c r="U156" s="1467"/>
      <c r="V156" s="1467"/>
      <c r="W156" s="1467"/>
      <c r="X156" s="1467"/>
      <c r="Y156" s="1467"/>
      <c r="Z156" s="1467"/>
      <c r="AA156" s="1467"/>
      <c r="AB156" s="1467"/>
      <c r="AC156" s="1467"/>
      <c r="AD156" s="1467"/>
      <c r="AE156" s="1467"/>
      <c r="AF156" s="1467"/>
      <c r="AG156" s="1467"/>
      <c r="AH156" s="1467"/>
      <c r="BT156" t="s">
        <v>308</v>
      </c>
    </row>
    <row r="157" spans="1:72" ht="12.95" customHeight="1">
      <c r="D157" t="s">
        <v>315</v>
      </c>
      <c r="O157" s="1552" t="s">
        <v>2646</v>
      </c>
      <c r="P157" s="1552"/>
      <c r="Q157" s="1552"/>
      <c r="R157" s="1552"/>
      <c r="S157" s="1552"/>
      <c r="T157" s="1552"/>
      <c r="U157" s="1552"/>
      <c r="V157" s="1552"/>
      <c r="W157" s="1552"/>
      <c r="X157" s="1552"/>
      <c r="Y157" s="8"/>
      <c r="Z157" s="8"/>
      <c r="AA157" s="8"/>
      <c r="AB157" s="8"/>
      <c r="AC157" s="8"/>
      <c r="AD157" s="8"/>
      <c r="AE157" s="8"/>
      <c r="AF157" s="8"/>
      <c r="BN157" s="23" t="s">
        <v>645</v>
      </c>
      <c r="BT157" t="s">
        <v>485</v>
      </c>
    </row>
    <row r="158" spans="1:72" ht="12.95" customHeight="1">
      <c r="D158" t="s">
        <v>316</v>
      </c>
      <c r="O158" s="1581">
        <v>95814</v>
      </c>
      <c r="P158" s="1581"/>
      <c r="Q158" s="1581"/>
      <c r="R158" s="1581"/>
      <c r="S158" s="9"/>
      <c r="T158" s="9"/>
      <c r="U158" s="9"/>
      <c r="V158" s="9"/>
      <c r="W158" s="9"/>
      <c r="X158" s="9"/>
      <c r="Y158" s="9"/>
      <c r="Z158" s="9"/>
      <c r="AA158" s="9"/>
      <c r="AB158" s="9"/>
      <c r="AC158" s="9"/>
      <c r="AD158" s="9"/>
      <c r="AE158" s="9"/>
      <c r="AF158" s="9"/>
      <c r="BN158" s="23" t="s">
        <v>646</v>
      </c>
      <c r="BT158" t="s">
        <v>486</v>
      </c>
    </row>
    <row r="159" spans="1:72" ht="12.95" customHeight="1">
      <c r="D159" t="s">
        <v>317</v>
      </c>
      <c r="O159" s="1564" t="s">
        <v>2647</v>
      </c>
      <c r="P159" s="1564"/>
      <c r="Q159" s="1564"/>
      <c r="R159" s="1564"/>
      <c r="S159" s="1564"/>
      <c r="T159" s="1564"/>
      <c r="V159" s="97" t="s">
        <v>272</v>
      </c>
      <c r="W159" s="1577"/>
      <c r="X159" s="1577"/>
      <c r="Y159" s="10"/>
      <c r="Z159" s="10"/>
      <c r="AA159" s="10"/>
      <c r="AB159" s="10"/>
      <c r="AC159" s="10"/>
      <c r="AD159" s="10"/>
      <c r="AE159" s="10"/>
      <c r="AF159" s="10"/>
      <c r="BN159" s="23" t="s">
        <v>340</v>
      </c>
      <c r="BT159" t="s">
        <v>487</v>
      </c>
    </row>
    <row r="160" spans="1:72" ht="12.95" customHeight="1">
      <c r="D160" t="s">
        <v>318</v>
      </c>
      <c r="O160" s="1564"/>
      <c r="P160" s="1564"/>
      <c r="Q160" s="1564"/>
      <c r="R160" s="1564"/>
      <c r="S160" s="1564"/>
      <c r="T160" s="1564"/>
      <c r="U160" s="10"/>
      <c r="V160" s="10"/>
      <c r="W160" s="10"/>
      <c r="X160" s="10"/>
      <c r="Y160" s="10"/>
      <c r="Z160" s="10"/>
      <c r="AA160" s="10"/>
      <c r="AB160" s="10"/>
      <c r="AC160" s="10"/>
      <c r="AD160" s="10"/>
      <c r="AE160" s="10"/>
      <c r="AF160" s="10"/>
      <c r="BN160" s="23" t="s">
        <v>669</v>
      </c>
      <c r="BT160" t="s">
        <v>488</v>
      </c>
    </row>
    <row r="161" spans="1:72" ht="12.95" customHeight="1">
      <c r="D161" t="s">
        <v>319</v>
      </c>
      <c r="O161" s="1547" t="s">
        <v>2648</v>
      </c>
      <c r="P161" s="1547"/>
      <c r="Q161" s="1547"/>
      <c r="R161" s="1547"/>
      <c r="S161" s="1547"/>
      <c r="T161" s="1547"/>
      <c r="U161" s="1547"/>
      <c r="V161" s="1547"/>
      <c r="W161" s="1547"/>
      <c r="X161" s="1547"/>
      <c r="Y161" s="1547"/>
      <c r="Z161" s="1547"/>
      <c r="AA161" s="1547"/>
      <c r="AB161" s="1547"/>
      <c r="AC161" s="1547"/>
      <c r="AD161" s="1547"/>
      <c r="AE161" s="1547"/>
      <c r="AF161" s="1547"/>
      <c r="AG161" s="1547"/>
      <c r="AH161" s="1547"/>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572" t="s">
        <v>2623</v>
      </c>
      <c r="E164" s="1572"/>
      <c r="F164" s="1572"/>
      <c r="G164" s="1572"/>
      <c r="H164" s="1572"/>
      <c r="I164" s="1572"/>
      <c r="J164" s="1572"/>
      <c r="K164" s="1572"/>
      <c r="L164" s="1572"/>
      <c r="M164" s="1572"/>
      <c r="N164" s="1572"/>
      <c r="O164" s="1572"/>
      <c r="P164" s="1572"/>
      <c r="Q164" s="1572"/>
      <c r="R164" s="1572"/>
      <c r="S164" s="1572"/>
      <c r="T164" s="1572"/>
      <c r="U164" s="1572"/>
      <c r="V164" s="1572"/>
      <c r="W164" s="1572"/>
      <c r="X164" s="1572"/>
      <c r="Y164" s="1572"/>
      <c r="Z164" s="1572"/>
      <c r="AA164" s="1572"/>
      <c r="AB164" s="1572"/>
      <c r="AC164" s="1572"/>
      <c r="AD164" s="1572"/>
      <c r="AE164" s="1572"/>
      <c r="AF164" s="1572"/>
      <c r="AG164" s="1572"/>
      <c r="AH164" s="1572"/>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73" t="s">
        <v>548</v>
      </c>
      <c r="B169" s="1473"/>
      <c r="C169" s="1473"/>
      <c r="D169" s="1473"/>
      <c r="E169" s="1473"/>
      <c r="F169" s="1473"/>
      <c r="G169" s="1473"/>
      <c r="H169" s="1473"/>
      <c r="I169" s="1473"/>
      <c r="J169" s="1473"/>
      <c r="K169" s="1473"/>
      <c r="L169" s="1473"/>
      <c r="M169" s="1473"/>
      <c r="N169" s="1473"/>
      <c r="O169" s="1473"/>
      <c r="P169" s="1473"/>
      <c r="Q169" s="1473"/>
      <c r="R169" s="1473"/>
      <c r="S169" s="1473"/>
      <c r="T169" s="1473"/>
      <c r="U169" s="1473"/>
      <c r="V169" s="1473"/>
      <c r="W169" s="1473"/>
      <c r="X169" s="1473"/>
      <c r="Y169" s="1473"/>
      <c r="Z169" s="1473"/>
      <c r="AA169" s="1473"/>
      <c r="AB169" s="1473"/>
      <c r="AC169" s="1473"/>
      <c r="AD169" s="1473"/>
      <c r="AE169" s="1473"/>
      <c r="AF169" s="1473"/>
      <c r="AG169" s="1473"/>
      <c r="AH169" s="1473"/>
      <c r="AI169" s="1473"/>
      <c r="AJ169" s="1473"/>
      <c r="AK169" s="1473"/>
      <c r="AL169" s="1473"/>
      <c r="AM169" s="1473"/>
      <c r="AN169" s="1473"/>
      <c r="AO169" s="1473"/>
      <c r="AP169" s="1473"/>
      <c r="AQ169" s="1473"/>
      <c r="AR169" s="1473"/>
      <c r="AS169" s="1473"/>
      <c r="AT169" s="1473"/>
      <c r="AU169" s="95"/>
      <c r="AV169" s="95"/>
      <c r="AW169" s="95"/>
      <c r="AX169" s="95"/>
      <c r="AY169" s="95"/>
      <c r="BN169" s="23" t="s">
        <v>682</v>
      </c>
      <c r="BT169" t="s">
        <v>497</v>
      </c>
    </row>
    <row r="170" spans="1:72" ht="12.95" customHeight="1">
      <c r="A170" s="1473"/>
      <c r="B170" s="1473"/>
      <c r="C170" s="1473"/>
      <c r="D170" s="1473"/>
      <c r="E170" s="1473"/>
      <c r="F170" s="1473"/>
      <c r="G170" s="1473"/>
      <c r="H170" s="1473"/>
      <c r="I170" s="1473"/>
      <c r="J170" s="1473"/>
      <c r="K170" s="1473"/>
      <c r="L170" s="1473"/>
      <c r="M170" s="1473"/>
      <c r="N170" s="1473"/>
      <c r="O170" s="1473"/>
      <c r="P170" s="1473"/>
      <c r="Q170" s="1473"/>
      <c r="R170" s="1473"/>
      <c r="S170" s="1473"/>
      <c r="T170" s="1473"/>
      <c r="U170" s="1473"/>
      <c r="V170" s="1473"/>
      <c r="W170" s="1473"/>
      <c r="X170" s="1473"/>
      <c r="Y170" s="1473"/>
      <c r="Z170" s="1473"/>
      <c r="AA170" s="1473"/>
      <c r="AB170" s="1473"/>
      <c r="AC170" s="1473"/>
      <c r="AD170" s="1473"/>
      <c r="AE170" s="1473"/>
      <c r="AF170" s="1473"/>
      <c r="AG170" s="1473"/>
      <c r="AH170" s="1473"/>
      <c r="AI170" s="1473"/>
      <c r="AJ170" s="1473"/>
      <c r="AK170" s="1473"/>
      <c r="AL170" s="1473"/>
      <c r="AM170" s="1473"/>
      <c r="AN170" s="1473"/>
      <c r="AO170" s="1473"/>
      <c r="AP170" s="1473"/>
      <c r="AQ170" s="1473"/>
      <c r="AR170" s="1473"/>
      <c r="AS170" s="1473"/>
      <c r="AT170" s="1473"/>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575" t="s">
        <v>372</v>
      </c>
      <c r="K173" s="1575"/>
      <c r="L173" s="1575"/>
      <c r="M173" s="1575"/>
      <c r="N173" s="1575"/>
      <c r="O173" s="1575"/>
      <c r="P173" s="1575"/>
      <c r="Q173" s="1575"/>
      <c r="R173" s="1575"/>
      <c r="S173" s="1575"/>
      <c r="U173" s="25"/>
      <c r="X173" s="25"/>
      <c r="BB173" s="3" t="s">
        <v>308</v>
      </c>
      <c r="BN173" s="23" t="s">
        <v>215</v>
      </c>
      <c r="BT173" t="s">
        <v>501</v>
      </c>
    </row>
    <row r="174" spans="1:72" ht="12.95" customHeight="1">
      <c r="C174" s="24"/>
      <c r="D174" s="3" t="s">
        <v>1309</v>
      </c>
      <c r="J174" s="1467" t="s">
        <v>2420</v>
      </c>
      <c r="K174" s="1467"/>
      <c r="L174" s="1467"/>
      <c r="M174" s="1467"/>
      <c r="N174" s="1467"/>
      <c r="O174" s="1467"/>
      <c r="P174" s="1467"/>
      <c r="Q174" s="1467"/>
      <c r="R174" s="1467"/>
      <c r="S174" s="1467"/>
      <c r="T174" s="1467"/>
      <c r="U174" s="1467"/>
      <c r="V174" s="1467"/>
      <c r="W174" s="1467"/>
      <c r="X174" s="1467"/>
      <c r="Y174" s="1467"/>
      <c r="Z174" s="1467"/>
      <c r="AA174" s="1467"/>
      <c r="AB174" s="1467"/>
      <c r="BB174" t="s">
        <v>2273</v>
      </c>
      <c r="BN174" s="23" t="s">
        <v>217</v>
      </c>
      <c r="BT174" t="s">
        <v>502</v>
      </c>
    </row>
    <row r="175" spans="1:72" ht="12.95" customHeight="1">
      <c r="C175" s="8"/>
      <c r="D175" s="3" t="s">
        <v>323</v>
      </c>
      <c r="O175" s="27"/>
      <c r="U175" s="1428"/>
      <c r="V175" s="1428"/>
      <c r="BB175" t="s">
        <v>2237</v>
      </c>
      <c r="BN175" s="23" t="s">
        <v>218</v>
      </c>
      <c r="BT175" t="s">
        <v>503</v>
      </c>
    </row>
    <row r="176" spans="1:72" ht="12.95" customHeight="1">
      <c r="C176" s="8"/>
      <c r="D176" s="26"/>
      <c r="E176" t="s">
        <v>305</v>
      </c>
      <c r="O176" s="27"/>
      <c r="P176" t="s">
        <v>2395</v>
      </c>
      <c r="T176" s="27" t="s">
        <v>306</v>
      </c>
      <c r="U176" s="1574"/>
      <c r="V176" s="1574"/>
      <c r="W176" s="1" t="s">
        <v>307</v>
      </c>
      <c r="X176" s="1562"/>
      <c r="Y176" s="1562"/>
      <c r="BB176" t="s">
        <v>2274</v>
      </c>
      <c r="BN176" s="23" t="s">
        <v>220</v>
      </c>
      <c r="BT176" t="s">
        <v>504</v>
      </c>
    </row>
    <row r="177" spans="1:72" ht="12.95" customHeight="1">
      <c r="C177" s="24"/>
      <c r="D177" t="s">
        <v>250</v>
      </c>
      <c r="R177" s="1428" t="s">
        <v>554</v>
      </c>
      <c r="S177" s="1428"/>
      <c r="BB177" t="s">
        <v>2577</v>
      </c>
      <c r="BN177" s="23" t="s">
        <v>221</v>
      </c>
      <c r="BT177" t="s">
        <v>505</v>
      </c>
    </row>
    <row r="178" spans="1:72" ht="12.95" customHeight="1">
      <c r="C178" s="24"/>
      <c r="D178" s="3" t="s">
        <v>1310</v>
      </c>
      <c r="AA178" t="s">
        <v>2395</v>
      </c>
      <c r="AE178" s="27" t="s">
        <v>306</v>
      </c>
      <c r="AF178" s="1584"/>
      <c r="AG178" s="1584"/>
      <c r="AH178" s="1" t="s">
        <v>307</v>
      </c>
      <c r="AI178" s="1546"/>
      <c r="AJ178" s="1546"/>
      <c r="AK178" s="1546"/>
      <c r="BB178" t="s">
        <v>2578</v>
      </c>
      <c r="BN178" s="23" t="s">
        <v>222</v>
      </c>
      <c r="BT178" t="s">
        <v>53</v>
      </c>
    </row>
    <row r="179" spans="1:72" ht="12.95" customHeight="1">
      <c r="C179" s="24"/>
      <c r="BN179" s="23" t="s">
        <v>223</v>
      </c>
      <c r="BT179" t="s">
        <v>54</v>
      </c>
    </row>
    <row r="180" spans="1:72" ht="12.95" customHeight="1">
      <c r="C180" s="24"/>
      <c r="D180" t="s">
        <v>2396</v>
      </c>
      <c r="X180" s="1428" t="s">
        <v>554</v>
      </c>
      <c r="Y180" s="1428"/>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517" t="str">
        <f>H18</f>
        <v>Shiloh Arms</v>
      </c>
      <c r="J184" s="1517"/>
      <c r="K184" s="1517"/>
      <c r="L184" s="1517"/>
      <c r="M184" s="1517"/>
      <c r="N184" s="1517"/>
      <c r="O184" s="1517"/>
      <c r="P184" s="1517"/>
      <c r="Q184" s="1517"/>
      <c r="R184" s="1517"/>
      <c r="S184" s="1517"/>
      <c r="T184" s="1517"/>
      <c r="U184" s="1517"/>
      <c r="V184" s="1517"/>
      <c r="W184" s="1517"/>
      <c r="X184" s="1517"/>
      <c r="Y184" s="1517"/>
      <c r="Z184" s="1517"/>
      <c r="AA184" s="1517"/>
      <c r="AB184" s="1517"/>
      <c r="AC184" s="1517"/>
      <c r="AD184" s="1517"/>
      <c r="AE184" s="1517"/>
      <c r="BC184" t="s">
        <v>596</v>
      </c>
      <c r="BN184" s="23" t="s">
        <v>231</v>
      </c>
      <c r="BT184" t="s">
        <v>62</v>
      </c>
    </row>
    <row r="185" spans="1:72" ht="12.95" customHeight="1">
      <c r="C185" s="21"/>
      <c r="D185" t="s">
        <v>588</v>
      </c>
      <c r="I185" s="1417" t="s">
        <v>2649</v>
      </c>
      <c r="J185" s="1417"/>
      <c r="K185" s="1417"/>
      <c r="L185" s="1417"/>
      <c r="M185" s="1417"/>
      <c r="N185" s="1417"/>
      <c r="O185" s="1417"/>
      <c r="P185" s="1417"/>
      <c r="Q185" s="1417"/>
      <c r="R185" s="1417"/>
      <c r="S185" s="1417"/>
      <c r="T185" s="1417"/>
      <c r="U185" s="1417"/>
      <c r="V185" s="1417"/>
      <c r="W185" s="1417"/>
      <c r="X185" s="1417"/>
      <c r="Y185" s="1417"/>
      <c r="Z185" s="1417"/>
      <c r="AA185" s="1417"/>
      <c r="AB185" s="1417"/>
      <c r="AC185" s="1417"/>
      <c r="AD185" s="1417"/>
      <c r="AE185" s="1417"/>
      <c r="BC185" t="s">
        <v>597</v>
      </c>
      <c r="BN185" s="23" t="s">
        <v>232</v>
      </c>
      <c r="BT185" t="s">
        <v>63</v>
      </c>
    </row>
    <row r="186" spans="1:72" ht="12.95" customHeight="1">
      <c r="C186" s="21"/>
      <c r="E186" t="s">
        <v>168</v>
      </c>
      <c r="BN186" s="23" t="s">
        <v>233</v>
      </c>
      <c r="BT186" t="s">
        <v>64</v>
      </c>
    </row>
    <row r="187" spans="1:72" ht="12.95" customHeight="1">
      <c r="C187" s="21"/>
      <c r="E187" s="1492"/>
      <c r="F187" s="1492"/>
      <c r="G187" s="1492"/>
      <c r="H187" s="1492"/>
      <c r="I187" s="1492"/>
      <c r="J187" s="1492"/>
      <c r="K187" s="1492"/>
      <c r="L187" s="1492"/>
      <c r="M187" s="1492"/>
      <c r="N187" s="1492"/>
      <c r="O187" s="1492"/>
      <c r="P187" s="1492"/>
      <c r="Q187" s="1492"/>
      <c r="R187" s="1492"/>
      <c r="S187" s="1492"/>
      <c r="T187" s="1492"/>
      <c r="U187" s="1492"/>
      <c r="V187" s="1492"/>
      <c r="W187" s="1492"/>
      <c r="X187" s="1492"/>
      <c r="Y187" s="1492"/>
      <c r="Z187" s="1492"/>
      <c r="AA187" s="1492"/>
      <c r="AB187" s="1492"/>
      <c r="AC187" s="1492"/>
      <c r="AD187" s="1492"/>
      <c r="AE187" s="1492"/>
      <c r="BN187" s="23" t="s">
        <v>234</v>
      </c>
      <c r="BT187" t="s">
        <v>65</v>
      </c>
    </row>
    <row r="188" spans="1:72" ht="12.95" customHeight="1">
      <c r="C188" s="21"/>
      <c r="E188" s="1493"/>
      <c r="F188" s="1493"/>
      <c r="G188" s="1493"/>
      <c r="H188" s="1493"/>
      <c r="I188" s="1493"/>
      <c r="J188" s="1493"/>
      <c r="K188" s="1493"/>
      <c r="L188" s="1493"/>
      <c r="M188" s="1493"/>
      <c r="N188" s="1493"/>
      <c r="O188" s="1493"/>
      <c r="P188" s="1493"/>
      <c r="Q188" s="1493"/>
      <c r="R188" s="1493"/>
      <c r="S188" s="1493"/>
      <c r="T188" s="1493"/>
      <c r="U188" s="1493"/>
      <c r="V188" s="1493"/>
      <c r="W188" s="1493"/>
      <c r="X188" s="1493"/>
      <c r="Y188" s="1493"/>
      <c r="Z188" s="1493"/>
      <c r="AA188" s="1493"/>
      <c r="AB188" s="1493"/>
      <c r="AC188" s="1493"/>
      <c r="AD188" s="1493"/>
      <c r="AE188" s="1493"/>
      <c r="BN188" s="23" t="s">
        <v>236</v>
      </c>
      <c r="BT188" t="s">
        <v>66</v>
      </c>
    </row>
    <row r="189" spans="1:72" ht="12.95" customHeight="1">
      <c r="C189" s="21"/>
      <c r="D189" t="s">
        <v>589</v>
      </c>
      <c r="I189" s="1467" t="s">
        <v>2650</v>
      </c>
      <c r="J189" s="1467"/>
      <c r="K189" s="1467"/>
      <c r="L189" s="1467"/>
      <c r="M189" s="1467"/>
      <c r="N189" s="1467"/>
      <c r="O189" s="1467"/>
      <c r="P189" s="1467"/>
      <c r="Q189" t="s">
        <v>591</v>
      </c>
      <c r="T189" s="1467" t="s">
        <v>68</v>
      </c>
      <c r="U189" s="1467"/>
      <c r="V189" s="1467"/>
      <c r="W189" s="1467"/>
      <c r="X189" s="1467"/>
      <c r="Y189" s="1467"/>
      <c r="Z189" s="1467"/>
      <c r="AA189" s="1467"/>
      <c r="AB189" s="1467"/>
      <c r="AC189" s="1467"/>
      <c r="AD189" s="1467"/>
      <c r="AE189" s="1467"/>
      <c r="BC189" t="s">
        <v>308</v>
      </c>
      <c r="BH189" s="3" t="s">
        <v>600</v>
      </c>
      <c r="BN189" s="23" t="s">
        <v>237</v>
      </c>
      <c r="BT189" t="s">
        <v>67</v>
      </c>
    </row>
    <row r="190" spans="1:72" ht="12.95" customHeight="1">
      <c r="C190" s="21"/>
      <c r="D190" t="s">
        <v>592</v>
      </c>
      <c r="I190" s="1417">
        <v>95820</v>
      </c>
      <c r="J190" s="1417"/>
      <c r="K190" s="1417"/>
      <c r="L190" s="1417"/>
      <c r="M190" s="1417"/>
      <c r="N190" s="1417"/>
      <c r="O190" t="s">
        <v>594</v>
      </c>
      <c r="T190" s="1582">
        <v>6067004402</v>
      </c>
      <c r="U190" s="1582"/>
      <c r="V190" s="1582"/>
      <c r="W190" s="1582"/>
      <c r="X190" s="1582"/>
      <c r="Y190" s="1582"/>
      <c r="Z190" s="1582"/>
      <c r="AA190" s="1582"/>
      <c r="AB190" s="1582"/>
      <c r="AC190" s="1582"/>
      <c r="AD190" s="1582"/>
      <c r="AE190" s="1582"/>
      <c r="BC190" t="s">
        <v>1066</v>
      </c>
      <c r="BH190" t="s">
        <v>1066</v>
      </c>
      <c r="BN190" s="23" t="s">
        <v>644</v>
      </c>
      <c r="BT190" t="s">
        <v>68</v>
      </c>
    </row>
    <row r="191" spans="1:72" ht="12.95" customHeight="1">
      <c r="C191" s="21"/>
      <c r="D191" t="s">
        <v>471</v>
      </c>
      <c r="N191" s="1492" t="s">
        <v>2651</v>
      </c>
      <c r="O191" s="1492"/>
      <c r="P191" s="1492"/>
      <c r="Q191" s="1492"/>
      <c r="R191" s="1492"/>
      <c r="S191" s="1492"/>
      <c r="T191" s="1492"/>
      <c r="U191" s="1492"/>
      <c r="V191" s="1492"/>
      <c r="W191" s="1492"/>
      <c r="X191" s="1492"/>
      <c r="Y191" s="1492"/>
      <c r="Z191" s="1492"/>
      <c r="AA191" s="1492"/>
      <c r="AB191" s="1492"/>
      <c r="AC191" s="1492"/>
      <c r="AD191" s="1492"/>
      <c r="AE191" s="1492"/>
      <c r="BC191" t="s">
        <v>1065</v>
      </c>
      <c r="BH191" t="s">
        <v>1065</v>
      </c>
      <c r="BN191" s="23" t="s">
        <v>698</v>
      </c>
      <c r="BT191" t="s">
        <v>737</v>
      </c>
    </row>
    <row r="192" spans="1:72" ht="12.95" customHeight="1">
      <c r="C192" s="21"/>
      <c r="M192" s="40"/>
      <c r="N192" s="1493"/>
      <c r="O192" s="1493"/>
      <c r="P192" s="1493"/>
      <c r="Q192" s="1493"/>
      <c r="R192" s="1493"/>
      <c r="S192" s="1493"/>
      <c r="T192" s="1493"/>
      <c r="U192" s="1493"/>
      <c r="V192" s="1493"/>
      <c r="W192" s="1493"/>
      <c r="X192" s="1493"/>
      <c r="Y192" s="1493"/>
      <c r="Z192" s="1493"/>
      <c r="AA192" s="1493"/>
      <c r="AB192" s="1493"/>
      <c r="AC192" s="1493"/>
      <c r="AD192" s="1493"/>
      <c r="AE192" s="1493"/>
      <c r="BC192" t="s">
        <v>1068</v>
      </c>
      <c r="BH192" s="3" t="s">
        <v>1474</v>
      </c>
      <c r="BN192" s="23" t="s">
        <v>699</v>
      </c>
      <c r="BT192" t="s">
        <v>738</v>
      </c>
    </row>
    <row r="193" spans="1:74" ht="12.95" customHeight="1">
      <c r="C193" s="21"/>
      <c r="D193" t="s">
        <v>2397</v>
      </c>
      <c r="M193" s="40"/>
      <c r="N193" s="928"/>
      <c r="O193" s="928"/>
      <c r="P193" s="928"/>
      <c r="Q193" s="928"/>
      <c r="R193" s="928"/>
      <c r="S193" s="928"/>
      <c r="T193" s="1567" t="s">
        <v>2577</v>
      </c>
      <c r="U193" s="1567"/>
      <c r="V193" s="1567"/>
      <c r="W193" s="1567"/>
      <c r="X193" s="1567"/>
      <c r="Y193" s="1567"/>
      <c r="Z193" s="1567"/>
      <c r="AA193" s="1567"/>
      <c r="AB193" s="1567"/>
      <c r="AC193" s="1567"/>
      <c r="AD193" s="1567"/>
      <c r="AE193" s="1567"/>
      <c r="AF193" s="1567"/>
      <c r="AG193" s="1567"/>
      <c r="AH193" s="1567"/>
      <c r="AI193" s="1567"/>
      <c r="BC193" t="s">
        <v>1067</v>
      </c>
      <c r="BH193" s="3" t="s">
        <v>1741</v>
      </c>
      <c r="BN193" s="23" t="s">
        <v>700</v>
      </c>
      <c r="BT193" t="s">
        <v>739</v>
      </c>
    </row>
    <row r="194" spans="1:74" ht="12.95" customHeight="1">
      <c r="C194" s="21"/>
      <c r="D194" s="3" t="s">
        <v>2579</v>
      </c>
      <c r="M194" s="40"/>
      <c r="N194" s="928"/>
      <c r="O194" s="928"/>
      <c r="P194" s="928"/>
      <c r="Q194" s="928"/>
      <c r="R194" s="928"/>
      <c r="S194" s="928"/>
      <c r="AH194" s="1428" t="s">
        <v>678</v>
      </c>
      <c r="AI194" s="1428"/>
      <c r="BC194" t="s">
        <v>1474</v>
      </c>
      <c r="BN194" s="23" t="s">
        <v>701</v>
      </c>
      <c r="BT194" t="s">
        <v>740</v>
      </c>
    </row>
    <row r="195" spans="1:74" ht="12.95" customHeight="1">
      <c r="C195" s="21"/>
      <c r="D195" t="s">
        <v>332</v>
      </c>
      <c r="T195" s="1428" t="s">
        <v>678</v>
      </c>
      <c r="U195" s="1428"/>
      <c r="W195" t="s">
        <v>694</v>
      </c>
      <c r="AH195" s="1428">
        <v>7</v>
      </c>
      <c r="AI195" s="1428"/>
      <c r="BC195" t="s">
        <v>2047</v>
      </c>
      <c r="BN195" s="23" t="s">
        <v>243</v>
      </c>
      <c r="BT195" t="s">
        <v>741</v>
      </c>
    </row>
    <row r="196" spans="1:74" ht="12.95" customHeight="1">
      <c r="C196" s="21"/>
      <c r="D196" t="s">
        <v>387</v>
      </c>
      <c r="T196" s="1395" t="s">
        <v>554</v>
      </c>
      <c r="U196" s="1395"/>
      <c r="W196" t="s">
        <v>695</v>
      </c>
      <c r="AH196" s="1428">
        <v>10</v>
      </c>
      <c r="AI196" s="1428"/>
      <c r="BN196" s="23" t="s">
        <v>244</v>
      </c>
      <c r="BT196" t="s">
        <v>69</v>
      </c>
    </row>
    <row r="197" spans="1:74" ht="12.95" customHeight="1">
      <c r="C197" s="21"/>
      <c r="D197" s="3" t="s">
        <v>169</v>
      </c>
      <c r="T197" s="1395" t="s">
        <v>678</v>
      </c>
      <c r="U197" s="1395"/>
      <c r="W197" t="s">
        <v>696</v>
      </c>
      <c r="AH197" s="1428">
        <v>8</v>
      </c>
      <c r="AI197" s="1428"/>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395" t="s">
        <v>2758</v>
      </c>
      <c r="U198" s="1395"/>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428"/>
      <c r="AA199" s="1428"/>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517" t="s">
        <v>386</v>
      </c>
      <c r="E204" s="1517"/>
      <c r="F204" s="1517"/>
      <c r="G204" s="1517"/>
      <c r="H204" s="1517"/>
      <c r="I204" s="1517"/>
      <c r="J204" s="1517"/>
      <c r="K204" s="1517"/>
      <c r="L204" s="1517"/>
      <c r="M204" s="1517"/>
      <c r="P204" s="1573">
        <f>M26</f>
        <v>1901879</v>
      </c>
      <c r="Q204" s="1568"/>
      <c r="R204" s="1568"/>
      <c r="S204" s="1568"/>
      <c r="T204" s="1568"/>
      <c r="U204" s="1568"/>
      <c r="BC204" t="s">
        <v>619</v>
      </c>
      <c r="BN204" s="23" t="s">
        <v>713</v>
      </c>
      <c r="BT204" s="32" t="s">
        <v>198</v>
      </c>
      <c r="BU204" s="14"/>
    </row>
    <row r="205" spans="1:74" ht="12.95" customHeight="1">
      <c r="C205" s="21"/>
      <c r="D205" s="1579" t="s">
        <v>1356</v>
      </c>
      <c r="E205" s="1517"/>
      <c r="F205" s="1517"/>
      <c r="G205" s="1517"/>
      <c r="H205" s="1517"/>
      <c r="I205" s="1517"/>
      <c r="J205" s="1517"/>
      <c r="K205" s="1517"/>
      <c r="L205" s="1517"/>
      <c r="M205" s="1517"/>
      <c r="P205" s="1568">
        <f>M27</f>
        <v>0</v>
      </c>
      <c r="Q205" s="1568"/>
      <c r="R205" s="1568"/>
      <c r="S205" s="1568"/>
      <c r="T205" s="1568"/>
      <c r="U205" s="1568"/>
      <c r="V205" s="28"/>
      <c r="W205" s="3" t="s">
        <v>1909</v>
      </c>
      <c r="Z205" s="1583"/>
      <c r="AA205" s="1583"/>
      <c r="AB205" s="1583"/>
      <c r="AC205" s="1583"/>
      <c r="AD205" s="1583"/>
      <c r="AE205" s="1583"/>
      <c r="AF205" s="1583"/>
      <c r="AG205" s="1583"/>
      <c r="AH205" s="1583"/>
      <c r="AI205" s="1583"/>
      <c r="AJ205" s="1583"/>
      <c r="AK205" s="1583"/>
      <c r="AL205" s="1583"/>
      <c r="AM205" s="1583"/>
      <c r="AN205" s="1583"/>
      <c r="AP205" s="1303"/>
      <c r="AQ205" s="1303"/>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47" t="s">
        <v>2652</v>
      </c>
      <c r="E208" s="1447"/>
      <c r="F208" s="1447"/>
      <c r="G208" s="1447"/>
      <c r="H208" s="1447"/>
      <c r="I208" s="1447"/>
      <c r="J208" s="1447"/>
      <c r="K208" s="1447"/>
      <c r="L208" s="1447"/>
      <c r="M208" s="1447"/>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47" t="s">
        <v>2047</v>
      </c>
      <c r="E211" s="1447"/>
      <c r="F211" s="1447"/>
      <c r="G211" s="1447"/>
      <c r="H211" s="1447"/>
      <c r="I211" s="1447"/>
      <c r="J211" s="1447"/>
      <c r="K211" s="1447"/>
      <c r="L211" s="1447"/>
      <c r="M211" s="1447"/>
      <c r="BN211" s="23" t="s">
        <v>129</v>
      </c>
      <c r="BT211" s="32" t="s">
        <v>130</v>
      </c>
    </row>
    <row r="212" spans="1:72" ht="12.95" customHeight="1">
      <c r="C212" s="21"/>
      <c r="D212" t="s">
        <v>1353</v>
      </c>
      <c r="Y212" s="1428"/>
      <c r="Z212" s="1428"/>
      <c r="AB212" s="1565">
        <f>IFERROR(Y212/AG440,"")</f>
        <v>0</v>
      </c>
      <c r="AC212" s="1566"/>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570" t="s">
        <v>600</v>
      </c>
      <c r="E214" s="1570"/>
      <c r="F214" s="1570"/>
      <c r="G214" s="1570"/>
      <c r="H214" s="1570"/>
      <c r="I214" s="1570"/>
      <c r="J214" s="1570"/>
      <c r="K214" s="1570"/>
      <c r="L214" s="1570"/>
      <c r="M214" s="1570"/>
      <c r="N214" s="1570"/>
      <c r="O214" s="1570"/>
      <c r="P214" s="1570"/>
      <c r="Q214" s="1570"/>
      <c r="R214" s="1570"/>
      <c r="S214" s="1570"/>
      <c r="T214" s="1570"/>
      <c r="U214" s="1570"/>
      <c r="V214" s="1570"/>
      <c r="W214" s="1570"/>
      <c r="X214" s="1570"/>
      <c r="Y214" s="1570"/>
      <c r="Z214" s="1570"/>
      <c r="AU214" s="21"/>
      <c r="AV214" s="21"/>
      <c r="AW214" s="21"/>
      <c r="AX214" s="21"/>
      <c r="AY214" s="21"/>
      <c r="BC214" t="s">
        <v>539</v>
      </c>
      <c r="BI214" t="s">
        <v>2633</v>
      </c>
      <c r="BN214" s="23" t="s">
        <v>327</v>
      </c>
      <c r="BT214" s="32" t="s">
        <v>206</v>
      </c>
    </row>
    <row r="215" spans="1:72" ht="12.95" customHeight="1">
      <c r="D215" s="3" t="s">
        <v>1765</v>
      </c>
      <c r="Z215" s="40"/>
      <c r="AB215" s="1487"/>
      <c r="AC215" s="1487"/>
      <c r="AD215" s="1487"/>
      <c r="AE215" s="1487"/>
      <c r="AF215" s="1487"/>
      <c r="AG215" s="1487"/>
      <c r="AH215" s="1487"/>
      <c r="AI215" s="1487"/>
      <c r="AJ215" s="1487"/>
      <c r="AK215" s="1487"/>
      <c r="AL215" s="1487"/>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487"/>
      <c r="AC216" s="1487"/>
      <c r="AD216" s="1487"/>
      <c r="AE216" s="1487"/>
      <c r="AF216" s="1487"/>
      <c r="AG216" s="1487"/>
      <c r="AH216" s="1487"/>
      <c r="AI216" s="1487"/>
      <c r="AJ216" s="1487"/>
      <c r="AK216" s="1487"/>
      <c r="AL216" s="1487"/>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47" t="s">
        <v>1094</v>
      </c>
      <c r="E220" s="1447"/>
      <c r="F220" s="1447"/>
      <c r="G220" s="1447"/>
      <c r="H220" s="1447"/>
      <c r="I220" s="1447"/>
      <c r="J220" s="1447"/>
      <c r="K220" s="1447"/>
      <c r="L220" s="1447"/>
      <c r="M220" s="1447"/>
      <c r="N220" s="1447"/>
      <c r="O220" s="1447"/>
      <c r="P220" s="1447"/>
      <c r="Q220" s="1447"/>
      <c r="R220" s="1447"/>
      <c r="S220" s="1447"/>
      <c r="T220" s="1447"/>
      <c r="U220" s="1447"/>
      <c r="V220" s="1447"/>
      <c r="W220" s="1447"/>
      <c r="X220" s="1447"/>
      <c r="Y220" s="1447"/>
      <c r="Z220" s="1447"/>
      <c r="BA220" s="3"/>
      <c r="BC220" t="s">
        <v>301</v>
      </c>
    </row>
    <row r="221" spans="1:72" ht="12.95" customHeight="1">
      <c r="A221" s="2"/>
      <c r="B221" s="14"/>
      <c r="C221" s="2"/>
      <c r="AU221" s="95"/>
      <c r="AV221" s="95"/>
      <c r="AW221" s="95"/>
      <c r="AX221" s="95"/>
      <c r="AY221" s="95"/>
      <c r="BA221" s="3"/>
    </row>
    <row r="222" spans="1:72" ht="12.95" customHeight="1">
      <c r="A222" s="1473" t="s">
        <v>549</v>
      </c>
      <c r="B222" s="1473"/>
      <c r="C222" s="1473"/>
      <c r="D222" s="1473"/>
      <c r="E222" s="1473"/>
      <c r="F222" s="1473"/>
      <c r="G222" s="1473"/>
      <c r="H222" s="1473"/>
      <c r="I222" s="1473"/>
      <c r="J222" s="1473"/>
      <c r="K222" s="1473"/>
      <c r="L222" s="1473"/>
      <c r="M222" s="1473"/>
      <c r="N222" s="1473"/>
      <c r="O222" s="1473"/>
      <c r="P222" s="1473"/>
      <c r="Q222" s="1473"/>
      <c r="R222" s="1473"/>
      <c r="S222" s="1473"/>
      <c r="T222" s="1473"/>
      <c r="U222" s="1473"/>
      <c r="V222" s="1473"/>
      <c r="W222" s="1473"/>
      <c r="X222" s="1473"/>
      <c r="Y222" s="1473"/>
      <c r="Z222" s="1473"/>
      <c r="AA222" s="1473"/>
      <c r="AB222" s="1473"/>
      <c r="AC222" s="1473"/>
      <c r="AD222" s="1473"/>
      <c r="AE222" s="1473"/>
      <c r="AF222" s="1473"/>
      <c r="AG222" s="1473"/>
      <c r="AH222" s="1473"/>
      <c r="AI222" s="1473"/>
      <c r="AJ222" s="1473"/>
      <c r="AK222" s="1473"/>
      <c r="AL222" s="1473"/>
      <c r="AM222" s="1473"/>
      <c r="AN222" s="1473"/>
      <c r="AO222" s="1473"/>
      <c r="AP222" s="1473"/>
      <c r="AQ222" s="1473"/>
      <c r="AR222" s="1473"/>
      <c r="AS222" s="1473"/>
      <c r="AT222" s="1473"/>
      <c r="AU222" s="95"/>
      <c r="AV222" s="95"/>
      <c r="AW222" s="95"/>
      <c r="AX222" s="95"/>
      <c r="AY222" s="95"/>
      <c r="AZ222" s="3"/>
      <c r="BA222" s="3"/>
      <c r="BP222" s="34"/>
    </row>
    <row r="223" spans="1:72" ht="12.95" customHeight="1">
      <c r="A223" s="1473"/>
      <c r="B223" s="1473"/>
      <c r="C223" s="1473"/>
      <c r="D223" s="1473"/>
      <c r="E223" s="1473"/>
      <c r="F223" s="1473"/>
      <c r="G223" s="1473"/>
      <c r="H223" s="1473"/>
      <c r="I223" s="1473"/>
      <c r="J223" s="1473"/>
      <c r="K223" s="1473"/>
      <c r="L223" s="1473"/>
      <c r="M223" s="1473"/>
      <c r="N223" s="1473"/>
      <c r="O223" s="1473"/>
      <c r="P223" s="1473"/>
      <c r="Q223" s="1473"/>
      <c r="R223" s="1473"/>
      <c r="S223" s="1473"/>
      <c r="T223" s="1473"/>
      <c r="U223" s="1473"/>
      <c r="V223" s="1473"/>
      <c r="W223" s="1473"/>
      <c r="X223" s="1473"/>
      <c r="Y223" s="1473"/>
      <c r="Z223" s="1473"/>
      <c r="AA223" s="1473"/>
      <c r="AB223" s="1473"/>
      <c r="AC223" s="1473"/>
      <c r="AD223" s="1473"/>
      <c r="AE223" s="1473"/>
      <c r="AF223" s="1473"/>
      <c r="AG223" s="1473"/>
      <c r="AH223" s="1473"/>
      <c r="AI223" s="1473"/>
      <c r="AJ223" s="1473"/>
      <c r="AK223" s="1473"/>
      <c r="AL223" s="1473"/>
      <c r="AM223" s="1473"/>
      <c r="AN223" s="1473"/>
      <c r="AO223" s="1473"/>
      <c r="AP223" s="1473"/>
      <c r="AQ223" s="1473"/>
      <c r="AR223" s="1473"/>
      <c r="AS223" s="1473"/>
      <c r="AT223" s="1473"/>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8" t="s">
        <v>554</v>
      </c>
      <c r="AJ226" s="1428"/>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8" t="s">
        <v>600</v>
      </c>
      <c r="AJ227" s="1428"/>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8" t="s">
        <v>600</v>
      </c>
      <c r="AJ228" s="1428"/>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8" t="s">
        <v>600</v>
      </c>
      <c r="AJ229" s="1428"/>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2</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586" t="str">
        <f>H16</f>
        <v>OAHS Shiloh TC LP</v>
      </c>
      <c r="N232" s="1586"/>
      <c r="O232" s="1586"/>
      <c r="P232" s="1586"/>
      <c r="Q232" s="1586"/>
      <c r="R232" s="1586"/>
      <c r="S232" s="1586"/>
      <c r="T232" s="1586"/>
      <c r="U232" s="1586"/>
      <c r="V232" s="1586"/>
      <c r="W232" s="1586"/>
      <c r="X232" s="1586"/>
      <c r="Y232" s="1586"/>
      <c r="Z232" s="1586"/>
      <c r="AA232" s="1586"/>
      <c r="AB232" s="1586"/>
      <c r="AC232" s="1586"/>
      <c r="AD232" s="1586"/>
      <c r="AE232" s="1586"/>
      <c r="AF232" s="1586"/>
      <c r="AG232" s="1586"/>
      <c r="AH232" s="1586"/>
      <c r="AI232" s="1586"/>
      <c r="AJ232" s="1586"/>
      <c r="AK232" s="1586"/>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47" t="s">
        <v>2729</v>
      </c>
      <c r="N233" s="1447"/>
      <c r="O233" s="1447"/>
      <c r="P233" s="1447"/>
      <c r="Q233" s="1447"/>
      <c r="R233" s="1447"/>
      <c r="S233" s="1447"/>
      <c r="T233" s="1447"/>
      <c r="U233" s="1447"/>
      <c r="V233" s="1447"/>
      <c r="W233" s="1447"/>
      <c r="X233" s="1447"/>
      <c r="Y233" s="1447"/>
      <c r="Z233" s="1447"/>
      <c r="AA233" s="1447"/>
      <c r="AB233" s="1447"/>
      <c r="AC233" s="1447"/>
      <c r="AD233" s="1447"/>
      <c r="AE233" s="1447"/>
      <c r="BB233" s="219" t="s">
        <v>547</v>
      </c>
      <c r="BG233" s="259">
        <f>IF(AND(AND($M$249="nonprofit",$M$257="for profit",$M$265="nonprofit")),2,0)</f>
        <v>0</v>
      </c>
    </row>
    <row r="234" spans="1:69" ht="12.95" customHeight="1">
      <c r="D234" s="4" t="s">
        <v>589</v>
      </c>
      <c r="E234" s="4"/>
      <c r="M234" s="1447" t="s">
        <v>2728</v>
      </c>
      <c r="N234" s="1447"/>
      <c r="O234" s="1447"/>
      <c r="P234" s="1447"/>
      <c r="Q234" s="1447"/>
      <c r="R234" s="1447"/>
      <c r="S234" s="1447"/>
      <c r="T234" s="1447"/>
      <c r="V234" s="33" t="s">
        <v>86</v>
      </c>
      <c r="W234" s="1559" t="s">
        <v>2730</v>
      </c>
      <c r="X234" s="1406"/>
      <c r="Y234" s="4" t="s">
        <v>592</v>
      </c>
      <c r="AC234" s="1447">
        <v>7632</v>
      </c>
      <c r="AD234" s="1447"/>
      <c r="AE234" s="1447"/>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47" t="s">
        <v>2664</v>
      </c>
      <c r="N235" s="1447"/>
      <c r="O235" s="1447"/>
      <c r="P235" s="1447"/>
      <c r="Q235" s="1447"/>
      <c r="R235" s="1447"/>
      <c r="S235" s="1447"/>
      <c r="T235" s="1447"/>
      <c r="U235" s="1447"/>
      <c r="V235" s="1447"/>
      <c r="W235" s="1447"/>
      <c r="X235" s="1447"/>
      <c r="Y235" s="1447"/>
      <c r="Z235" s="1447"/>
      <c r="AA235" s="1447"/>
      <c r="AB235" s="1447"/>
      <c r="AC235" s="1447"/>
      <c r="AD235" s="1447"/>
      <c r="AE235" s="1447"/>
      <c r="AI235" s="4"/>
      <c r="AJ235" s="4"/>
      <c r="AK235" s="4"/>
      <c r="AL235" s="4"/>
      <c r="AM235" s="4"/>
      <c r="AN235" s="4"/>
      <c r="AO235" s="4"/>
      <c r="AP235" s="4"/>
      <c r="AQ235" s="4"/>
      <c r="AR235" s="4"/>
      <c r="AS235" s="4"/>
      <c r="AT235" s="4"/>
      <c r="BB235" s="219"/>
      <c r="BG235" s="218"/>
    </row>
    <row r="236" spans="1:69" ht="12.95" customHeight="1">
      <c r="D236" s="4" t="s">
        <v>88</v>
      </c>
      <c r="E236" s="4"/>
      <c r="F236" s="4"/>
      <c r="M236" s="1466" t="s">
        <v>2665</v>
      </c>
      <c r="N236" s="1466"/>
      <c r="O236" s="1466"/>
      <c r="P236" s="1466"/>
      <c r="Q236" s="1466"/>
      <c r="R236" s="1466"/>
      <c r="S236" s="4" t="s">
        <v>207</v>
      </c>
      <c r="T236" s="4"/>
      <c r="U236" s="1406"/>
      <c r="V236" s="1406"/>
      <c r="W236" s="1406"/>
      <c r="X236" s="4" t="s">
        <v>89</v>
      </c>
      <c r="Z236" s="1466"/>
      <c r="AA236" s="1466"/>
      <c r="AB236" s="1466"/>
      <c r="AC236" s="1466"/>
      <c r="AD236" s="1466"/>
      <c r="AE236" s="1466"/>
      <c r="AU236" s="4"/>
      <c r="AV236" s="4"/>
      <c r="AW236" s="4"/>
      <c r="AX236" s="4"/>
      <c r="AY236" s="4"/>
      <c r="AZ236" s="4"/>
      <c r="BB236" s="218" t="s">
        <v>546</v>
      </c>
      <c r="BG236" s="259">
        <f>IF(AND(AND($M$249="nonprofit",$M$257="nonprofit",$M$265="(select one)")),1,0)</f>
        <v>0</v>
      </c>
    </row>
    <row r="237" spans="1:69" ht="12.95" customHeight="1">
      <c r="D237" s="4" t="s">
        <v>90</v>
      </c>
      <c r="E237" s="4"/>
      <c r="F237" s="4"/>
      <c r="M237" s="1547" t="s">
        <v>2666</v>
      </c>
      <c r="N237" s="1547"/>
      <c r="O237" s="1547"/>
      <c r="P237" s="1547"/>
      <c r="Q237" s="1547"/>
      <c r="R237" s="1547"/>
      <c r="S237" s="1547"/>
      <c r="T237" s="1547"/>
      <c r="U237" s="1547"/>
      <c r="V237" s="1547"/>
      <c r="W237" s="1547"/>
      <c r="X237" s="1547"/>
      <c r="Y237" s="1547"/>
      <c r="Z237" s="1547"/>
      <c r="AA237" s="1547"/>
      <c r="AB237" s="1547"/>
      <c r="AC237" s="1547"/>
      <c r="AD237" s="1547"/>
      <c r="AE237" s="1547"/>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17" t="s">
        <v>537</v>
      </c>
      <c r="N238" s="1417"/>
      <c r="O238" s="1417"/>
      <c r="P238" s="1417"/>
      <c r="Q238" s="1417"/>
      <c r="R238" s="1417"/>
      <c r="S238" s="1417"/>
      <c r="T238" s="1417"/>
      <c r="U238" s="218" t="s">
        <v>922</v>
      </c>
      <c r="V238" s="218"/>
      <c r="W238" s="218"/>
      <c r="X238" s="218"/>
      <c r="Y238" s="218"/>
      <c r="Z238" s="218"/>
      <c r="AA238" s="1556"/>
      <c r="AB238" s="1556"/>
      <c r="AC238" s="1556"/>
      <c r="AD238" s="1556"/>
      <c r="AE238" s="1556"/>
      <c r="AF238" s="1556"/>
      <c r="AG238" s="1556"/>
      <c r="AH238" s="1556"/>
      <c r="AI238" s="1556"/>
      <c r="AJ238" s="1556"/>
      <c r="AK238" s="1556"/>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467"/>
      <c r="N239" s="1467"/>
      <c r="O239" s="1467"/>
      <c r="P239" s="1467"/>
      <c r="Q239" s="1467"/>
      <c r="R239" s="1467"/>
      <c r="S239" s="1467"/>
      <c r="T239" s="1467"/>
      <c r="U239" s="1467"/>
      <c r="V239" s="1467"/>
      <c r="W239" s="1467"/>
      <c r="X239" s="1467"/>
      <c r="Y239" s="1467"/>
      <c r="Z239" s="1467"/>
      <c r="AA239" s="1467"/>
      <c r="AB239" s="1467"/>
      <c r="AC239" s="1467"/>
      <c r="AD239" s="1467"/>
      <c r="AE239" s="1467"/>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554" t="s">
        <v>2654</v>
      </c>
      <c r="N243" s="1549"/>
      <c r="O243" s="1549"/>
      <c r="P243" s="1549"/>
      <c r="Q243" s="1549"/>
      <c r="R243" s="1549"/>
      <c r="S243" s="1549"/>
      <c r="T243" s="1549"/>
      <c r="U243" s="1549"/>
      <c r="V243" s="1549"/>
      <c r="W243" s="1549"/>
      <c r="X243" s="1549"/>
      <c r="Y243" s="1549"/>
      <c r="Z243" s="1549"/>
      <c r="AA243" s="1549"/>
      <c r="AB243" s="1549"/>
      <c r="AC243" s="1549"/>
      <c r="AD243" s="1549"/>
      <c r="AE243" s="1549"/>
      <c r="AF243" s="1549" t="s">
        <v>2655</v>
      </c>
      <c r="AG243" s="1549"/>
      <c r="AH243" s="1549"/>
      <c r="AI243" s="1549"/>
      <c r="AJ243" s="1549"/>
      <c r="AK243" s="1549"/>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52" t="s">
        <v>2656</v>
      </c>
      <c r="N244" s="1447"/>
      <c r="O244" s="1447"/>
      <c r="P244" s="1447"/>
      <c r="Q244" s="1447"/>
      <c r="R244" s="1447"/>
      <c r="S244" s="1447"/>
      <c r="T244" s="1447"/>
      <c r="U244" s="1447"/>
      <c r="V244" s="1447"/>
      <c r="W244" s="1447"/>
      <c r="X244" s="1447"/>
      <c r="Y244" s="1447"/>
      <c r="Z244" s="1447"/>
      <c r="AA244" s="1447"/>
      <c r="AB244" s="1447"/>
      <c r="AC244" s="1447"/>
      <c r="AD244" s="1447"/>
      <c r="AE244" s="1447"/>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552" t="s">
        <v>2657</v>
      </c>
      <c r="N245" s="1447"/>
      <c r="O245" s="1447"/>
      <c r="P245" s="1447"/>
      <c r="Q245" s="1447"/>
      <c r="R245" s="1447"/>
      <c r="S245" s="1447"/>
      <c r="T245" s="1447"/>
      <c r="V245" s="33" t="s">
        <v>86</v>
      </c>
      <c r="W245" s="1559" t="s">
        <v>2658</v>
      </c>
      <c r="X245" s="1406"/>
      <c r="Y245" s="4" t="s">
        <v>592</v>
      </c>
      <c r="AC245" s="1447">
        <v>92507</v>
      </c>
      <c r="AD245" s="1447"/>
      <c r="AE245" s="1447"/>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552" t="s">
        <v>2659</v>
      </c>
      <c r="N246" s="1447"/>
      <c r="O246" s="1447"/>
      <c r="P246" s="1447"/>
      <c r="Q246" s="1447"/>
      <c r="R246" s="1447"/>
      <c r="S246" s="1447"/>
      <c r="T246" s="1447"/>
      <c r="U246" s="1447"/>
      <c r="V246" s="1447"/>
      <c r="W246" s="1447"/>
      <c r="X246" s="1447"/>
      <c r="Y246" s="1447"/>
      <c r="Z246" s="1447"/>
      <c r="AA246" s="1447"/>
      <c r="AB246" s="1447"/>
      <c r="AC246" s="1447"/>
      <c r="AD246" s="1447"/>
      <c r="AE246" s="1447"/>
      <c r="AH246" s="1558">
        <v>1E-3</v>
      </c>
      <c r="AI246" s="1558"/>
      <c r="AJ246" s="1558"/>
      <c r="AK246" s="1558"/>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551" t="s">
        <v>2660</v>
      </c>
      <c r="N247" s="1466"/>
      <c r="O247" s="1466"/>
      <c r="P247" s="1466"/>
      <c r="Q247" s="1466"/>
      <c r="R247" s="1466"/>
      <c r="S247" s="4" t="s">
        <v>207</v>
      </c>
      <c r="T247" s="4"/>
      <c r="U247" s="1406"/>
      <c r="V247" s="1406"/>
      <c r="W247" s="1406"/>
      <c r="X247" s="4" t="s">
        <v>89</v>
      </c>
      <c r="Z247" s="1466"/>
      <c r="AA247" s="1466"/>
      <c r="AB247" s="1466"/>
      <c r="AC247" s="1466"/>
      <c r="AD247" s="1466"/>
      <c r="AE247" s="1466"/>
      <c r="AU247" s="4"/>
      <c r="AV247" s="4"/>
      <c r="AW247" s="4"/>
      <c r="AX247" s="4"/>
      <c r="AY247" s="4"/>
      <c r="BG247">
        <v>0</v>
      </c>
      <c r="BH247" s="3"/>
      <c r="BN247" s="34"/>
    </row>
    <row r="248" spans="1:71" ht="12.95" customHeight="1">
      <c r="A248" s="19"/>
      <c r="B248" s="4"/>
      <c r="C248" s="4"/>
      <c r="D248" s="4" t="s">
        <v>90</v>
      </c>
      <c r="E248" s="4"/>
      <c r="F248" s="4"/>
      <c r="M248" s="1547" t="s">
        <v>2661</v>
      </c>
      <c r="N248" s="1547"/>
      <c r="O248" s="1547"/>
      <c r="P248" s="1547"/>
      <c r="Q248" s="1547"/>
      <c r="R248" s="1547"/>
      <c r="S248" s="1547"/>
      <c r="T248" s="1547"/>
      <c r="U248" s="1547"/>
      <c r="V248" s="1547"/>
      <c r="W248" s="1547"/>
      <c r="X248" s="1547"/>
      <c r="Y248" s="1547"/>
      <c r="Z248" s="1547"/>
      <c r="AA248" s="1547"/>
      <c r="AB248" s="1547"/>
      <c r="AC248" s="1547"/>
      <c r="AD248" s="1547"/>
      <c r="AE248" s="1547"/>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17" t="s">
        <v>543</v>
      </c>
      <c r="N249" s="1417"/>
      <c r="O249" s="1417"/>
      <c r="P249" s="1417"/>
      <c r="Q249" s="1417"/>
      <c r="R249" s="1417"/>
      <c r="S249" s="1417"/>
      <c r="T249" s="1417"/>
      <c r="U249" s="218" t="s">
        <v>922</v>
      </c>
      <c r="V249" s="218"/>
      <c r="W249" s="218"/>
      <c r="X249" s="218"/>
      <c r="Y249" s="218"/>
      <c r="Z249" s="218"/>
      <c r="AA249" s="1555" t="s">
        <v>2773</v>
      </c>
      <c r="AB249" s="1556"/>
      <c r="AC249" s="1556"/>
      <c r="AD249" s="1556"/>
      <c r="AE249" s="1556"/>
      <c r="AF249" s="1556"/>
      <c r="AG249" s="1556"/>
      <c r="AH249" s="1556"/>
      <c r="AI249" s="1556"/>
      <c r="AJ249" s="1556"/>
      <c r="AK249" s="1556"/>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554" t="s">
        <v>2726</v>
      </c>
      <c r="N251" s="1549"/>
      <c r="O251" s="1549"/>
      <c r="P251" s="1549"/>
      <c r="Q251" s="1549"/>
      <c r="R251" s="1549"/>
      <c r="S251" s="1549"/>
      <c r="T251" s="1549"/>
      <c r="U251" s="1549"/>
      <c r="V251" s="1549"/>
      <c r="W251" s="1549"/>
      <c r="X251" s="1549"/>
      <c r="Y251" s="1549"/>
      <c r="Z251" s="1549"/>
      <c r="AA251" s="1549"/>
      <c r="AB251" s="1549"/>
      <c r="AC251" s="1549"/>
      <c r="AD251" s="1549"/>
      <c r="AE251" s="1549"/>
      <c r="AF251" s="1549" t="s">
        <v>2727</v>
      </c>
      <c r="AG251" s="1549"/>
      <c r="AH251" s="1549"/>
      <c r="AI251" s="1549"/>
      <c r="AJ251" s="1549"/>
      <c r="AK251" s="1549"/>
      <c r="AU251" s="4"/>
      <c r="AV251" s="4"/>
      <c r="AW251" s="4"/>
      <c r="AX251" s="4"/>
      <c r="AY251" s="4"/>
      <c r="BN251" s="34"/>
    </row>
    <row r="252" spans="1:71" ht="12.95" customHeight="1">
      <c r="A252" s="19"/>
      <c r="B252" s="4"/>
      <c r="C252" s="4"/>
      <c r="D252" s="4" t="s">
        <v>85</v>
      </c>
      <c r="E252" s="4"/>
      <c r="F252" s="4"/>
      <c r="G252" s="4"/>
      <c r="H252" s="4"/>
      <c r="I252" s="4"/>
      <c r="J252" s="4"/>
      <c r="K252" s="4"/>
      <c r="L252" s="4"/>
      <c r="M252" s="1552" t="s">
        <v>2729</v>
      </c>
      <c r="N252" s="1447"/>
      <c r="O252" s="1447"/>
      <c r="P252" s="1447"/>
      <c r="Q252" s="1447"/>
      <c r="R252" s="1447"/>
      <c r="S252" s="1447"/>
      <c r="T252" s="1447"/>
      <c r="U252" s="1447"/>
      <c r="V252" s="1447"/>
      <c r="W252" s="1447"/>
      <c r="X252" s="1447"/>
      <c r="Y252" s="1447"/>
      <c r="Z252" s="1447"/>
      <c r="AA252" s="1447"/>
      <c r="AB252" s="1447"/>
      <c r="AC252" s="1447"/>
      <c r="AD252" s="1447"/>
      <c r="AE252" s="1447"/>
      <c r="AF252" s="3" t="s">
        <v>1286</v>
      </c>
      <c r="AL252" s="4"/>
      <c r="AM252" s="4"/>
      <c r="AN252" s="4"/>
      <c r="AO252" s="4"/>
      <c r="AP252" s="4"/>
      <c r="AQ252" s="4"/>
      <c r="AR252" s="4"/>
      <c r="AS252" s="4"/>
      <c r="AT252" s="4"/>
      <c r="BN252" s="34"/>
    </row>
    <row r="253" spans="1:71" ht="12.95" customHeight="1">
      <c r="A253" s="19"/>
      <c r="B253" s="4"/>
      <c r="C253" s="4"/>
      <c r="D253" s="4" t="s">
        <v>589</v>
      </c>
      <c r="E253" s="4"/>
      <c r="M253" s="1552" t="s">
        <v>2728</v>
      </c>
      <c r="N253" s="1447"/>
      <c r="O253" s="1447"/>
      <c r="P253" s="1447"/>
      <c r="Q253" s="1447"/>
      <c r="R253" s="1447"/>
      <c r="S253" s="1447"/>
      <c r="T253" s="1447"/>
      <c r="V253" s="33" t="s">
        <v>86</v>
      </c>
      <c r="W253" s="1559" t="s">
        <v>2730</v>
      </c>
      <c r="X253" s="1406"/>
      <c r="Y253" s="4" t="s">
        <v>592</v>
      </c>
      <c r="AC253" s="1447">
        <v>7632</v>
      </c>
      <c r="AD253" s="1447"/>
      <c r="AE253" s="1447"/>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552" t="s">
        <v>2664</v>
      </c>
      <c r="N254" s="1447"/>
      <c r="O254" s="1447"/>
      <c r="P254" s="1447"/>
      <c r="Q254" s="1447"/>
      <c r="R254" s="1447"/>
      <c r="S254" s="1447"/>
      <c r="T254" s="1447"/>
      <c r="U254" s="1447"/>
      <c r="V254" s="1447"/>
      <c r="W254" s="1447"/>
      <c r="X254" s="1447"/>
      <c r="Y254" s="1447"/>
      <c r="Z254" s="1447"/>
      <c r="AA254" s="1447"/>
      <c r="AB254" s="1447"/>
      <c r="AC254" s="1447"/>
      <c r="AD254" s="1447"/>
      <c r="AE254" s="1447"/>
      <c r="AH254" s="1558">
        <v>8.9999999999999993E-3</v>
      </c>
      <c r="AI254" s="1558"/>
      <c r="AJ254" s="1558"/>
      <c r="AK254" s="1558"/>
      <c r="AL254" s="4"/>
      <c r="AM254" s="4"/>
      <c r="AN254" s="4"/>
      <c r="AO254" s="4"/>
      <c r="AP254" s="4"/>
      <c r="AQ254" s="4"/>
      <c r="AR254" s="4"/>
      <c r="AS254" s="4"/>
      <c r="AT254" s="4"/>
    </row>
    <row r="255" spans="1:71" ht="12.95" customHeight="1">
      <c r="A255" s="19"/>
      <c r="B255" s="4"/>
      <c r="C255" s="4"/>
      <c r="D255" s="4" t="s">
        <v>88</v>
      </c>
      <c r="E255" s="4"/>
      <c r="F255" s="4"/>
      <c r="M255" s="1551" t="s">
        <v>2665</v>
      </c>
      <c r="N255" s="1466"/>
      <c r="O255" s="1466"/>
      <c r="P255" s="1466"/>
      <c r="Q255" s="1466"/>
      <c r="R255" s="1466"/>
      <c r="S255" s="4" t="s">
        <v>207</v>
      </c>
      <c r="T255" s="4"/>
      <c r="U255" s="1406"/>
      <c r="V255" s="1406"/>
      <c r="W255" s="1406"/>
      <c r="X255" s="4" t="s">
        <v>89</v>
      </c>
      <c r="Z255" s="1466"/>
      <c r="AA255" s="1466"/>
      <c r="AB255" s="1466"/>
      <c r="AC255" s="1466"/>
      <c r="AD255" s="1466"/>
      <c r="AE255" s="1466"/>
      <c r="AU255" s="4"/>
      <c r="AV255" s="4"/>
      <c r="AW255" s="4"/>
      <c r="AX255" s="4"/>
      <c r="AY255" s="4"/>
      <c r="BN255" s="34"/>
    </row>
    <row r="256" spans="1:71" ht="12.95" customHeight="1">
      <c r="A256" s="19"/>
      <c r="B256" s="4"/>
      <c r="C256" s="4"/>
      <c r="D256" s="4" t="s">
        <v>90</v>
      </c>
      <c r="E256" s="4"/>
      <c r="F256" s="4"/>
      <c r="M256" s="1547" t="s">
        <v>2666</v>
      </c>
      <c r="N256" s="1547"/>
      <c r="O256" s="1547"/>
      <c r="P256" s="1547"/>
      <c r="Q256" s="1547"/>
      <c r="R256" s="1547"/>
      <c r="S256" s="1547"/>
      <c r="T256" s="1547"/>
      <c r="U256" s="1547"/>
      <c r="V256" s="1547"/>
      <c r="W256" s="1547"/>
      <c r="X256" s="1547"/>
      <c r="Y256" s="1547"/>
      <c r="Z256" s="1547"/>
      <c r="AA256" s="1547"/>
      <c r="AB256" s="1547"/>
      <c r="AC256" s="1547"/>
      <c r="AD256" s="1547"/>
      <c r="AE256" s="1547"/>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17" t="s">
        <v>545</v>
      </c>
      <c r="N257" s="1417"/>
      <c r="O257" s="1417"/>
      <c r="P257" s="1417"/>
      <c r="Q257" s="1417"/>
      <c r="R257" s="1417"/>
      <c r="S257" s="1417"/>
      <c r="T257" s="1417"/>
      <c r="U257" s="218" t="s">
        <v>922</v>
      </c>
      <c r="V257" s="218"/>
      <c r="W257" s="218"/>
      <c r="X257" s="218"/>
      <c r="Y257" s="218"/>
      <c r="Z257" s="218"/>
      <c r="AA257" s="1555" t="s">
        <v>2774</v>
      </c>
      <c r="AB257" s="1556"/>
      <c r="AC257" s="1556"/>
      <c r="AD257" s="1556"/>
      <c r="AE257" s="1556"/>
      <c r="AF257" s="1556"/>
      <c r="AG257" s="1556"/>
      <c r="AH257" s="1556"/>
      <c r="AI257" s="1556"/>
      <c r="AJ257" s="1556"/>
      <c r="AK257" s="1556"/>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549"/>
      <c r="N259" s="1549"/>
      <c r="O259" s="1549"/>
      <c r="P259" s="1549"/>
      <c r="Q259" s="1549"/>
      <c r="R259" s="1549"/>
      <c r="S259" s="1549"/>
      <c r="T259" s="1549"/>
      <c r="U259" s="1549"/>
      <c r="V259" s="1549"/>
      <c r="W259" s="1549"/>
      <c r="X259" s="1549"/>
      <c r="Y259" s="1549"/>
      <c r="Z259" s="1549"/>
      <c r="AA259" s="1549"/>
      <c r="AB259" s="1549"/>
      <c r="AC259" s="1549"/>
      <c r="AD259" s="1549"/>
      <c r="AE259" s="1549"/>
      <c r="AF259" s="1549" t="s">
        <v>308</v>
      </c>
      <c r="AG259" s="1549"/>
      <c r="AH259" s="1549"/>
      <c r="AI259" s="1549"/>
      <c r="AJ259" s="1549"/>
      <c r="AK259" s="1549"/>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47"/>
      <c r="N260" s="1447"/>
      <c r="O260" s="1447"/>
      <c r="P260" s="1447"/>
      <c r="Q260" s="1447"/>
      <c r="R260" s="1447"/>
      <c r="S260" s="1447"/>
      <c r="T260" s="1447"/>
      <c r="U260" s="1447"/>
      <c r="V260" s="1447"/>
      <c r="W260" s="1447"/>
      <c r="X260" s="1447"/>
      <c r="Y260" s="1447"/>
      <c r="Z260" s="1447"/>
      <c r="AA260" s="1447"/>
      <c r="AB260" s="1447"/>
      <c r="AC260" s="1447"/>
      <c r="AD260" s="1447"/>
      <c r="AE260" s="1447"/>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47"/>
      <c r="N261" s="1447"/>
      <c r="O261" s="1447"/>
      <c r="P261" s="1447"/>
      <c r="Q261" s="1447"/>
      <c r="R261" s="1447"/>
      <c r="S261" s="1447"/>
      <c r="T261" s="1447"/>
      <c r="V261" s="33" t="s">
        <v>86</v>
      </c>
      <c r="W261" s="1406"/>
      <c r="X261" s="1406"/>
      <c r="Y261" s="4" t="s">
        <v>592</v>
      </c>
      <c r="AC261" s="1447"/>
      <c r="AD261" s="1447"/>
      <c r="AE261" s="1447"/>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47"/>
      <c r="N262" s="1447"/>
      <c r="O262" s="1447"/>
      <c r="P262" s="1447"/>
      <c r="Q262" s="1447"/>
      <c r="R262" s="1447"/>
      <c r="S262" s="1447"/>
      <c r="T262" s="1447"/>
      <c r="U262" s="1447"/>
      <c r="V262" s="1447"/>
      <c r="W262" s="1447"/>
      <c r="X262" s="1447"/>
      <c r="Y262" s="1447"/>
      <c r="Z262" s="1447"/>
      <c r="AA262" s="1447"/>
      <c r="AB262" s="1447"/>
      <c r="AC262" s="1447"/>
      <c r="AD262" s="1447"/>
      <c r="AE262" s="1447"/>
      <c r="AH262" s="1558"/>
      <c r="AI262" s="1558"/>
      <c r="AJ262" s="1558"/>
      <c r="AK262" s="1558"/>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66"/>
      <c r="N263" s="1466"/>
      <c r="O263" s="1466"/>
      <c r="P263" s="1466"/>
      <c r="Q263" s="1466"/>
      <c r="R263" s="1466"/>
      <c r="S263" s="4" t="s">
        <v>207</v>
      </c>
      <c r="T263" s="4"/>
      <c r="U263" s="1406"/>
      <c r="V263" s="1406"/>
      <c r="W263" s="1406"/>
      <c r="X263" s="4" t="s">
        <v>89</v>
      </c>
      <c r="Z263" s="1466"/>
      <c r="AA263" s="1466"/>
      <c r="AB263" s="1466"/>
      <c r="AC263" s="1466"/>
      <c r="AD263" s="1466"/>
      <c r="AE263" s="1466"/>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47"/>
      <c r="N264" s="1547"/>
      <c r="O264" s="1547"/>
      <c r="P264" s="1547"/>
      <c r="Q264" s="1547"/>
      <c r="R264" s="1547"/>
      <c r="S264" s="1547"/>
      <c r="T264" s="1547"/>
      <c r="U264" s="1547"/>
      <c r="V264" s="1547"/>
      <c r="W264" s="1547"/>
      <c r="X264" s="1547"/>
      <c r="Y264" s="1547"/>
      <c r="Z264" s="1547"/>
      <c r="AA264" s="1548"/>
      <c r="AB264" s="1548"/>
      <c r="AC264" s="1548"/>
      <c r="AD264" s="1548"/>
      <c r="AE264" s="1548"/>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17" t="s">
        <v>308</v>
      </c>
      <c r="N265" s="1417"/>
      <c r="O265" s="1417"/>
      <c r="P265" s="1417"/>
      <c r="Q265" s="1417"/>
      <c r="R265" s="1417"/>
      <c r="S265" s="1417"/>
      <c r="T265" s="1417"/>
      <c r="U265" s="218" t="s">
        <v>922</v>
      </c>
      <c r="V265" s="218"/>
      <c r="W265" s="218"/>
      <c r="X265" s="218"/>
      <c r="Y265" s="218"/>
      <c r="Z265" s="218"/>
      <c r="AA265" s="1557"/>
      <c r="AB265" s="1557"/>
      <c r="AC265" s="1557"/>
      <c r="AD265" s="1557"/>
      <c r="AE265" s="1557"/>
      <c r="AF265" s="1557"/>
      <c r="AG265" s="1557"/>
      <c r="AH265" s="1557"/>
      <c r="AI265" s="1557"/>
      <c r="AJ265" s="1557"/>
      <c r="AK265" s="1557"/>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553" t="str">
        <f>IFERROR(BO245,"")</f>
        <v>Joint Venture</v>
      </c>
      <c r="U267" s="1553"/>
      <c r="V267" s="1553"/>
      <c r="W267" s="1553"/>
      <c r="X267" s="1553"/>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47" t="s">
        <v>281</v>
      </c>
      <c r="E270" s="1447"/>
      <c r="F270" s="1447"/>
      <c r="G270" s="1447"/>
      <c r="H270" s="1447"/>
      <c r="J270" t="s">
        <v>280</v>
      </c>
      <c r="X270" s="1550"/>
      <c r="Y270" s="1550"/>
      <c r="Z270" s="1550"/>
      <c r="AA270" s="1550"/>
      <c r="AB270" s="1550"/>
      <c r="AC270" s="1550"/>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54" t="s">
        <v>2775</v>
      </c>
      <c r="M274" s="1549"/>
      <c r="N274" s="1549"/>
      <c r="O274" s="1549"/>
      <c r="P274" s="1549"/>
      <c r="Q274" s="1549"/>
      <c r="R274" s="1549"/>
      <c r="S274" s="1549"/>
      <c r="T274" s="1549"/>
      <c r="U274" s="1549"/>
      <c r="V274" s="1549"/>
      <c r="W274" s="1549"/>
      <c r="X274" s="1549"/>
      <c r="Y274" s="1549"/>
      <c r="Z274" s="1549"/>
      <c r="AA274" s="1549"/>
      <c r="AB274" s="1549"/>
      <c r="AC274" s="1549"/>
      <c r="AD274" s="1549"/>
      <c r="AE274" s="1549"/>
      <c r="AF274" s="1549"/>
      <c r="AG274" s="1549"/>
      <c r="AH274" s="1549"/>
      <c r="AI274" s="1549"/>
      <c r="AJ274" s="1549"/>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52" t="s">
        <v>2656</v>
      </c>
      <c r="M275" s="1552"/>
      <c r="N275" s="1552"/>
      <c r="O275" s="1552"/>
      <c r="P275" s="1552"/>
      <c r="Q275" s="1552"/>
      <c r="R275" s="1552"/>
      <c r="S275" s="1552"/>
      <c r="T275" s="1552"/>
      <c r="U275" s="1552"/>
      <c r="V275" s="1552"/>
      <c r="W275" s="1552"/>
      <c r="X275" s="1552"/>
      <c r="Y275" s="1552"/>
      <c r="Z275" s="1552"/>
      <c r="AA275" s="1552"/>
      <c r="AB275" s="1552"/>
      <c r="AC275" s="1552"/>
      <c r="AD275" s="1552"/>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552" t="s">
        <v>67</v>
      </c>
      <c r="M276" s="1552"/>
      <c r="N276" s="1552"/>
      <c r="O276" s="1552"/>
      <c r="P276" s="1552"/>
      <c r="Q276" s="1552"/>
      <c r="R276" s="1552"/>
      <c r="S276" s="1552"/>
      <c r="U276" s="33" t="s">
        <v>86</v>
      </c>
      <c r="V276" s="1559" t="s">
        <v>2658</v>
      </c>
      <c r="W276" s="1559"/>
      <c r="X276" s="4" t="s">
        <v>592</v>
      </c>
      <c r="AB276" s="1552">
        <v>92507</v>
      </c>
      <c r="AC276" s="1552"/>
      <c r="AD276" s="1552"/>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52" t="s">
        <v>2659</v>
      </c>
      <c r="M277" s="1552"/>
      <c r="N277" s="1552"/>
      <c r="O277" s="1552"/>
      <c r="P277" s="1552"/>
      <c r="Q277" s="1552"/>
      <c r="R277" s="1552"/>
      <c r="S277" s="1552"/>
      <c r="T277" s="1552"/>
      <c r="U277" s="1552"/>
      <c r="V277" s="1552"/>
      <c r="W277" s="1552"/>
      <c r="X277" s="1552"/>
      <c r="Y277" s="1552"/>
      <c r="Z277" s="1552"/>
      <c r="AA277" s="1552"/>
      <c r="AB277" s="1552"/>
      <c r="AC277" s="1552"/>
      <c r="AD277" s="1552"/>
      <c r="AI277" s="4"/>
      <c r="AJ277" s="4"/>
      <c r="AK277" s="3"/>
      <c r="AL277" s="3"/>
      <c r="AM277" s="3"/>
      <c r="AN277" s="3"/>
      <c r="AO277" s="3"/>
      <c r="AP277" s="3"/>
      <c r="AQ277" s="3"/>
      <c r="AR277" s="3"/>
      <c r="AS277" s="3"/>
      <c r="AT277" s="3"/>
      <c r="BN277" s="34"/>
    </row>
    <row r="278" spans="1:66" ht="12.95" customHeight="1">
      <c r="D278" s="4" t="s">
        <v>88</v>
      </c>
      <c r="E278" s="4"/>
      <c r="F278" s="4"/>
      <c r="L278" s="1551" t="s">
        <v>2660</v>
      </c>
      <c r="M278" s="1551"/>
      <c r="N278" s="1551"/>
      <c r="O278" s="1551"/>
      <c r="P278" s="1551"/>
      <c r="Q278" s="1551"/>
      <c r="R278" s="4" t="s">
        <v>207</v>
      </c>
      <c r="S278" s="4"/>
      <c r="T278" s="1406"/>
      <c r="U278" s="1406"/>
      <c r="V278" s="1406"/>
      <c r="W278" s="4" t="s">
        <v>89</v>
      </c>
      <c r="Y278" s="1466"/>
      <c r="Z278" s="1466"/>
      <c r="AA278" s="1466"/>
      <c r="AB278" s="1466"/>
      <c r="AC278" s="1466"/>
      <c r="AD278" s="1466"/>
      <c r="BN278" s="34"/>
    </row>
    <row r="279" spans="1:66" ht="12.95" customHeight="1">
      <c r="D279" s="4" t="s">
        <v>90</v>
      </c>
      <c r="E279" s="4"/>
      <c r="F279" s="4"/>
      <c r="L279" s="1547" t="s">
        <v>2661</v>
      </c>
      <c r="M279" s="1547"/>
      <c r="N279" s="1547"/>
      <c r="O279" s="1547"/>
      <c r="P279" s="1547"/>
      <c r="Q279" s="1547"/>
      <c r="R279" s="1547"/>
      <c r="S279" s="1547"/>
      <c r="T279" s="1547"/>
      <c r="U279" s="1547"/>
      <c r="V279" s="1547"/>
      <c r="W279" s="1547"/>
      <c r="X279" s="1547"/>
      <c r="Y279" s="1547"/>
      <c r="Z279" s="1547"/>
      <c r="AA279" s="1547"/>
      <c r="AB279" s="1547"/>
      <c r="AC279" s="1547"/>
      <c r="AD279" s="1547"/>
      <c r="AF279" s="4"/>
      <c r="AG279" s="4"/>
      <c r="AH279" s="4"/>
      <c r="AI279" s="4"/>
      <c r="AJ279" s="4"/>
      <c r="AU279" s="3"/>
      <c r="AV279" s="3"/>
      <c r="AW279" s="3"/>
      <c r="AX279" s="3"/>
      <c r="AY279" s="3"/>
      <c r="BN279" s="34"/>
    </row>
    <row r="280" spans="1:66" ht="12.95" customHeight="1">
      <c r="D280" s="3" t="s">
        <v>632</v>
      </c>
      <c r="E280" s="3"/>
      <c r="F280" s="3"/>
      <c r="G280" s="3"/>
      <c r="H280" s="3"/>
      <c r="I280" s="3"/>
      <c r="L280" s="1559" t="s">
        <v>2776</v>
      </c>
      <c r="M280" s="1559"/>
      <c r="N280" s="1559"/>
      <c r="O280" s="1559"/>
      <c r="P280" s="1559"/>
      <c r="Q280" s="1559"/>
      <c r="R280" s="1559"/>
      <c r="S280" s="1559"/>
      <c r="T280" s="1559"/>
      <c r="U280" s="1559"/>
      <c r="V280" s="1559"/>
      <c r="W280" s="1559"/>
      <c r="X280" s="1559"/>
      <c r="Y280" s="1559"/>
      <c r="Z280" s="1559"/>
      <c r="AA280" s="1559"/>
      <c r="AB280" s="1559"/>
      <c r="AC280" s="1559"/>
      <c r="AD280" s="1559"/>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73" t="s">
        <v>550</v>
      </c>
      <c r="B282" s="1473"/>
      <c r="C282" s="1473"/>
      <c r="D282" s="1473"/>
      <c r="E282" s="1473"/>
      <c r="F282" s="1473"/>
      <c r="G282" s="1473"/>
      <c r="H282" s="1473"/>
      <c r="I282" s="1473"/>
      <c r="J282" s="1473"/>
      <c r="K282" s="1473"/>
      <c r="L282" s="1473"/>
      <c r="M282" s="1473"/>
      <c r="N282" s="1473"/>
      <c r="O282" s="1473"/>
      <c r="P282" s="1473"/>
      <c r="Q282" s="1473"/>
      <c r="R282" s="1473"/>
      <c r="S282" s="1473"/>
      <c r="T282" s="1473"/>
      <c r="U282" s="1473"/>
      <c r="V282" s="1473"/>
      <c r="W282" s="1473"/>
      <c r="X282" s="1473"/>
      <c r="Y282" s="1473"/>
      <c r="Z282" s="1473"/>
      <c r="AA282" s="1473"/>
      <c r="AB282" s="1473"/>
      <c r="AC282" s="1473"/>
      <c r="AD282" s="1473"/>
      <c r="AE282" s="1473"/>
      <c r="AF282" s="1473"/>
      <c r="AG282" s="1473"/>
      <c r="AH282" s="1473"/>
      <c r="AI282" s="1473"/>
      <c r="AJ282" s="1473"/>
      <c r="AK282" s="1473"/>
      <c r="AL282" s="1473"/>
      <c r="AM282" s="1473"/>
      <c r="AN282" s="1473"/>
      <c r="AO282" s="1473"/>
      <c r="AP282" s="1473"/>
      <c r="AQ282" s="1473"/>
      <c r="AR282" s="1473"/>
      <c r="AS282" s="1473"/>
      <c r="AT282" s="1473"/>
      <c r="AU282" s="95"/>
      <c r="AV282" s="95"/>
      <c r="AW282" s="95"/>
      <c r="AX282" s="95"/>
      <c r="AY282" s="95"/>
      <c r="BN282" s="34"/>
    </row>
    <row r="283" spans="1:66" ht="12.95" customHeight="1">
      <c r="A283" s="1473"/>
      <c r="B283" s="1473"/>
      <c r="C283" s="1473"/>
      <c r="D283" s="1473"/>
      <c r="E283" s="1473"/>
      <c r="F283" s="1473"/>
      <c r="G283" s="1473"/>
      <c r="H283" s="1473"/>
      <c r="I283" s="1473"/>
      <c r="J283" s="1473"/>
      <c r="K283" s="1473"/>
      <c r="L283" s="1473"/>
      <c r="M283" s="1473"/>
      <c r="N283" s="1473"/>
      <c r="O283" s="1473"/>
      <c r="P283" s="1473"/>
      <c r="Q283" s="1473"/>
      <c r="R283" s="1473"/>
      <c r="S283" s="1473"/>
      <c r="T283" s="1473"/>
      <c r="U283" s="1473"/>
      <c r="V283" s="1473"/>
      <c r="W283" s="1473"/>
      <c r="X283" s="1473"/>
      <c r="Y283" s="1473"/>
      <c r="Z283" s="1473"/>
      <c r="AA283" s="1473"/>
      <c r="AB283" s="1473"/>
      <c r="AC283" s="1473"/>
      <c r="AD283" s="1473"/>
      <c r="AE283" s="1473"/>
      <c r="AF283" s="1473"/>
      <c r="AG283" s="1473"/>
      <c r="AH283" s="1473"/>
      <c r="AI283" s="1473"/>
      <c r="AJ283" s="1473"/>
      <c r="AK283" s="1473"/>
      <c r="AL283" s="1473"/>
      <c r="AM283" s="1473"/>
      <c r="AN283" s="1473"/>
      <c r="AO283" s="1473"/>
      <c r="AP283" s="1473"/>
      <c r="AQ283" s="1473"/>
      <c r="AR283" s="1473"/>
      <c r="AS283" s="1473"/>
      <c r="AT283" s="1473"/>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467" t="s">
        <v>2759</v>
      </c>
      <c r="I287" s="1467"/>
      <c r="J287" s="1467"/>
      <c r="K287" s="1467"/>
      <c r="L287" s="1467"/>
      <c r="M287" s="1467"/>
      <c r="N287" s="1467"/>
      <c r="O287" s="1467"/>
      <c r="P287" s="1467"/>
      <c r="Q287" s="1467"/>
      <c r="R287" s="1467"/>
      <c r="T287" s="3" t="s">
        <v>576</v>
      </c>
      <c r="V287" s="3"/>
      <c r="W287" s="3"/>
      <c r="X287" s="3"/>
      <c r="Y287" s="3"/>
      <c r="AA287" s="1467" t="s">
        <v>2667</v>
      </c>
      <c r="AB287" s="1467"/>
      <c r="AC287" s="1467"/>
      <c r="AD287" s="1467"/>
      <c r="AE287" s="1467"/>
      <c r="AF287" s="1467"/>
      <c r="AG287" s="1467"/>
      <c r="AH287" s="1467"/>
      <c r="AI287" s="1467"/>
      <c r="AJ287" s="1467"/>
      <c r="AK287" s="1467"/>
      <c r="BN287" s="34"/>
    </row>
    <row r="288" spans="1:66" ht="12.95" customHeight="1">
      <c r="B288" s="3" t="s">
        <v>480</v>
      </c>
      <c r="C288" s="3"/>
      <c r="D288" s="3"/>
      <c r="E288" s="3"/>
      <c r="F288" s="3"/>
      <c r="H288" s="1417" t="s">
        <v>2662</v>
      </c>
      <c r="I288" s="1417"/>
      <c r="J288" s="1417"/>
      <c r="K288" s="1417"/>
      <c r="L288" s="1417"/>
      <c r="M288" s="1417"/>
      <c r="N288" s="1417"/>
      <c r="O288" s="1417"/>
      <c r="P288" s="1417"/>
      <c r="Q288" s="1417"/>
      <c r="R288" s="1417"/>
      <c r="T288" s="3" t="s">
        <v>480</v>
      </c>
      <c r="V288" s="3"/>
      <c r="W288" s="3"/>
      <c r="X288" s="3"/>
      <c r="Y288" s="3"/>
      <c r="AA288" s="1417" t="s">
        <v>2668</v>
      </c>
      <c r="AB288" s="1417"/>
      <c r="AC288" s="1417"/>
      <c r="AD288" s="1417"/>
      <c r="AE288" s="1417"/>
      <c r="AF288" s="1417"/>
      <c r="AG288" s="1417"/>
      <c r="AH288" s="1417"/>
      <c r="AI288" s="1417"/>
      <c r="AJ288" s="1417"/>
      <c r="AK288" s="1417"/>
      <c r="BN288" s="34"/>
    </row>
    <row r="289" spans="2:66" ht="12.95" customHeight="1">
      <c r="B289" s="3" t="s">
        <v>481</v>
      </c>
      <c r="C289" s="3"/>
      <c r="D289" s="3"/>
      <c r="E289" s="3"/>
      <c r="F289" s="3"/>
      <c r="H289" s="1417" t="s">
        <v>2663</v>
      </c>
      <c r="I289" s="1417"/>
      <c r="J289" s="1417"/>
      <c r="K289" s="1417"/>
      <c r="L289" s="1417"/>
      <c r="M289" s="1417"/>
      <c r="N289" s="1417"/>
      <c r="O289" s="1417"/>
      <c r="P289" s="1417"/>
      <c r="Q289" s="1417"/>
      <c r="R289" s="1417"/>
      <c r="T289" s="3" t="s">
        <v>75</v>
      </c>
      <c r="V289" s="3"/>
      <c r="W289" s="3"/>
      <c r="X289" s="3"/>
      <c r="Y289" s="3"/>
      <c r="AA289" s="1417" t="s">
        <v>2669</v>
      </c>
      <c r="AB289" s="1417"/>
      <c r="AC289" s="1417"/>
      <c r="AD289" s="1417"/>
      <c r="AE289" s="1417"/>
      <c r="AF289" s="1417"/>
      <c r="AG289" s="1417"/>
      <c r="AH289" s="1417"/>
      <c r="AI289" s="1417"/>
      <c r="AJ289" s="1417"/>
      <c r="AK289" s="1417"/>
      <c r="BN289" s="34"/>
    </row>
    <row r="290" spans="2:66" ht="12.95" customHeight="1">
      <c r="B290" s="3" t="s">
        <v>87</v>
      </c>
      <c r="C290" s="3"/>
      <c r="D290" s="3"/>
      <c r="E290" s="3"/>
      <c r="F290" s="3"/>
      <c r="H290" s="1417" t="s">
        <v>2664</v>
      </c>
      <c r="I290" s="1417"/>
      <c r="J290" s="1417"/>
      <c r="K290" s="1417"/>
      <c r="L290" s="1417"/>
      <c r="M290" s="1417"/>
      <c r="N290" s="1417"/>
      <c r="O290" s="1417"/>
      <c r="P290" s="1417"/>
      <c r="Q290" s="1417"/>
      <c r="R290" s="1417"/>
      <c r="T290" s="3" t="s">
        <v>87</v>
      </c>
      <c r="V290" s="3"/>
      <c r="W290" s="3"/>
      <c r="X290" s="3"/>
      <c r="Y290" s="3"/>
      <c r="AA290" s="1417" t="s">
        <v>2670</v>
      </c>
      <c r="AB290" s="1417"/>
      <c r="AC290" s="1417"/>
      <c r="AD290" s="1417"/>
      <c r="AE290" s="1417"/>
      <c r="AF290" s="1417"/>
      <c r="AG290" s="1417"/>
      <c r="AH290" s="1417"/>
      <c r="AI290" s="1417"/>
      <c r="AJ290" s="1417"/>
      <c r="AK290" s="1417"/>
      <c r="BN290" s="34"/>
    </row>
    <row r="291" spans="2:66" ht="12.95" customHeight="1">
      <c r="B291" s="3" t="s">
        <v>88</v>
      </c>
      <c r="C291" s="3"/>
      <c r="D291" s="3"/>
      <c r="E291" s="3"/>
      <c r="F291" s="3"/>
      <c r="G291" s="3"/>
      <c r="H291" s="1476" t="s">
        <v>2665</v>
      </c>
      <c r="I291" s="1476"/>
      <c r="J291" s="1476"/>
      <c r="K291" s="1476"/>
      <c r="L291" s="1476"/>
      <c r="M291" s="1476"/>
      <c r="N291" s="4" t="s">
        <v>207</v>
      </c>
      <c r="O291" s="4"/>
      <c r="P291" s="1447"/>
      <c r="Q291" s="1447"/>
      <c r="R291" s="1447"/>
      <c r="S291" s="3"/>
      <c r="T291" s="3" t="s">
        <v>88</v>
      </c>
      <c r="V291" s="3"/>
      <c r="W291" s="3"/>
      <c r="X291" s="3"/>
      <c r="Y291" s="3"/>
      <c r="AA291" s="1476" t="s">
        <v>2671</v>
      </c>
      <c r="AB291" s="1476"/>
      <c r="AC291" s="1476"/>
      <c r="AD291" s="1476"/>
      <c r="AE291" s="1476"/>
      <c r="AF291" s="1476"/>
      <c r="AG291" s="4" t="s">
        <v>207</v>
      </c>
      <c r="AH291" s="4"/>
      <c r="AI291" s="1447"/>
      <c r="AJ291" s="1447"/>
      <c r="AK291" s="1447"/>
      <c r="BN291" s="34"/>
    </row>
    <row r="292" spans="2:66" ht="12.95" customHeight="1">
      <c r="B292" s="3" t="s">
        <v>89</v>
      </c>
      <c r="C292" s="3"/>
      <c r="D292" s="3"/>
      <c r="E292" s="3"/>
      <c r="F292" s="3"/>
      <c r="G292" s="3"/>
      <c r="H292" s="1466"/>
      <c r="I292" s="1466"/>
      <c r="J292" s="1466"/>
      <c r="K292" s="1466"/>
      <c r="L292" s="1466"/>
      <c r="M292" s="1466"/>
      <c r="N292" s="4"/>
      <c r="O292" s="4"/>
      <c r="P292" s="35"/>
      <c r="Q292" s="35"/>
      <c r="R292" s="35"/>
      <c r="S292" s="3"/>
      <c r="T292" s="3" t="s">
        <v>89</v>
      </c>
      <c r="V292" s="3"/>
      <c r="W292" s="3"/>
      <c r="X292" s="3"/>
      <c r="Y292" s="3"/>
      <c r="AA292" s="1466"/>
      <c r="AB292" s="1466"/>
      <c r="AC292" s="1466"/>
      <c r="AD292" s="1466"/>
      <c r="AE292" s="1466"/>
      <c r="AF292" s="1466"/>
      <c r="AG292" s="4"/>
      <c r="AH292" s="4"/>
      <c r="AI292" s="35"/>
      <c r="AJ292" s="35"/>
      <c r="AK292" s="35"/>
      <c r="BN292" s="34"/>
    </row>
    <row r="293" spans="2:66" ht="12.95" customHeight="1">
      <c r="B293" s="3" t="s">
        <v>76</v>
      </c>
      <c r="C293" s="3"/>
      <c r="D293" s="3"/>
      <c r="E293" s="3"/>
      <c r="F293" s="3"/>
      <c r="G293" s="3"/>
      <c r="H293" s="1417" t="s">
        <v>2666</v>
      </c>
      <c r="I293" s="1417"/>
      <c r="J293" s="1417"/>
      <c r="K293" s="1417"/>
      <c r="L293" s="1417"/>
      <c r="M293" s="1417"/>
      <c r="N293" s="1467"/>
      <c r="O293" s="1467"/>
      <c r="P293" s="1467"/>
      <c r="Q293" s="1467"/>
      <c r="R293" s="1467"/>
      <c r="S293" s="3"/>
      <c r="T293" s="3" t="s">
        <v>76</v>
      </c>
      <c r="V293" s="3"/>
      <c r="W293" s="3"/>
      <c r="X293" s="3"/>
      <c r="Y293" s="3"/>
      <c r="AA293" s="1417" t="s">
        <v>2672</v>
      </c>
      <c r="AB293" s="1417"/>
      <c r="AC293" s="1417"/>
      <c r="AD293" s="1417"/>
      <c r="AE293" s="1417"/>
      <c r="AF293" s="1417"/>
      <c r="AG293" s="1467"/>
      <c r="AH293" s="1467"/>
      <c r="AI293" s="1467"/>
      <c r="AJ293" s="1467"/>
      <c r="AK293" s="1467"/>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67" t="s">
        <v>2679</v>
      </c>
      <c r="I295" s="1467"/>
      <c r="J295" s="1467"/>
      <c r="K295" s="1467"/>
      <c r="L295" s="1467"/>
      <c r="M295" s="1467"/>
      <c r="N295" s="1467"/>
      <c r="O295" s="1467"/>
      <c r="P295" s="1467"/>
      <c r="Q295" s="1467"/>
      <c r="R295" s="1467"/>
      <c r="T295" s="3" t="s">
        <v>365</v>
      </c>
      <c r="V295" s="3"/>
      <c r="W295" s="3"/>
      <c r="X295" s="3"/>
      <c r="Y295" s="3"/>
      <c r="AA295" s="1467" t="s">
        <v>2673</v>
      </c>
      <c r="AB295" s="1467"/>
      <c r="AC295" s="1467"/>
      <c r="AD295" s="1467"/>
      <c r="AE295" s="1467"/>
      <c r="AF295" s="1467"/>
      <c r="AG295" s="1467"/>
      <c r="AH295" s="1467"/>
      <c r="AI295" s="1467"/>
      <c r="AJ295" s="1467"/>
      <c r="AK295" s="1467"/>
      <c r="BN295" s="34"/>
    </row>
    <row r="296" spans="2:66" ht="12.95" customHeight="1">
      <c r="B296" s="3" t="s">
        <v>480</v>
      </c>
      <c r="C296" s="3"/>
      <c r="D296" s="3"/>
      <c r="E296" s="3"/>
      <c r="F296" s="3"/>
      <c r="H296" s="1417" t="s">
        <v>2680</v>
      </c>
      <c r="I296" s="1417"/>
      <c r="J296" s="1417"/>
      <c r="K296" s="1417"/>
      <c r="L296" s="1417"/>
      <c r="M296" s="1417"/>
      <c r="N296" s="1417"/>
      <c r="O296" s="1417"/>
      <c r="P296" s="1417"/>
      <c r="Q296" s="1417"/>
      <c r="R296" s="1417"/>
      <c r="T296" s="3" t="s">
        <v>480</v>
      </c>
      <c r="V296" s="3"/>
      <c r="W296" s="3"/>
      <c r="X296" s="3"/>
      <c r="Y296" s="3"/>
      <c r="AA296" s="1417" t="s">
        <v>2674</v>
      </c>
      <c r="AB296" s="1417"/>
      <c r="AC296" s="1417"/>
      <c r="AD296" s="1417"/>
      <c r="AE296" s="1417"/>
      <c r="AF296" s="1417"/>
      <c r="AG296" s="1417"/>
      <c r="AH296" s="1417"/>
      <c r="AI296" s="1417"/>
      <c r="AJ296" s="1417"/>
      <c r="AK296" s="1417"/>
      <c r="BN296" s="34"/>
    </row>
    <row r="297" spans="2:66" ht="12.95" customHeight="1">
      <c r="B297" s="3" t="s">
        <v>481</v>
      </c>
      <c r="C297" s="3"/>
      <c r="D297" s="3"/>
      <c r="E297" s="3"/>
      <c r="F297" s="3"/>
      <c r="H297" s="1417" t="s">
        <v>2681</v>
      </c>
      <c r="I297" s="1417"/>
      <c r="J297" s="1417"/>
      <c r="K297" s="1417"/>
      <c r="L297" s="1417"/>
      <c r="M297" s="1417"/>
      <c r="N297" s="1417"/>
      <c r="O297" s="1417"/>
      <c r="P297" s="1417"/>
      <c r="Q297" s="1417"/>
      <c r="R297" s="1417"/>
      <c r="T297" s="3" t="s">
        <v>75</v>
      </c>
      <c r="V297" s="3"/>
      <c r="W297" s="3"/>
      <c r="X297" s="3"/>
      <c r="Y297" s="3"/>
      <c r="AA297" s="1417" t="s">
        <v>2675</v>
      </c>
      <c r="AB297" s="1417"/>
      <c r="AC297" s="1417"/>
      <c r="AD297" s="1417"/>
      <c r="AE297" s="1417"/>
      <c r="AF297" s="1417"/>
      <c r="AG297" s="1417"/>
      <c r="AH297" s="1417"/>
      <c r="AI297" s="1417"/>
      <c r="AJ297" s="1417"/>
      <c r="AK297" s="1417"/>
      <c r="BN297" s="34"/>
    </row>
    <row r="298" spans="2:66" ht="12.95" customHeight="1">
      <c r="B298" s="3" t="s">
        <v>87</v>
      </c>
      <c r="C298" s="3"/>
      <c r="D298" s="3"/>
      <c r="E298" s="3"/>
      <c r="F298" s="3"/>
      <c r="H298" s="1417" t="s">
        <v>2682</v>
      </c>
      <c r="I298" s="1417"/>
      <c r="J298" s="1417"/>
      <c r="K298" s="1417"/>
      <c r="L298" s="1417"/>
      <c r="M298" s="1417"/>
      <c r="N298" s="1417"/>
      <c r="O298" s="1417"/>
      <c r="P298" s="1417"/>
      <c r="Q298" s="1417"/>
      <c r="R298" s="1417"/>
      <c r="T298" s="3" t="s">
        <v>87</v>
      </c>
      <c r="V298" s="3"/>
      <c r="W298" s="3"/>
      <c r="X298" s="3"/>
      <c r="Y298" s="3"/>
      <c r="AA298" s="1417" t="s">
        <v>2676</v>
      </c>
      <c r="AB298" s="1417"/>
      <c r="AC298" s="1417"/>
      <c r="AD298" s="1417"/>
      <c r="AE298" s="1417"/>
      <c r="AF298" s="1417"/>
      <c r="AG298" s="1417"/>
      <c r="AH298" s="1417"/>
      <c r="AI298" s="1417"/>
      <c r="AJ298" s="1417"/>
      <c r="AK298" s="1417"/>
      <c r="BN298" s="34"/>
    </row>
    <row r="299" spans="2:66" ht="12.95" customHeight="1">
      <c r="B299" s="3" t="s">
        <v>88</v>
      </c>
      <c r="C299" s="3"/>
      <c r="D299" s="3"/>
      <c r="E299" s="3"/>
      <c r="F299" s="3"/>
      <c r="G299" s="3"/>
      <c r="H299" s="1476" t="s">
        <v>2683</v>
      </c>
      <c r="I299" s="1476"/>
      <c r="J299" s="1476"/>
      <c r="K299" s="1476"/>
      <c r="L299" s="1476"/>
      <c r="M299" s="1476"/>
      <c r="N299" s="4" t="s">
        <v>207</v>
      </c>
      <c r="O299" s="4"/>
      <c r="P299" s="1447"/>
      <c r="Q299" s="1447"/>
      <c r="R299" s="1447"/>
      <c r="S299" s="3"/>
      <c r="T299" s="3" t="s">
        <v>88</v>
      </c>
      <c r="V299" s="3"/>
      <c r="W299" s="3"/>
      <c r="X299" s="3"/>
      <c r="Y299" s="3"/>
      <c r="AA299" s="1476" t="s">
        <v>2677</v>
      </c>
      <c r="AB299" s="1476"/>
      <c r="AC299" s="1476"/>
      <c r="AD299" s="1476"/>
      <c r="AE299" s="1476"/>
      <c r="AF299" s="1476"/>
      <c r="AG299" s="4" t="s">
        <v>207</v>
      </c>
      <c r="AH299" s="4"/>
      <c r="AI299" s="1447"/>
      <c r="AJ299" s="1447"/>
      <c r="AK299" s="1447"/>
      <c r="BN299" s="34"/>
    </row>
    <row r="300" spans="2:66" ht="12.95" customHeight="1">
      <c r="B300" s="3" t="s">
        <v>89</v>
      </c>
      <c r="C300" s="3"/>
      <c r="D300" s="3"/>
      <c r="E300" s="3"/>
      <c r="F300" s="3"/>
      <c r="G300" s="3"/>
      <c r="H300" s="1466"/>
      <c r="I300" s="1466"/>
      <c r="J300" s="1466"/>
      <c r="K300" s="1466"/>
      <c r="L300" s="1466"/>
      <c r="M300" s="1466"/>
      <c r="N300" s="4"/>
      <c r="O300" s="4"/>
      <c r="P300" s="35"/>
      <c r="Q300" s="35"/>
      <c r="R300" s="35"/>
      <c r="S300" s="3"/>
      <c r="T300" s="3" t="s">
        <v>89</v>
      </c>
      <c r="V300" s="3"/>
      <c r="W300" s="3"/>
      <c r="X300" s="3"/>
      <c r="Y300" s="3"/>
      <c r="AA300" s="1466"/>
      <c r="AB300" s="1466"/>
      <c r="AC300" s="1466"/>
      <c r="AD300" s="1466"/>
      <c r="AE300" s="1466"/>
      <c r="AF300" s="1466"/>
      <c r="AG300" s="4"/>
      <c r="AH300" s="4"/>
      <c r="AI300" s="35"/>
      <c r="AJ300" s="35"/>
      <c r="AK300" s="35"/>
      <c r="BN300" s="34"/>
    </row>
    <row r="301" spans="2:66" ht="12.95" customHeight="1">
      <c r="B301" s="3" t="s">
        <v>76</v>
      </c>
      <c r="C301" s="3"/>
      <c r="D301" s="3"/>
      <c r="E301" s="3"/>
      <c r="F301" s="3"/>
      <c r="G301" s="3"/>
      <c r="H301" s="1417" t="s">
        <v>2684</v>
      </c>
      <c r="I301" s="1417"/>
      <c r="J301" s="1417"/>
      <c r="K301" s="1417"/>
      <c r="L301" s="1417"/>
      <c r="M301" s="1417"/>
      <c r="N301" s="1467"/>
      <c r="O301" s="1467"/>
      <c r="P301" s="1467"/>
      <c r="Q301" s="1467"/>
      <c r="R301" s="1467"/>
      <c r="S301" s="3"/>
      <c r="T301" s="3" t="s">
        <v>76</v>
      </c>
      <c r="V301" s="3"/>
      <c r="W301" s="3"/>
      <c r="X301" s="3"/>
      <c r="Y301" s="3"/>
      <c r="AA301" s="1417" t="s">
        <v>2678</v>
      </c>
      <c r="AB301" s="1417"/>
      <c r="AC301" s="1417"/>
      <c r="AD301" s="1417"/>
      <c r="AE301" s="1417"/>
      <c r="AF301" s="1417"/>
      <c r="AG301" s="1467"/>
      <c r="AH301" s="1467"/>
      <c r="AI301" s="1467"/>
      <c r="AJ301" s="1467"/>
      <c r="AK301" s="1467"/>
      <c r="BN301" s="34"/>
    </row>
    <row r="302" spans="2:66" ht="12.95" customHeight="1">
      <c r="BN302" s="34"/>
    </row>
    <row r="303" spans="2:66" ht="12.95" customHeight="1">
      <c r="B303" s="3" t="s">
        <v>77</v>
      </c>
      <c r="C303" s="3"/>
      <c r="D303" s="3"/>
      <c r="E303" s="3"/>
      <c r="F303" s="3"/>
      <c r="H303" s="1467"/>
      <c r="I303" s="1467"/>
      <c r="J303" s="1467"/>
      <c r="K303" s="1467"/>
      <c r="L303" s="1467"/>
      <c r="M303" s="1467"/>
      <c r="N303" s="1467"/>
      <c r="O303" s="1467"/>
      <c r="P303" s="1467"/>
      <c r="Q303" s="1467"/>
      <c r="R303" s="1467"/>
      <c r="T303" s="4" t="s">
        <v>891</v>
      </c>
      <c r="V303" s="3"/>
      <c r="W303" s="3"/>
      <c r="X303" s="3"/>
      <c r="Y303" s="3"/>
      <c r="AA303" s="1467"/>
      <c r="AB303" s="1467"/>
      <c r="AC303" s="1467"/>
      <c r="AD303" s="1467"/>
      <c r="AE303" s="1467"/>
      <c r="AF303" s="1467"/>
      <c r="AG303" s="1467"/>
      <c r="AH303" s="1467"/>
      <c r="AI303" s="1467"/>
      <c r="AJ303" s="1467"/>
      <c r="AK303" s="1467"/>
      <c r="BN303" s="34"/>
    </row>
    <row r="304" spans="2:66" ht="12.95" customHeight="1">
      <c r="B304" s="3" t="s">
        <v>480</v>
      </c>
      <c r="C304" s="3"/>
      <c r="D304" s="3"/>
      <c r="E304" s="3"/>
      <c r="F304" s="3"/>
      <c r="H304" s="1417"/>
      <c r="I304" s="1417"/>
      <c r="J304" s="1417"/>
      <c r="K304" s="1417"/>
      <c r="L304" s="1417"/>
      <c r="M304" s="1417"/>
      <c r="N304" s="1417"/>
      <c r="O304" s="1417"/>
      <c r="P304" s="1417"/>
      <c r="Q304" s="1417"/>
      <c r="R304" s="1417"/>
      <c r="T304" s="3" t="s">
        <v>480</v>
      </c>
      <c r="V304" s="3"/>
      <c r="W304" s="3"/>
      <c r="X304" s="3"/>
      <c r="Y304" s="3"/>
      <c r="AA304" s="1417"/>
      <c r="AB304" s="1417"/>
      <c r="AC304" s="1417"/>
      <c r="AD304" s="1417"/>
      <c r="AE304" s="1417"/>
      <c r="AF304" s="1417"/>
      <c r="AG304" s="1417"/>
      <c r="AH304" s="1417"/>
      <c r="AI304" s="1417"/>
      <c r="AJ304" s="1417"/>
      <c r="AK304" s="1417"/>
      <c r="BN304" s="34"/>
    </row>
    <row r="305" spans="2:66" ht="12.95" customHeight="1">
      <c r="B305" s="3" t="s">
        <v>481</v>
      </c>
      <c r="C305" s="3"/>
      <c r="D305" s="3"/>
      <c r="E305" s="3"/>
      <c r="F305" s="3"/>
      <c r="H305" s="1417"/>
      <c r="I305" s="1417"/>
      <c r="J305" s="1417"/>
      <c r="K305" s="1417"/>
      <c r="L305" s="1417"/>
      <c r="M305" s="1417"/>
      <c r="N305" s="1417"/>
      <c r="O305" s="1417"/>
      <c r="P305" s="1417"/>
      <c r="Q305" s="1417"/>
      <c r="R305" s="1417"/>
      <c r="T305" s="3" t="s">
        <v>75</v>
      </c>
      <c r="V305" s="3"/>
      <c r="W305" s="3"/>
      <c r="X305" s="3"/>
      <c r="Y305" s="3"/>
      <c r="AA305" s="1417"/>
      <c r="AB305" s="1417"/>
      <c r="AC305" s="1417"/>
      <c r="AD305" s="1417"/>
      <c r="AE305" s="1417"/>
      <c r="AF305" s="1417"/>
      <c r="AG305" s="1417"/>
      <c r="AH305" s="1417"/>
      <c r="AI305" s="1417"/>
      <c r="AJ305" s="1417"/>
      <c r="AK305" s="1417"/>
      <c r="BN305" s="34"/>
    </row>
    <row r="306" spans="2:66" ht="12.95" customHeight="1">
      <c r="B306" s="3" t="s">
        <v>87</v>
      </c>
      <c r="C306" s="3"/>
      <c r="D306" s="3"/>
      <c r="E306" s="3"/>
      <c r="F306" s="3"/>
      <c r="H306" s="1417"/>
      <c r="I306" s="1417"/>
      <c r="J306" s="1417"/>
      <c r="K306" s="1417"/>
      <c r="L306" s="1417"/>
      <c r="M306" s="1417"/>
      <c r="N306" s="1417"/>
      <c r="O306" s="1417"/>
      <c r="P306" s="1417"/>
      <c r="Q306" s="1417"/>
      <c r="R306" s="1417"/>
      <c r="T306" s="3" t="s">
        <v>87</v>
      </c>
      <c r="V306" s="3"/>
      <c r="W306" s="3"/>
      <c r="X306" s="3"/>
      <c r="Y306" s="3"/>
      <c r="AA306" s="1417"/>
      <c r="AB306" s="1417"/>
      <c r="AC306" s="1417"/>
      <c r="AD306" s="1417"/>
      <c r="AE306" s="1417"/>
      <c r="AF306" s="1417"/>
      <c r="AG306" s="1417"/>
      <c r="AH306" s="1417"/>
      <c r="AI306" s="1417"/>
      <c r="AJ306" s="1417"/>
      <c r="AK306" s="1417"/>
      <c r="BN306" s="34"/>
    </row>
    <row r="307" spans="2:66" ht="12.95" customHeight="1">
      <c r="B307" s="3" t="s">
        <v>88</v>
      </c>
      <c r="C307" s="3"/>
      <c r="D307" s="3"/>
      <c r="E307" s="3"/>
      <c r="F307" s="3"/>
      <c r="G307" s="3"/>
      <c r="H307" s="1476"/>
      <c r="I307" s="1476"/>
      <c r="J307" s="1476"/>
      <c r="K307" s="1476"/>
      <c r="L307" s="1476"/>
      <c r="M307" s="1476"/>
      <c r="N307" s="4" t="s">
        <v>207</v>
      </c>
      <c r="O307" s="4"/>
      <c r="P307" s="1447"/>
      <c r="Q307" s="1447"/>
      <c r="R307" s="1447"/>
      <c r="S307" s="3"/>
      <c r="T307" s="3" t="s">
        <v>88</v>
      </c>
      <c r="V307" s="3"/>
      <c r="W307" s="3"/>
      <c r="X307" s="3"/>
      <c r="Y307" s="3"/>
      <c r="AA307" s="1476"/>
      <c r="AB307" s="1476"/>
      <c r="AC307" s="1476"/>
      <c r="AD307" s="1476"/>
      <c r="AE307" s="1476"/>
      <c r="AF307" s="1476"/>
      <c r="AG307" s="4" t="s">
        <v>207</v>
      </c>
      <c r="AH307" s="4"/>
      <c r="AI307" s="1447"/>
      <c r="AJ307" s="1447"/>
      <c r="AK307" s="1447"/>
      <c r="BN307" s="34"/>
    </row>
    <row r="308" spans="2:66" ht="12.95" customHeight="1">
      <c r="B308" s="3" t="s">
        <v>89</v>
      </c>
      <c r="C308" s="3"/>
      <c r="D308" s="3"/>
      <c r="E308" s="3"/>
      <c r="F308" s="3"/>
      <c r="G308" s="3"/>
      <c r="H308" s="1466"/>
      <c r="I308" s="1466"/>
      <c r="J308" s="1466"/>
      <c r="K308" s="1466"/>
      <c r="L308" s="1466"/>
      <c r="M308" s="1466"/>
      <c r="N308" s="4"/>
      <c r="O308" s="4"/>
      <c r="P308" s="35"/>
      <c r="Q308" s="35"/>
      <c r="R308" s="35"/>
      <c r="S308" s="3"/>
      <c r="T308" s="3" t="s">
        <v>89</v>
      </c>
      <c r="V308" s="3"/>
      <c r="W308" s="3"/>
      <c r="X308" s="3"/>
      <c r="Y308" s="3"/>
      <c r="AA308" s="1466"/>
      <c r="AB308" s="1466"/>
      <c r="AC308" s="1466"/>
      <c r="AD308" s="1466"/>
      <c r="AE308" s="1466"/>
      <c r="AF308" s="1466"/>
      <c r="AG308" s="4"/>
      <c r="AH308" s="4"/>
      <c r="AI308" s="35"/>
      <c r="AJ308" s="35"/>
      <c r="AK308" s="35"/>
      <c r="BN308" s="34"/>
    </row>
    <row r="309" spans="2:66" ht="12.95" customHeight="1">
      <c r="B309" s="3" t="s">
        <v>76</v>
      </c>
      <c r="C309" s="3"/>
      <c r="D309" s="3"/>
      <c r="E309" s="3"/>
      <c r="F309" s="3"/>
      <c r="G309" s="3"/>
      <c r="H309" s="1417"/>
      <c r="I309" s="1417"/>
      <c r="J309" s="1417"/>
      <c r="K309" s="1417"/>
      <c r="L309" s="1417"/>
      <c r="M309" s="1417"/>
      <c r="N309" s="1467"/>
      <c r="O309" s="1467"/>
      <c r="P309" s="1467"/>
      <c r="Q309" s="1467"/>
      <c r="R309" s="1467"/>
      <c r="S309" s="3"/>
      <c r="T309" s="3" t="s">
        <v>76</v>
      </c>
      <c r="V309" s="3"/>
      <c r="W309" s="3"/>
      <c r="X309" s="3"/>
      <c r="Y309" s="3"/>
      <c r="AA309" s="1417"/>
      <c r="AB309" s="1417"/>
      <c r="AC309" s="1417"/>
      <c r="AD309" s="1417"/>
      <c r="AE309" s="1417"/>
      <c r="AF309" s="1417"/>
      <c r="AG309" s="1467"/>
      <c r="AH309" s="1467"/>
      <c r="AI309" s="1467"/>
      <c r="AJ309" s="1467"/>
      <c r="AK309" s="1467"/>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467" t="s">
        <v>2685</v>
      </c>
      <c r="I311" s="1467"/>
      <c r="J311" s="1467"/>
      <c r="K311" s="1467"/>
      <c r="L311" s="1467"/>
      <c r="M311" s="1467"/>
      <c r="N311" s="1467"/>
      <c r="O311" s="1467"/>
      <c r="P311" s="1467"/>
      <c r="Q311" s="1467"/>
      <c r="R311" s="1467"/>
      <c r="S311" s="3"/>
      <c r="T311" s="3" t="s">
        <v>366</v>
      </c>
      <c r="V311" s="3"/>
      <c r="W311" s="3"/>
      <c r="X311" s="3"/>
      <c r="Y311" s="3"/>
      <c r="AA311" s="1467" t="s">
        <v>2766</v>
      </c>
      <c r="AB311" s="1467"/>
      <c r="AC311" s="1467"/>
      <c r="AD311" s="1467"/>
      <c r="AE311" s="1467"/>
      <c r="AF311" s="1467"/>
      <c r="AG311" s="1467"/>
      <c r="AH311" s="1467"/>
      <c r="AI311" s="1467"/>
      <c r="AJ311" s="1467"/>
      <c r="AK311" s="1467"/>
      <c r="BN311" s="34"/>
    </row>
    <row r="312" spans="2:66" ht="12.95" customHeight="1">
      <c r="B312" s="3" t="s">
        <v>480</v>
      </c>
      <c r="C312" s="3"/>
      <c r="D312" s="3"/>
      <c r="E312" s="3"/>
      <c r="F312" s="3"/>
      <c r="H312" s="1417" t="s">
        <v>2686</v>
      </c>
      <c r="I312" s="1417"/>
      <c r="J312" s="1417"/>
      <c r="K312" s="1417"/>
      <c r="L312" s="1417"/>
      <c r="M312" s="1417"/>
      <c r="N312" s="1417"/>
      <c r="O312" s="1417"/>
      <c r="P312" s="1417"/>
      <c r="Q312" s="1417"/>
      <c r="R312" s="1417"/>
      <c r="S312" s="3"/>
      <c r="T312" s="3" t="s">
        <v>480</v>
      </c>
      <c r="V312" s="3"/>
      <c r="W312" s="3"/>
      <c r="X312" s="3"/>
      <c r="Y312" s="3"/>
      <c r="AA312" s="1417" t="s">
        <v>2767</v>
      </c>
      <c r="AB312" s="1417"/>
      <c r="AC312" s="1417"/>
      <c r="AD312" s="1417"/>
      <c r="AE312" s="1417"/>
      <c r="AF312" s="1417"/>
      <c r="AG312" s="1417"/>
      <c r="AH312" s="1417"/>
      <c r="AI312" s="1417"/>
      <c r="AJ312" s="1417"/>
      <c r="AK312" s="1417"/>
      <c r="BN312" s="34"/>
    </row>
    <row r="313" spans="2:66" ht="12.95" customHeight="1">
      <c r="B313" s="3" t="s">
        <v>481</v>
      </c>
      <c r="C313" s="3"/>
      <c r="D313" s="3"/>
      <c r="E313" s="3"/>
      <c r="F313" s="3"/>
      <c r="H313" s="1417" t="s">
        <v>2687</v>
      </c>
      <c r="I313" s="1417"/>
      <c r="J313" s="1417"/>
      <c r="K313" s="1417"/>
      <c r="L313" s="1417"/>
      <c r="M313" s="1417"/>
      <c r="N313" s="1417"/>
      <c r="O313" s="1417"/>
      <c r="P313" s="1417"/>
      <c r="Q313" s="1417"/>
      <c r="R313" s="1417"/>
      <c r="S313" s="3"/>
      <c r="T313" s="3" t="s">
        <v>75</v>
      </c>
      <c r="V313" s="3"/>
      <c r="W313" s="3"/>
      <c r="X313" s="3"/>
      <c r="Y313" s="3"/>
      <c r="AA313" s="1417" t="s">
        <v>2743</v>
      </c>
      <c r="AB313" s="1417"/>
      <c r="AC313" s="1417"/>
      <c r="AD313" s="1417"/>
      <c r="AE313" s="1417"/>
      <c r="AF313" s="1417"/>
      <c r="AG313" s="1417"/>
      <c r="AH313" s="1417"/>
      <c r="AI313" s="1417"/>
      <c r="AJ313" s="1417"/>
      <c r="AK313" s="1417"/>
      <c r="BN313" s="34"/>
    </row>
    <row r="314" spans="2:66" ht="12.95" customHeight="1">
      <c r="B314" s="3" t="s">
        <v>87</v>
      </c>
      <c r="C314" s="3"/>
      <c r="D314" s="3"/>
      <c r="E314" s="3"/>
      <c r="F314" s="3"/>
      <c r="H314" s="1417" t="s">
        <v>2688</v>
      </c>
      <c r="I314" s="1417"/>
      <c r="J314" s="1417"/>
      <c r="K314" s="1417"/>
      <c r="L314" s="1417"/>
      <c r="M314" s="1417"/>
      <c r="N314" s="1417"/>
      <c r="O314" s="1417"/>
      <c r="P314" s="1417"/>
      <c r="Q314" s="1417"/>
      <c r="R314" s="1417"/>
      <c r="S314" s="3"/>
      <c r="T314" s="3" t="s">
        <v>87</v>
      </c>
      <c r="V314" s="3"/>
      <c r="W314" s="3"/>
      <c r="X314" s="3"/>
      <c r="Y314" s="3"/>
      <c r="AA314" s="1417" t="s">
        <v>2764</v>
      </c>
      <c r="AB314" s="1417"/>
      <c r="AC314" s="1417"/>
      <c r="AD314" s="1417"/>
      <c r="AE314" s="1417"/>
      <c r="AF314" s="1417"/>
      <c r="AG314" s="1417"/>
      <c r="AH314" s="1417"/>
      <c r="AI314" s="1417"/>
      <c r="AJ314" s="1417"/>
      <c r="AK314" s="1417"/>
      <c r="BN314" s="34"/>
    </row>
    <row r="315" spans="2:66" ht="12.95" customHeight="1">
      <c r="B315" s="3" t="s">
        <v>88</v>
      </c>
      <c r="C315" s="3"/>
      <c r="D315" s="3"/>
      <c r="E315" s="3"/>
      <c r="F315" s="3"/>
      <c r="G315" s="3"/>
      <c r="H315" s="1476" t="s">
        <v>2689</v>
      </c>
      <c r="I315" s="1476"/>
      <c r="J315" s="1476"/>
      <c r="K315" s="1476"/>
      <c r="L315" s="1476"/>
      <c r="M315" s="1476"/>
      <c r="N315" s="4" t="s">
        <v>207</v>
      </c>
      <c r="O315" s="4"/>
      <c r="P315" s="1447"/>
      <c r="Q315" s="1447"/>
      <c r="R315" s="1447"/>
      <c r="S315" s="3"/>
      <c r="T315" s="3" t="s">
        <v>88</v>
      </c>
      <c r="V315" s="3"/>
      <c r="W315" s="3"/>
      <c r="X315" s="3"/>
      <c r="Y315" s="3"/>
      <c r="AA315" s="1585" t="s">
        <v>2744</v>
      </c>
      <c r="AB315" s="1476"/>
      <c r="AC315" s="1476"/>
      <c r="AD315" s="1476"/>
      <c r="AE315" s="1476"/>
      <c r="AF315" s="1476"/>
      <c r="AG315" s="4" t="s">
        <v>207</v>
      </c>
      <c r="AH315" s="4"/>
      <c r="AI315" s="1447"/>
      <c r="AJ315" s="1447"/>
      <c r="AK315" s="1447"/>
      <c r="BN315" s="34"/>
    </row>
    <row r="316" spans="2:66" ht="12.95" customHeight="1">
      <c r="B316" s="3" t="s">
        <v>89</v>
      </c>
      <c r="C316" s="3"/>
      <c r="D316" s="3"/>
      <c r="E316" s="3"/>
      <c r="F316" s="3"/>
      <c r="G316" s="3"/>
      <c r="H316" s="1466"/>
      <c r="I316" s="1466"/>
      <c r="J316" s="1466"/>
      <c r="K316" s="1466"/>
      <c r="L316" s="1466"/>
      <c r="M316" s="1466"/>
      <c r="N316" s="4"/>
      <c r="O316" s="4"/>
      <c r="P316" s="35"/>
      <c r="Q316" s="35"/>
      <c r="R316" s="35"/>
      <c r="S316" s="3"/>
      <c r="T316" s="3" t="s">
        <v>89</v>
      </c>
      <c r="V316" s="3"/>
      <c r="W316" s="3"/>
      <c r="X316" s="3"/>
      <c r="Y316" s="3"/>
      <c r="AA316" s="1466"/>
      <c r="AB316" s="1466"/>
      <c r="AC316" s="1466"/>
      <c r="AD316" s="1466"/>
      <c r="AE316" s="1466"/>
      <c r="AF316" s="1466"/>
      <c r="AG316" s="4"/>
      <c r="AH316" s="4"/>
      <c r="AI316" s="35"/>
      <c r="AJ316" s="35"/>
      <c r="AK316" s="35"/>
      <c r="BN316" s="34"/>
    </row>
    <row r="317" spans="2:66" ht="12.95" customHeight="1">
      <c r="B317" s="3" t="s">
        <v>76</v>
      </c>
      <c r="C317" s="3"/>
      <c r="D317" s="3"/>
      <c r="E317" s="3"/>
      <c r="F317" s="3"/>
      <c r="G317" s="3"/>
      <c r="H317" s="1417" t="s">
        <v>2690</v>
      </c>
      <c r="I317" s="1417"/>
      <c r="J317" s="1417"/>
      <c r="K317" s="1417"/>
      <c r="L317" s="1417"/>
      <c r="M317" s="1417"/>
      <c r="N317" s="1467"/>
      <c r="O317" s="1467"/>
      <c r="P317" s="1467"/>
      <c r="Q317" s="1467"/>
      <c r="R317" s="1467"/>
      <c r="S317" s="3"/>
      <c r="T317" s="3" t="s">
        <v>76</v>
      </c>
      <c r="V317" s="3"/>
      <c r="W317" s="3"/>
      <c r="X317" s="3"/>
      <c r="Y317" s="3"/>
      <c r="AA317" s="1417" t="s">
        <v>2768</v>
      </c>
      <c r="AB317" s="1417"/>
      <c r="AC317" s="1417"/>
      <c r="AD317" s="1417"/>
      <c r="AE317" s="1417"/>
      <c r="AF317" s="1417"/>
      <c r="AG317" s="1467"/>
      <c r="AH317" s="1467"/>
      <c r="AI317" s="1467"/>
      <c r="AJ317" s="1467"/>
      <c r="AK317" s="1467"/>
      <c r="BN317" s="34"/>
    </row>
    <row r="318" spans="2:66" ht="12.95" customHeight="1">
      <c r="BN318" s="34"/>
    </row>
    <row r="319" spans="2:66" ht="12.95" customHeight="1">
      <c r="B319" s="4" t="s">
        <v>924</v>
      </c>
      <c r="C319" s="3"/>
      <c r="D319" s="3"/>
      <c r="E319" s="3"/>
      <c r="F319" s="3"/>
      <c r="H319" s="1467" t="s">
        <v>2775</v>
      </c>
      <c r="I319" s="1467"/>
      <c r="J319" s="1467"/>
      <c r="K319" s="1467"/>
      <c r="L319" s="1467"/>
      <c r="M319" s="1467"/>
      <c r="N319" s="1467"/>
      <c r="O319" s="1467"/>
      <c r="P319" s="1467"/>
      <c r="Q319" s="1467"/>
      <c r="R319" s="1467"/>
      <c r="T319" s="3" t="s">
        <v>367</v>
      </c>
      <c r="V319" s="3"/>
      <c r="W319" s="3"/>
      <c r="X319" s="3"/>
      <c r="Y319" s="3"/>
      <c r="AA319" s="1467" t="s">
        <v>2693</v>
      </c>
      <c r="AB319" s="1467"/>
      <c r="AC319" s="1467"/>
      <c r="AD319" s="1467"/>
      <c r="AE319" s="1467"/>
      <c r="AF319" s="1467"/>
      <c r="AG319" s="1467"/>
      <c r="AH319" s="1467"/>
      <c r="AI319" s="1467"/>
      <c r="AJ319" s="1467"/>
      <c r="AK319" s="1467"/>
      <c r="BN319" s="34"/>
    </row>
    <row r="320" spans="2:66" ht="12.95" customHeight="1">
      <c r="B320" s="3" t="s">
        <v>480</v>
      </c>
      <c r="C320" s="3"/>
      <c r="D320" s="3"/>
      <c r="E320" s="3"/>
      <c r="F320" s="3"/>
      <c r="H320" s="1417" t="s">
        <v>2656</v>
      </c>
      <c r="I320" s="1417"/>
      <c r="J320" s="1417"/>
      <c r="K320" s="1417"/>
      <c r="L320" s="1417"/>
      <c r="M320" s="1417"/>
      <c r="N320" s="1417"/>
      <c r="O320" s="1417"/>
      <c r="P320" s="1417"/>
      <c r="Q320" s="1417"/>
      <c r="R320" s="1417"/>
      <c r="T320" s="3" t="s">
        <v>480</v>
      </c>
      <c r="V320" s="3"/>
      <c r="W320" s="3"/>
      <c r="X320" s="3"/>
      <c r="Y320" s="3"/>
      <c r="AA320" s="1417" t="s">
        <v>2694</v>
      </c>
      <c r="AB320" s="1417"/>
      <c r="AC320" s="1417"/>
      <c r="AD320" s="1417"/>
      <c r="AE320" s="1417"/>
      <c r="AF320" s="1417"/>
      <c r="AG320" s="1417"/>
      <c r="AH320" s="1417"/>
      <c r="AI320" s="1417"/>
      <c r="AJ320" s="1417"/>
      <c r="AK320" s="1417"/>
      <c r="BN320" s="34"/>
    </row>
    <row r="321" spans="2:66" ht="12.95" customHeight="1">
      <c r="B321" s="3" t="s">
        <v>481</v>
      </c>
      <c r="C321" s="3"/>
      <c r="D321" s="3"/>
      <c r="E321" s="3"/>
      <c r="F321" s="3"/>
      <c r="H321" s="1417" t="s">
        <v>2691</v>
      </c>
      <c r="I321" s="1417"/>
      <c r="J321" s="1417"/>
      <c r="K321" s="1417"/>
      <c r="L321" s="1417"/>
      <c r="M321" s="1417"/>
      <c r="N321" s="1417"/>
      <c r="O321" s="1417"/>
      <c r="P321" s="1417"/>
      <c r="Q321" s="1417"/>
      <c r="R321" s="1417"/>
      <c r="T321" s="3" t="s">
        <v>75</v>
      </c>
      <c r="V321" s="3"/>
      <c r="W321" s="3"/>
      <c r="X321" s="3"/>
      <c r="Y321" s="3"/>
      <c r="AA321" s="1417" t="s">
        <v>2695</v>
      </c>
      <c r="AB321" s="1417"/>
      <c r="AC321" s="1417"/>
      <c r="AD321" s="1417"/>
      <c r="AE321" s="1417"/>
      <c r="AF321" s="1417"/>
      <c r="AG321" s="1417"/>
      <c r="AH321" s="1417"/>
      <c r="AI321" s="1417"/>
      <c r="AJ321" s="1417"/>
      <c r="AK321" s="1417"/>
      <c r="BN321" s="34"/>
    </row>
    <row r="322" spans="2:66" ht="12.95" customHeight="1">
      <c r="B322" s="3" t="s">
        <v>87</v>
      </c>
      <c r="C322" s="3"/>
      <c r="D322" s="3"/>
      <c r="E322" s="3"/>
      <c r="F322" s="3"/>
      <c r="H322" s="1417" t="s">
        <v>2692</v>
      </c>
      <c r="I322" s="1417"/>
      <c r="J322" s="1417"/>
      <c r="K322" s="1417"/>
      <c r="L322" s="1417"/>
      <c r="M322" s="1417"/>
      <c r="N322" s="1417"/>
      <c r="O322" s="1417"/>
      <c r="P322" s="1417"/>
      <c r="Q322" s="1417"/>
      <c r="R322" s="1417"/>
      <c r="T322" s="3" t="s">
        <v>87</v>
      </c>
      <c r="V322" s="3"/>
      <c r="W322" s="3"/>
      <c r="X322" s="3"/>
      <c r="Y322" s="3"/>
      <c r="AA322" s="1417" t="s">
        <v>2696</v>
      </c>
      <c r="AB322" s="1417"/>
      <c r="AC322" s="1417"/>
      <c r="AD322" s="1417"/>
      <c r="AE322" s="1417"/>
      <c r="AF322" s="1417"/>
      <c r="AG322" s="1417"/>
      <c r="AH322" s="1417"/>
      <c r="AI322" s="1417"/>
      <c r="AJ322" s="1417"/>
      <c r="AK322" s="1417"/>
      <c r="BN322" s="34"/>
    </row>
    <row r="323" spans="2:66" ht="12.95" customHeight="1">
      <c r="B323" s="3" t="s">
        <v>88</v>
      </c>
      <c r="C323" s="3"/>
      <c r="D323" s="3"/>
      <c r="E323" s="3"/>
      <c r="F323" s="3"/>
      <c r="G323" s="3"/>
      <c r="H323" s="1476" t="s">
        <v>2660</v>
      </c>
      <c r="I323" s="1476"/>
      <c r="J323" s="1476"/>
      <c r="K323" s="1476"/>
      <c r="L323" s="1476"/>
      <c r="M323" s="1476"/>
      <c r="N323" s="4" t="s">
        <v>207</v>
      </c>
      <c r="O323" s="4"/>
      <c r="P323" s="1447"/>
      <c r="Q323" s="1447"/>
      <c r="R323" s="1447"/>
      <c r="S323" s="3"/>
      <c r="T323" s="3" t="s">
        <v>88</v>
      </c>
      <c r="V323" s="3"/>
      <c r="W323" s="3"/>
      <c r="X323" s="3"/>
      <c r="Y323" s="3"/>
      <c r="AA323" s="1476" t="s">
        <v>2697</v>
      </c>
      <c r="AB323" s="1476"/>
      <c r="AC323" s="1476"/>
      <c r="AD323" s="1476"/>
      <c r="AE323" s="1476"/>
      <c r="AF323" s="1476"/>
      <c r="AG323" s="4" t="s">
        <v>207</v>
      </c>
      <c r="AH323" s="4"/>
      <c r="AI323" s="1447"/>
      <c r="AJ323" s="1447"/>
      <c r="AK323" s="1447"/>
    </row>
    <row r="324" spans="2:66" ht="12.95" customHeight="1">
      <c r="B324" s="3" t="s">
        <v>89</v>
      </c>
      <c r="C324" s="3"/>
      <c r="D324" s="3"/>
      <c r="E324" s="3"/>
      <c r="F324" s="3"/>
      <c r="G324" s="3"/>
      <c r="H324" s="1466"/>
      <c r="I324" s="1466"/>
      <c r="J324" s="1466"/>
      <c r="K324" s="1466"/>
      <c r="L324" s="1466"/>
      <c r="M324" s="1466"/>
      <c r="N324" s="4"/>
      <c r="O324" s="4"/>
      <c r="P324" s="35"/>
      <c r="Q324" s="35"/>
      <c r="R324" s="35"/>
      <c r="S324" s="3"/>
      <c r="T324" s="3" t="s">
        <v>89</v>
      </c>
      <c r="V324" s="3"/>
      <c r="W324" s="3"/>
      <c r="X324" s="3"/>
      <c r="Y324" s="3"/>
      <c r="AA324" s="1466"/>
      <c r="AB324" s="1466"/>
      <c r="AC324" s="1466"/>
      <c r="AD324" s="1466"/>
      <c r="AE324" s="1466"/>
      <c r="AF324" s="1466"/>
      <c r="AG324" s="4"/>
      <c r="AH324" s="4"/>
      <c r="AI324" s="35"/>
      <c r="AJ324" s="35"/>
      <c r="AK324" s="35"/>
    </row>
    <row r="325" spans="2:66" ht="12.95" customHeight="1">
      <c r="B325" s="3" t="s">
        <v>76</v>
      </c>
      <c r="C325" s="3"/>
      <c r="D325" s="3"/>
      <c r="E325" s="3"/>
      <c r="F325" s="3"/>
      <c r="G325" s="3"/>
      <c r="H325" s="1417" t="s">
        <v>2661</v>
      </c>
      <c r="I325" s="1417"/>
      <c r="J325" s="1417"/>
      <c r="K325" s="1417"/>
      <c r="L325" s="1417"/>
      <c r="M325" s="1417"/>
      <c r="N325" s="1467"/>
      <c r="O325" s="1467"/>
      <c r="P325" s="1467"/>
      <c r="Q325" s="1467"/>
      <c r="R325" s="1467"/>
      <c r="S325" s="3"/>
      <c r="T325" s="3" t="s">
        <v>76</v>
      </c>
      <c r="V325" s="3"/>
      <c r="W325" s="3"/>
      <c r="X325" s="3"/>
      <c r="Y325" s="3"/>
      <c r="AA325" s="1417" t="s">
        <v>2698</v>
      </c>
      <c r="AB325" s="1417"/>
      <c r="AC325" s="1417"/>
      <c r="AD325" s="1417"/>
      <c r="AE325" s="1417"/>
      <c r="AF325" s="1417"/>
      <c r="AG325" s="1467"/>
      <c r="AH325" s="1467"/>
      <c r="AI325" s="1467"/>
      <c r="AJ325" s="1467"/>
      <c r="AK325" s="1467"/>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67" t="s">
        <v>2693</v>
      </c>
      <c r="I327" s="1467"/>
      <c r="J327" s="1467"/>
      <c r="K327" s="1467"/>
      <c r="L327" s="1467"/>
      <c r="M327" s="1467"/>
      <c r="N327" s="1467"/>
      <c r="O327" s="1467"/>
      <c r="P327" s="1467"/>
      <c r="Q327" s="1467"/>
      <c r="R327" s="1467"/>
      <c r="T327" s="3" t="s">
        <v>369</v>
      </c>
      <c r="V327" s="3"/>
      <c r="W327" s="3"/>
      <c r="X327" s="3"/>
      <c r="Y327" s="3"/>
      <c r="AA327" s="1467" t="s">
        <v>2699</v>
      </c>
      <c r="AB327" s="1467"/>
      <c r="AC327" s="1467"/>
      <c r="AD327" s="1467"/>
      <c r="AE327" s="1467"/>
      <c r="AF327" s="1467"/>
      <c r="AG327" s="1467"/>
      <c r="AH327" s="1467"/>
      <c r="AI327" s="1467"/>
      <c r="AJ327" s="1467"/>
      <c r="AK327" s="1467"/>
    </row>
    <row r="328" spans="2:66" ht="12.95" customHeight="1">
      <c r="B328" s="3" t="s">
        <v>480</v>
      </c>
      <c r="C328" s="3"/>
      <c r="D328" s="3"/>
      <c r="E328" s="3"/>
      <c r="F328" s="3"/>
      <c r="H328" s="1417" t="s">
        <v>2694</v>
      </c>
      <c r="I328" s="1417"/>
      <c r="J328" s="1417"/>
      <c r="K328" s="1417"/>
      <c r="L328" s="1417"/>
      <c r="M328" s="1417"/>
      <c r="N328" s="1417"/>
      <c r="O328" s="1417"/>
      <c r="P328" s="1417"/>
      <c r="Q328" s="1417"/>
      <c r="R328" s="1417"/>
      <c r="T328" s="3" t="s">
        <v>480</v>
      </c>
      <c r="V328" s="3"/>
      <c r="W328" s="3"/>
      <c r="X328" s="3"/>
      <c r="Y328" s="3"/>
      <c r="AA328" s="1417" t="s">
        <v>2700</v>
      </c>
      <c r="AB328" s="1417"/>
      <c r="AC328" s="1417"/>
      <c r="AD328" s="1417"/>
      <c r="AE328" s="1417"/>
      <c r="AF328" s="1417"/>
      <c r="AG328" s="1417"/>
      <c r="AH328" s="1417"/>
      <c r="AI328" s="1417"/>
      <c r="AJ328" s="1417"/>
      <c r="AK328" s="1417"/>
    </row>
    <row r="329" spans="2:66" ht="12.95" customHeight="1">
      <c r="B329" s="3" t="s">
        <v>481</v>
      </c>
      <c r="C329" s="3"/>
      <c r="D329" s="3"/>
      <c r="E329" s="3"/>
      <c r="F329" s="3"/>
      <c r="H329" s="1417" t="s">
        <v>2695</v>
      </c>
      <c r="I329" s="1417"/>
      <c r="J329" s="1417"/>
      <c r="K329" s="1417"/>
      <c r="L329" s="1417"/>
      <c r="M329" s="1417"/>
      <c r="N329" s="1417"/>
      <c r="O329" s="1417"/>
      <c r="P329" s="1417"/>
      <c r="Q329" s="1417"/>
      <c r="R329" s="1417"/>
      <c r="T329" s="3" t="s">
        <v>75</v>
      </c>
      <c r="V329" s="3"/>
      <c r="W329" s="3"/>
      <c r="X329" s="3"/>
      <c r="Y329" s="3"/>
      <c r="AA329" s="1417" t="s">
        <v>2701</v>
      </c>
      <c r="AB329" s="1417"/>
      <c r="AC329" s="1417"/>
      <c r="AD329" s="1417"/>
      <c r="AE329" s="1417"/>
      <c r="AF329" s="1417"/>
      <c r="AG329" s="1417"/>
      <c r="AH329" s="1417"/>
      <c r="AI329" s="1417"/>
      <c r="AJ329" s="1417"/>
      <c r="AK329" s="1417"/>
    </row>
    <row r="330" spans="2:66" ht="12.95" customHeight="1">
      <c r="B330" s="3" t="s">
        <v>87</v>
      </c>
      <c r="C330" s="3"/>
      <c r="D330" s="3"/>
      <c r="E330" s="3"/>
      <c r="F330" s="3"/>
      <c r="H330" s="1417" t="s">
        <v>2696</v>
      </c>
      <c r="I330" s="1417"/>
      <c r="J330" s="1417"/>
      <c r="K330" s="1417"/>
      <c r="L330" s="1417"/>
      <c r="M330" s="1417"/>
      <c r="N330" s="1417"/>
      <c r="O330" s="1417"/>
      <c r="P330" s="1417"/>
      <c r="Q330" s="1417"/>
      <c r="R330" s="1417"/>
      <c r="T330" s="3" t="s">
        <v>87</v>
      </c>
      <c r="V330" s="3"/>
      <c r="W330" s="3"/>
      <c r="X330" s="3"/>
      <c r="Y330" s="3"/>
      <c r="AA330" s="1417" t="s">
        <v>2702</v>
      </c>
      <c r="AB330" s="1417"/>
      <c r="AC330" s="1417"/>
      <c r="AD330" s="1417"/>
      <c r="AE330" s="1417"/>
      <c r="AF330" s="1417"/>
      <c r="AG330" s="1417"/>
      <c r="AH330" s="1417"/>
      <c r="AI330" s="1417"/>
      <c r="AJ330" s="1417"/>
      <c r="AK330" s="1417"/>
    </row>
    <row r="331" spans="2:66" ht="12.95" customHeight="1">
      <c r="B331" s="3" t="s">
        <v>88</v>
      </c>
      <c r="C331" s="3"/>
      <c r="D331" s="3"/>
      <c r="E331" s="3"/>
      <c r="F331" s="3"/>
      <c r="G331" s="3"/>
      <c r="H331" s="1476" t="s">
        <v>2697</v>
      </c>
      <c r="I331" s="1476"/>
      <c r="J331" s="1476"/>
      <c r="K331" s="1476"/>
      <c r="L331" s="1476"/>
      <c r="M331" s="1476"/>
      <c r="N331" s="4" t="s">
        <v>207</v>
      </c>
      <c r="O331" s="4"/>
      <c r="P331" s="1447"/>
      <c r="Q331" s="1447"/>
      <c r="R331" s="1447"/>
      <c r="S331" s="3"/>
      <c r="T331" s="3" t="s">
        <v>88</v>
      </c>
      <c r="V331" s="3"/>
      <c r="W331" s="3"/>
      <c r="X331" s="3"/>
      <c r="Y331" s="3"/>
      <c r="AA331" s="1476" t="s">
        <v>2703</v>
      </c>
      <c r="AB331" s="1476"/>
      <c r="AC331" s="1476"/>
      <c r="AD331" s="1476"/>
      <c r="AE331" s="1476"/>
      <c r="AF331" s="1476"/>
      <c r="AG331" s="4" t="s">
        <v>207</v>
      </c>
      <c r="AH331" s="4"/>
      <c r="AI331" s="1447"/>
      <c r="AJ331" s="1447"/>
      <c r="AK331" s="1447"/>
    </row>
    <row r="332" spans="2:66" ht="12.95" customHeight="1">
      <c r="B332" s="3" t="s">
        <v>89</v>
      </c>
      <c r="C332" s="3"/>
      <c r="D332" s="3"/>
      <c r="E332" s="3"/>
      <c r="F332" s="3"/>
      <c r="G332" s="3"/>
      <c r="H332" s="1466"/>
      <c r="I332" s="1466"/>
      <c r="J332" s="1466"/>
      <c r="K332" s="1466"/>
      <c r="L332" s="1466"/>
      <c r="M332" s="1466"/>
      <c r="N332" s="4"/>
      <c r="O332" s="4"/>
      <c r="P332" s="35"/>
      <c r="Q332" s="35"/>
      <c r="R332" s="35"/>
      <c r="S332" s="3"/>
      <c r="T332" s="3" t="s">
        <v>89</v>
      </c>
      <c r="V332" s="3"/>
      <c r="W332" s="3"/>
      <c r="X332" s="3"/>
      <c r="Y332" s="3"/>
      <c r="AA332" s="1466"/>
      <c r="AB332" s="1466"/>
      <c r="AC332" s="1466"/>
      <c r="AD332" s="1466"/>
      <c r="AE332" s="1466"/>
      <c r="AF332" s="1466"/>
      <c r="AG332" s="4"/>
      <c r="AH332" s="4"/>
      <c r="AI332" s="35"/>
      <c r="AJ332" s="35"/>
      <c r="AK332" s="35"/>
    </row>
    <row r="333" spans="2:66" ht="12.95" customHeight="1">
      <c r="B333" s="3" t="s">
        <v>76</v>
      </c>
      <c r="C333" s="3"/>
      <c r="D333" s="3"/>
      <c r="E333" s="3"/>
      <c r="F333" s="3"/>
      <c r="G333" s="3"/>
      <c r="H333" s="1417" t="s">
        <v>2698</v>
      </c>
      <c r="I333" s="1417"/>
      <c r="J333" s="1417"/>
      <c r="K333" s="1417"/>
      <c r="L333" s="1417"/>
      <c r="M333" s="1417"/>
      <c r="N333" s="1467"/>
      <c r="O333" s="1467"/>
      <c r="P333" s="1467"/>
      <c r="Q333" s="1467"/>
      <c r="R333" s="1467"/>
      <c r="S333" s="3"/>
      <c r="T333" s="3" t="s">
        <v>76</v>
      </c>
      <c r="V333" s="3"/>
      <c r="W333" s="3"/>
      <c r="X333" s="3"/>
      <c r="Y333" s="3"/>
      <c r="AA333" s="1417" t="s">
        <v>2704</v>
      </c>
      <c r="AB333" s="1417"/>
      <c r="AC333" s="1417"/>
      <c r="AD333" s="1417"/>
      <c r="AE333" s="1417"/>
      <c r="AF333" s="1417"/>
      <c r="AG333" s="1467"/>
      <c r="AH333" s="1467"/>
      <c r="AI333" s="1467"/>
      <c r="AJ333" s="1467"/>
      <c r="AK333" s="1467"/>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67" t="s">
        <v>2705</v>
      </c>
      <c r="I335" s="1467"/>
      <c r="J335" s="1467"/>
      <c r="K335" s="1467"/>
      <c r="L335" s="1467"/>
      <c r="M335" s="1467"/>
      <c r="N335" s="1467"/>
      <c r="O335" s="1467"/>
      <c r="P335" s="1467"/>
      <c r="Q335" s="1467"/>
      <c r="R335" s="1467"/>
      <c r="T335" s="218" t="s">
        <v>900</v>
      </c>
      <c r="V335" s="3"/>
      <c r="W335" s="3"/>
      <c r="X335" s="3"/>
      <c r="Y335" s="3"/>
      <c r="AA335" s="1467" t="s">
        <v>2711</v>
      </c>
      <c r="AB335" s="1467"/>
      <c r="AC335" s="1467"/>
      <c r="AD335" s="1467"/>
      <c r="AE335" s="1467"/>
      <c r="AF335" s="1467"/>
      <c r="AG335" s="1467"/>
      <c r="AH335" s="1467"/>
      <c r="AI335" s="1467"/>
      <c r="AJ335" s="1467"/>
      <c r="AK335" s="1467"/>
    </row>
    <row r="336" spans="2:66" ht="12.95" customHeight="1">
      <c r="B336" s="3" t="s">
        <v>480</v>
      </c>
      <c r="C336" s="3"/>
      <c r="D336" s="3"/>
      <c r="E336" s="3"/>
      <c r="F336" s="3"/>
      <c r="H336" s="1417" t="s">
        <v>2706</v>
      </c>
      <c r="I336" s="1417"/>
      <c r="J336" s="1417"/>
      <c r="K336" s="1417"/>
      <c r="L336" s="1417"/>
      <c r="M336" s="1417"/>
      <c r="N336" s="1417"/>
      <c r="O336" s="1417"/>
      <c r="P336" s="1417"/>
      <c r="Q336" s="1417"/>
      <c r="R336" s="1417"/>
      <c r="T336" s="3" t="s">
        <v>480</v>
      </c>
      <c r="V336" s="3"/>
      <c r="W336" s="3"/>
      <c r="X336" s="3"/>
      <c r="Y336" s="3"/>
      <c r="AA336" s="1417" t="s">
        <v>2662</v>
      </c>
      <c r="AB336" s="1417"/>
      <c r="AC336" s="1417"/>
      <c r="AD336" s="1417"/>
      <c r="AE336" s="1417"/>
      <c r="AF336" s="1417"/>
      <c r="AG336" s="1417"/>
      <c r="AH336" s="1417"/>
      <c r="AI336" s="1417"/>
      <c r="AJ336" s="1417"/>
      <c r="AK336" s="1417"/>
    </row>
    <row r="337" spans="1:66" ht="12.95" customHeight="1">
      <c r="B337" s="3" t="s">
        <v>75</v>
      </c>
      <c r="C337" s="3"/>
      <c r="D337" s="3"/>
      <c r="E337" s="3"/>
      <c r="F337" s="3"/>
      <c r="H337" s="1417" t="s">
        <v>2707</v>
      </c>
      <c r="I337" s="1417"/>
      <c r="J337" s="1417"/>
      <c r="K337" s="1417"/>
      <c r="L337" s="1417"/>
      <c r="M337" s="1417"/>
      <c r="N337" s="1417"/>
      <c r="O337" s="1417"/>
      <c r="P337" s="1417"/>
      <c r="Q337" s="1417"/>
      <c r="R337" s="1417"/>
      <c r="T337" s="3" t="s">
        <v>75</v>
      </c>
      <c r="V337" s="3"/>
      <c r="W337" s="3"/>
      <c r="X337" s="3"/>
      <c r="Y337" s="3"/>
      <c r="AA337" s="1417" t="s">
        <v>2663</v>
      </c>
      <c r="AB337" s="1417"/>
      <c r="AC337" s="1417"/>
      <c r="AD337" s="1417"/>
      <c r="AE337" s="1417"/>
      <c r="AF337" s="1417"/>
      <c r="AG337" s="1417"/>
      <c r="AH337" s="1417"/>
      <c r="AI337" s="1417"/>
      <c r="AJ337" s="1417"/>
      <c r="AK337" s="1417"/>
    </row>
    <row r="338" spans="1:66" ht="12.95" customHeight="1">
      <c r="B338" s="3" t="s">
        <v>87</v>
      </c>
      <c r="C338" s="3"/>
      <c r="D338" s="3"/>
      <c r="E338" s="3"/>
      <c r="F338" s="3"/>
      <c r="G338" s="3"/>
      <c r="H338" s="1417" t="s">
        <v>2708</v>
      </c>
      <c r="I338" s="1417"/>
      <c r="J338" s="1417"/>
      <c r="K338" s="1417"/>
      <c r="L338" s="1417"/>
      <c r="M338" s="1417"/>
      <c r="N338" s="1417"/>
      <c r="O338" s="1417"/>
      <c r="P338" s="1417"/>
      <c r="Q338" s="1417"/>
      <c r="R338" s="1417"/>
      <c r="T338" s="3" t="s">
        <v>87</v>
      </c>
      <c r="V338" s="3"/>
      <c r="W338" s="3"/>
      <c r="X338" s="3"/>
      <c r="Y338" s="3"/>
      <c r="AA338" s="1417" t="s">
        <v>2664</v>
      </c>
      <c r="AB338" s="1417"/>
      <c r="AC338" s="1417"/>
      <c r="AD338" s="1417"/>
      <c r="AE338" s="1417"/>
      <c r="AF338" s="1417"/>
      <c r="AG338" s="1417"/>
      <c r="AH338" s="1417"/>
      <c r="AI338" s="1417"/>
      <c r="AJ338" s="1417"/>
      <c r="AK338" s="1417"/>
    </row>
    <row r="339" spans="1:66" ht="12.95" customHeight="1">
      <c r="B339" s="3" t="s">
        <v>88</v>
      </c>
      <c r="C339" s="3"/>
      <c r="D339" s="3"/>
      <c r="E339" s="3"/>
      <c r="F339" s="3"/>
      <c r="G339" s="3"/>
      <c r="H339" s="1476" t="s">
        <v>2709</v>
      </c>
      <c r="I339" s="1476"/>
      <c r="J339" s="1476"/>
      <c r="K339" s="1476"/>
      <c r="L339" s="1476"/>
      <c r="M339" s="1476"/>
      <c r="N339" s="4" t="s">
        <v>207</v>
      </c>
      <c r="O339" s="4"/>
      <c r="P339" s="1447"/>
      <c r="Q339" s="1447"/>
      <c r="R339" s="1447"/>
      <c r="S339" s="3"/>
      <c r="T339" s="3" t="s">
        <v>88</v>
      </c>
      <c r="V339" s="3"/>
      <c r="W339" s="3"/>
      <c r="X339" s="3"/>
      <c r="Y339" s="3"/>
      <c r="AA339" s="1476" t="s">
        <v>2665</v>
      </c>
      <c r="AB339" s="1476"/>
      <c r="AC339" s="1476"/>
      <c r="AD339" s="1476"/>
      <c r="AE339" s="1476"/>
      <c r="AF339" s="1476"/>
      <c r="AG339" s="4" t="s">
        <v>207</v>
      </c>
      <c r="AH339" s="4"/>
      <c r="AI339" s="1447"/>
      <c r="AJ339" s="1447"/>
      <c r="AK339" s="1447"/>
    </row>
    <row r="340" spans="1:66" ht="12.95" customHeight="1">
      <c r="B340" s="3" t="s">
        <v>89</v>
      </c>
      <c r="C340" s="3"/>
      <c r="D340" s="3"/>
      <c r="E340" s="3"/>
      <c r="F340" s="3"/>
      <c r="G340" s="3"/>
      <c r="H340" s="1466"/>
      <c r="I340" s="1466"/>
      <c r="J340" s="1466"/>
      <c r="K340" s="1466"/>
      <c r="L340" s="1466"/>
      <c r="M340" s="1466"/>
      <c r="N340" s="4"/>
      <c r="O340" s="4"/>
      <c r="P340" s="35"/>
      <c r="Q340" s="35"/>
      <c r="R340" s="35"/>
      <c r="S340" s="3"/>
      <c r="T340" s="3" t="s">
        <v>89</v>
      </c>
      <c r="V340" s="3"/>
      <c r="W340" s="3"/>
      <c r="X340" s="3"/>
      <c r="Y340" s="3"/>
      <c r="AA340" s="1466"/>
      <c r="AB340" s="1466"/>
      <c r="AC340" s="1466"/>
      <c r="AD340" s="1466"/>
      <c r="AE340" s="1466"/>
      <c r="AF340" s="1466"/>
      <c r="AG340" s="4"/>
      <c r="AH340" s="4"/>
      <c r="AI340" s="35"/>
      <c r="AJ340" s="35"/>
      <c r="AK340" s="35"/>
    </row>
    <row r="341" spans="1:66" ht="12.95" customHeight="1">
      <c r="B341" s="3" t="s">
        <v>76</v>
      </c>
      <c r="C341" s="3"/>
      <c r="D341" s="3"/>
      <c r="E341" s="3"/>
      <c r="F341" s="3"/>
      <c r="G341" s="3"/>
      <c r="H341" s="1417" t="s">
        <v>2710</v>
      </c>
      <c r="I341" s="1417"/>
      <c r="J341" s="1417"/>
      <c r="K341" s="1417"/>
      <c r="L341" s="1417"/>
      <c r="M341" s="1417"/>
      <c r="N341" s="1467"/>
      <c r="O341" s="1467"/>
      <c r="P341" s="1467"/>
      <c r="Q341" s="1467"/>
      <c r="R341" s="1467"/>
      <c r="S341" s="3"/>
      <c r="T341" s="3" t="s">
        <v>76</v>
      </c>
      <c r="V341" s="3"/>
      <c r="W341" s="3"/>
      <c r="X341" s="3"/>
      <c r="Y341" s="3"/>
      <c r="AA341" s="1417" t="s">
        <v>2666</v>
      </c>
      <c r="AB341" s="1417"/>
      <c r="AC341" s="1417"/>
      <c r="AD341" s="1417"/>
      <c r="AE341" s="1417"/>
      <c r="AF341" s="1417"/>
      <c r="AG341" s="1467"/>
      <c r="AH341" s="1467"/>
      <c r="AI341" s="1467"/>
      <c r="AJ341" s="1467"/>
      <c r="AK341" s="146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467"/>
      <c r="Q343" s="1467"/>
      <c r="R343" s="1467"/>
      <c r="S343" s="1467"/>
      <c r="T343" s="1467"/>
      <c r="U343" s="1467"/>
      <c r="V343" s="1467"/>
      <c r="W343" s="1467"/>
      <c r="X343" s="1467"/>
      <c r="Y343" s="1467"/>
      <c r="Z343" s="1467"/>
      <c r="AA343" s="1467"/>
      <c r="AB343" s="1467"/>
      <c r="AC343" s="1467"/>
      <c r="AD343" s="1467"/>
      <c r="AE343" s="1467"/>
      <c r="BN343" t="s">
        <v>678</v>
      </c>
    </row>
    <row r="344" spans="1:66" ht="12.95" customHeight="1">
      <c r="B344" s="4"/>
      <c r="C344" s="4"/>
      <c r="D344" s="4"/>
      <c r="E344" s="4"/>
      <c r="F344" s="4"/>
      <c r="I344" s="4" t="s">
        <v>480</v>
      </c>
      <c r="P344" s="1417"/>
      <c r="Q344" s="1417"/>
      <c r="R344" s="1417"/>
      <c r="S344" s="1417"/>
      <c r="T344" s="1417"/>
      <c r="U344" s="1417"/>
      <c r="V344" s="1417"/>
      <c r="W344" s="1417"/>
      <c r="X344" s="1417"/>
      <c r="Y344" s="1417"/>
      <c r="Z344" s="1417"/>
      <c r="AA344" s="1417"/>
      <c r="AB344" s="1417"/>
      <c r="AC344" s="1417"/>
      <c r="AD344" s="1417"/>
      <c r="AE344" s="1417"/>
      <c r="BN344" t="s">
        <v>554</v>
      </c>
    </row>
    <row r="345" spans="1:66" ht="12.95" customHeight="1">
      <c r="B345" s="4"/>
      <c r="C345" s="4"/>
      <c r="D345" s="4"/>
      <c r="E345" s="4"/>
      <c r="F345" s="4"/>
      <c r="I345" s="4" t="s">
        <v>75</v>
      </c>
      <c r="P345" s="1417"/>
      <c r="Q345" s="1417"/>
      <c r="R345" s="1417"/>
      <c r="S345" s="1417"/>
      <c r="T345" s="1417"/>
      <c r="U345" s="1417"/>
      <c r="V345" s="1417"/>
      <c r="W345" s="1417"/>
      <c r="X345" s="1417"/>
      <c r="Y345" s="1417"/>
      <c r="Z345" s="1417"/>
      <c r="AA345" s="1417"/>
      <c r="AB345" s="1417"/>
      <c r="AC345" s="1417"/>
      <c r="AD345" s="1417"/>
      <c r="AE345" s="1417"/>
    </row>
    <row r="346" spans="1:66" ht="12.95" customHeight="1">
      <c r="B346" s="4"/>
      <c r="C346" s="4"/>
      <c r="D346" s="4"/>
      <c r="E346" s="4"/>
      <c r="F346" s="4"/>
      <c r="G346" s="4"/>
      <c r="I346" s="4" t="s">
        <v>87</v>
      </c>
      <c r="P346" s="1417"/>
      <c r="Q346" s="1417"/>
      <c r="R346" s="1417"/>
      <c r="S346" s="1417"/>
      <c r="T346" s="1417"/>
      <c r="U346" s="1417"/>
      <c r="V346" s="1417"/>
      <c r="W346" s="1417"/>
      <c r="X346" s="1417"/>
      <c r="Y346" s="1417"/>
      <c r="Z346" s="1417"/>
      <c r="AA346" s="1417"/>
      <c r="AB346" s="1417"/>
      <c r="AC346" s="1417"/>
      <c r="AD346" s="1417"/>
      <c r="AE346" s="1417"/>
    </row>
    <row r="347" spans="1:66" ht="12.95" customHeight="1">
      <c r="B347" s="4"/>
      <c r="C347" s="4"/>
      <c r="D347" s="4"/>
      <c r="E347" s="4"/>
      <c r="F347" s="4"/>
      <c r="G347" s="4"/>
      <c r="H347" s="324"/>
      <c r="I347" s="4" t="s">
        <v>88</v>
      </c>
      <c r="P347" s="1466"/>
      <c r="Q347" s="1466"/>
      <c r="R347" s="1466"/>
      <c r="S347" s="1466"/>
      <c r="T347" s="1466"/>
      <c r="U347" s="1466"/>
      <c r="V347" s="1466"/>
      <c r="W347" s="1466"/>
      <c r="X347" s="1466"/>
      <c r="Y347" s="1466"/>
      <c r="Z347" s="1466"/>
      <c r="AA347" s="4" t="s">
        <v>207</v>
      </c>
      <c r="AB347" s="4"/>
      <c r="AC347" s="1406"/>
      <c r="AD347" s="1406"/>
      <c r="AE347" s="1406"/>
      <c r="AF347" s="324"/>
      <c r="AG347" s="4"/>
      <c r="AH347" s="4"/>
      <c r="AI347" s="4"/>
      <c r="AJ347" s="4"/>
      <c r="AK347" s="4"/>
    </row>
    <row r="348" spans="1:66" ht="12.95" customHeight="1">
      <c r="B348" s="4"/>
      <c r="C348" s="4"/>
      <c r="D348" s="4"/>
      <c r="E348" s="4"/>
      <c r="F348" s="4"/>
      <c r="G348" s="4"/>
      <c r="H348" s="324"/>
      <c r="I348" s="4" t="s">
        <v>89</v>
      </c>
      <c r="P348" s="1466"/>
      <c r="Q348" s="1466"/>
      <c r="R348" s="1466"/>
      <c r="S348" s="1466"/>
      <c r="T348" s="1466"/>
      <c r="U348" s="1466"/>
      <c r="V348" s="1466"/>
      <c r="W348" s="1466"/>
      <c r="X348" s="1466"/>
      <c r="Y348" s="1466"/>
      <c r="Z348" s="1466"/>
      <c r="AF348" s="324"/>
      <c r="AG348" s="4"/>
      <c r="AH348" s="4"/>
      <c r="AI348" s="35"/>
      <c r="AJ348" s="35"/>
      <c r="AK348" s="35"/>
    </row>
    <row r="349" spans="1:66" ht="12.95" customHeight="1">
      <c r="B349" s="4"/>
      <c r="C349" s="4"/>
      <c r="D349" s="4"/>
      <c r="E349" s="4"/>
      <c r="F349" s="4"/>
      <c r="G349" s="4"/>
      <c r="I349" s="4" t="s">
        <v>76</v>
      </c>
      <c r="P349" s="1467"/>
      <c r="Q349" s="1467"/>
      <c r="R349" s="1467"/>
      <c r="S349" s="1467"/>
      <c r="T349" s="1467"/>
      <c r="U349" s="1467"/>
      <c r="V349" s="1467"/>
      <c r="W349" s="1467"/>
      <c r="X349" s="1467"/>
      <c r="Y349" s="1467"/>
      <c r="Z349" s="1467"/>
      <c r="AA349" s="1467"/>
      <c r="AB349" s="1467"/>
      <c r="AC349" s="1467"/>
      <c r="AD349" s="1467"/>
      <c r="AE349" s="1467"/>
    </row>
    <row r="350" spans="1:66" ht="12.95" customHeight="1">
      <c r="T350" s="8"/>
      <c r="U350" s="8"/>
      <c r="V350" s="8"/>
      <c r="W350" s="8"/>
      <c r="X350" s="8"/>
      <c r="Y350" s="8"/>
      <c r="Z350" s="8"/>
      <c r="AU350" s="95"/>
      <c r="AV350" s="95"/>
      <c r="AW350" s="95"/>
      <c r="AX350" s="95"/>
      <c r="AY350" s="95"/>
    </row>
    <row r="351" spans="1:66" ht="12.95" customHeight="1">
      <c r="A351" s="1473" t="s">
        <v>551</v>
      </c>
      <c r="B351" s="1473"/>
      <c r="C351" s="1473"/>
      <c r="D351" s="1473"/>
      <c r="E351" s="1473"/>
      <c r="F351" s="1473"/>
      <c r="G351" s="1473"/>
      <c r="H351" s="1473"/>
      <c r="I351" s="1473"/>
      <c r="J351" s="1473"/>
      <c r="K351" s="1473"/>
      <c r="L351" s="1473"/>
      <c r="M351" s="1473"/>
      <c r="N351" s="1473"/>
      <c r="O351" s="1473"/>
      <c r="P351" s="1473"/>
      <c r="Q351" s="1473"/>
      <c r="R351" s="1473"/>
      <c r="S351" s="1473"/>
      <c r="T351" s="1473"/>
      <c r="U351" s="1473"/>
      <c r="V351" s="1473"/>
      <c r="W351" s="1473"/>
      <c r="X351" s="1473"/>
      <c r="Y351" s="1473"/>
      <c r="Z351" s="1473"/>
      <c r="AA351" s="1473"/>
      <c r="AB351" s="1473"/>
      <c r="AC351" s="1473"/>
      <c r="AD351" s="1473"/>
      <c r="AE351" s="1473"/>
      <c r="AF351" s="1473"/>
      <c r="AG351" s="1473"/>
      <c r="AH351" s="1473"/>
      <c r="AI351" s="1473"/>
      <c r="AJ351" s="1473"/>
      <c r="AK351" s="1473"/>
      <c r="AL351" s="1473"/>
      <c r="AM351" s="1473"/>
      <c r="AN351" s="1473"/>
      <c r="AO351" s="1473"/>
      <c r="AP351" s="1473"/>
      <c r="AQ351" s="1473"/>
      <c r="AR351" s="1473"/>
      <c r="AS351" s="1473"/>
      <c r="AT351" s="1473"/>
      <c r="AU351" s="95"/>
      <c r="AV351" s="95"/>
      <c r="AW351" s="95"/>
      <c r="AX351" s="95"/>
      <c r="AY351" s="95"/>
    </row>
    <row r="352" spans="1:66" ht="12.95" customHeight="1">
      <c r="A352" s="1473"/>
      <c r="B352" s="1473"/>
      <c r="C352" s="1473"/>
      <c r="D352" s="1473"/>
      <c r="E352" s="1473"/>
      <c r="F352" s="1473"/>
      <c r="G352" s="1473"/>
      <c r="H352" s="1473"/>
      <c r="I352" s="1473"/>
      <c r="J352" s="1473"/>
      <c r="K352" s="1473"/>
      <c r="L352" s="1473"/>
      <c r="M352" s="1473"/>
      <c r="N352" s="1473"/>
      <c r="O352" s="1473"/>
      <c r="P352" s="1473"/>
      <c r="Q352" s="1473"/>
      <c r="R352" s="1473"/>
      <c r="S352" s="1473"/>
      <c r="T352" s="1473"/>
      <c r="U352" s="1473"/>
      <c r="V352" s="1473"/>
      <c r="W352" s="1473"/>
      <c r="X352" s="1473"/>
      <c r="Y352" s="1473"/>
      <c r="Z352" s="1473"/>
      <c r="AA352" s="1473"/>
      <c r="AB352" s="1473"/>
      <c r="AC352" s="1473"/>
      <c r="AD352" s="1473"/>
      <c r="AE352" s="1473"/>
      <c r="AF352" s="1473"/>
      <c r="AG352" s="1473"/>
      <c r="AH352" s="1473"/>
      <c r="AI352" s="1473"/>
      <c r="AJ352" s="1473"/>
      <c r="AK352" s="1473"/>
      <c r="AL352" s="1473"/>
      <c r="AM352" s="1473"/>
      <c r="AN352" s="1473"/>
      <c r="AO352" s="1473"/>
      <c r="AP352" s="1473"/>
      <c r="AQ352" s="1473"/>
      <c r="AR352" s="1473"/>
      <c r="AS352" s="1473"/>
      <c r="AT352" s="147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428" t="s">
        <v>600</v>
      </c>
      <c r="N355" s="1428"/>
      <c r="P355" t="s">
        <v>1762</v>
      </c>
      <c r="AJ355" s="1428" t="s">
        <v>600</v>
      </c>
      <c r="AK355" s="1428"/>
    </row>
    <row r="356" spans="1:46" ht="12.95" customHeight="1">
      <c r="D356" s="3" t="s">
        <v>1751</v>
      </c>
      <c r="M356" s="1428" t="s">
        <v>600</v>
      </c>
      <c r="N356" s="1428"/>
      <c r="P356" s="3" t="s">
        <v>1908</v>
      </c>
      <c r="AJ356" s="1391"/>
      <c r="AK356" s="1391"/>
    </row>
    <row r="357" spans="1:46" ht="12.95" customHeight="1">
      <c r="D357" s="3" t="s">
        <v>714</v>
      </c>
      <c r="M357" s="1428" t="s">
        <v>600</v>
      </c>
      <c r="N357" s="1428"/>
      <c r="P357" t="s">
        <v>1761</v>
      </c>
      <c r="AJ357" s="1428" t="s">
        <v>554</v>
      </c>
      <c r="AK357" s="1428"/>
    </row>
    <row r="358" spans="1:46" ht="12.95" customHeight="1">
      <c r="D358" s="3" t="s">
        <v>715</v>
      </c>
      <c r="M358" s="1428" t="s">
        <v>554</v>
      </c>
      <c r="N358" s="1428"/>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28" t="s">
        <v>600</v>
      </c>
      <c r="O363" s="1428"/>
      <c r="P363" s="40"/>
      <c r="Q363" s="40"/>
      <c r="R363" s="40"/>
      <c r="S363" s="40"/>
      <c r="T363" s="40"/>
      <c r="U363" s="40"/>
      <c r="V363" s="40"/>
      <c r="W363" s="40"/>
      <c r="X363" s="40"/>
      <c r="Y363" s="40"/>
      <c r="Z363" s="40"/>
      <c r="AC363" s="40"/>
      <c r="AD363" s="40"/>
      <c r="AE363" s="40"/>
    </row>
    <row r="364" spans="1:46" ht="12.95" customHeight="1">
      <c r="E364" t="s">
        <v>371</v>
      </c>
      <c r="Y364" s="1428" t="s">
        <v>600</v>
      </c>
      <c r="Z364" s="1428"/>
    </row>
    <row r="365" spans="1:46" ht="12.95" customHeight="1">
      <c r="D365" s="4" t="s">
        <v>998</v>
      </c>
      <c r="Q365" s="1467" t="s">
        <v>2712</v>
      </c>
      <c r="R365" s="1467"/>
      <c r="S365" s="1467"/>
      <c r="T365" s="1467"/>
      <c r="U365" s="1467"/>
      <c r="V365" s="1467"/>
      <c r="W365" s="1467"/>
      <c r="X365" s="1467"/>
      <c r="Y365" s="1467"/>
      <c r="Z365" s="1467"/>
      <c r="AA365" s="1467"/>
      <c r="AB365" s="1467"/>
      <c r="AC365" s="1467"/>
      <c r="AD365" s="1467"/>
      <c r="AE365" s="1467"/>
      <c r="AF365" s="1467"/>
      <c r="AG365" s="1467"/>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28" t="s">
        <v>554</v>
      </c>
      <c r="K367" s="1428"/>
      <c r="L367" s="40"/>
      <c r="M367" s="40"/>
      <c r="N367" s="40"/>
      <c r="O367" s="40"/>
      <c r="P367" s="40"/>
      <c r="Q367" s="40"/>
      <c r="R367" s="40"/>
      <c r="S367" s="40"/>
      <c r="T367" s="40"/>
      <c r="U367" s="40"/>
      <c r="V367" s="40"/>
      <c r="W367" s="40"/>
      <c r="X367" s="40"/>
      <c r="Y367" s="40"/>
      <c r="Z367" s="40"/>
      <c r="AC367" s="40"/>
      <c r="AD367" s="40"/>
      <c r="AE367" s="40"/>
    </row>
    <row r="368" spans="1:46" ht="12.95" customHeight="1">
      <c r="E368" s="1569" t="s">
        <v>716</v>
      </c>
      <c r="F368" s="1569"/>
      <c r="G368" s="1569"/>
      <c r="H368" s="1569"/>
      <c r="I368" s="1569"/>
      <c r="J368" s="1569"/>
      <c r="K368" s="1569"/>
      <c r="L368" s="1569"/>
      <c r="M368" s="1569"/>
      <c r="N368" s="1569"/>
      <c r="O368" s="1569"/>
      <c r="P368" s="1569"/>
      <c r="Q368" s="1569"/>
      <c r="R368" s="1569"/>
      <c r="S368" s="1569"/>
      <c r="T368" s="1569"/>
      <c r="U368" s="1569"/>
      <c r="V368" s="1569"/>
      <c r="W368" s="1569"/>
      <c r="X368" s="1569"/>
      <c r="Y368" s="1569"/>
      <c r="Z368" s="1569"/>
      <c r="AA368" s="1569"/>
      <c r="AB368" s="1569"/>
      <c r="AC368" s="1569"/>
      <c r="AD368" s="1569"/>
      <c r="AE368" s="1569"/>
      <c r="AF368" s="1569"/>
      <c r="AG368" s="1569"/>
      <c r="AH368" s="1569"/>
    </row>
    <row r="369" spans="1:34" ht="12.95" customHeight="1">
      <c r="E369" s="1569"/>
      <c r="F369" s="1569"/>
      <c r="G369" s="1569"/>
      <c r="H369" s="1569"/>
      <c r="I369" s="1569"/>
      <c r="J369" s="1569"/>
      <c r="K369" s="1569"/>
      <c r="L369" s="1569"/>
      <c r="M369" s="1569"/>
      <c r="N369" s="1569"/>
      <c r="O369" s="1569"/>
      <c r="P369" s="1569"/>
      <c r="Q369" s="1569"/>
      <c r="R369" s="1569"/>
      <c r="S369" s="1569"/>
      <c r="T369" s="1569"/>
      <c r="U369" s="1569"/>
      <c r="V369" s="1569"/>
      <c r="W369" s="1569"/>
      <c r="X369" s="1569"/>
      <c r="Y369" s="1569"/>
      <c r="Z369" s="1569"/>
      <c r="AA369" s="1569"/>
      <c r="AB369" s="1569"/>
      <c r="AC369" s="1569"/>
      <c r="AD369" s="1569"/>
      <c r="AE369" s="1569"/>
      <c r="AF369" s="1569"/>
      <c r="AG369" s="1569"/>
      <c r="AH369" s="1569"/>
    </row>
    <row r="370" spans="1:34" ht="12.95" customHeight="1">
      <c r="E370" s="4" t="s">
        <v>457</v>
      </c>
      <c r="F370" s="4"/>
      <c r="G370" s="4"/>
      <c r="H370" s="4"/>
      <c r="I370" s="4"/>
      <c r="J370" s="4"/>
      <c r="K370" s="4"/>
      <c r="L370" s="4"/>
      <c r="N370" s="1398">
        <v>53</v>
      </c>
      <c r="O370" s="1398"/>
      <c r="P370" s="1398"/>
      <c r="Q370" s="1398"/>
      <c r="R370" s="4"/>
      <c r="U370" s="4" t="s">
        <v>458</v>
      </c>
      <c r="V370" s="4"/>
      <c r="W370" s="4"/>
      <c r="X370" s="4"/>
      <c r="Y370" s="4"/>
      <c r="Z370" s="4"/>
      <c r="AA370" s="4"/>
      <c r="AB370" s="4"/>
      <c r="AC370" s="1398">
        <v>19</v>
      </c>
      <c r="AD370" s="1398"/>
      <c r="AE370" s="1398"/>
      <c r="AF370" s="1398"/>
    </row>
    <row r="371" spans="1:34" ht="12.95" customHeight="1">
      <c r="E371" s="4" t="s">
        <v>459</v>
      </c>
      <c r="F371" s="4"/>
      <c r="G371" s="4"/>
      <c r="H371" s="4"/>
      <c r="I371" s="4"/>
      <c r="J371" s="4"/>
      <c r="K371" s="4"/>
      <c r="L371" s="4"/>
      <c r="N371" s="1398">
        <v>18</v>
      </c>
      <c r="O371" s="1398"/>
      <c r="P371" s="1398"/>
      <c r="Q371" s="1398"/>
      <c r="R371" s="4"/>
      <c r="U371" s="4" t="s">
        <v>0</v>
      </c>
      <c r="V371" s="4"/>
      <c r="W371" s="4"/>
      <c r="X371" s="4"/>
      <c r="Y371" s="4"/>
      <c r="Z371" s="4"/>
      <c r="AA371" s="4"/>
      <c r="AB371" s="4"/>
      <c r="AC371" s="1398"/>
      <c r="AD371" s="1398"/>
      <c r="AE371" s="1398"/>
      <c r="AF371" s="1398"/>
    </row>
    <row r="372" spans="1:34" ht="12.95" customHeight="1">
      <c r="E372" s="4" t="s">
        <v>1</v>
      </c>
      <c r="F372" s="4"/>
      <c r="G372" s="4"/>
      <c r="H372" s="4"/>
      <c r="I372" s="4"/>
      <c r="J372" s="4"/>
      <c r="K372" s="4"/>
      <c r="L372" s="4"/>
      <c r="N372" s="1398">
        <v>2</v>
      </c>
      <c r="O372" s="1398"/>
      <c r="P372" s="1398"/>
      <c r="Q372" s="1398"/>
      <c r="R372" s="4"/>
      <c r="V372" s="4"/>
      <c r="W372" s="4"/>
      <c r="X372" s="4"/>
      <c r="Y372" s="4"/>
      <c r="Z372" s="4"/>
      <c r="AA372" s="4"/>
      <c r="AB372" s="4"/>
    </row>
    <row r="373" spans="1:34" ht="12.95" customHeight="1">
      <c r="E373" s="4" t="s">
        <v>2</v>
      </c>
      <c r="F373" s="4"/>
      <c r="G373" s="4"/>
      <c r="H373" s="4"/>
      <c r="I373" s="4"/>
      <c r="J373" s="4"/>
      <c r="K373" s="4"/>
      <c r="L373" s="4"/>
      <c r="N373" s="1470" t="s">
        <v>2713</v>
      </c>
      <c r="O373" s="1471"/>
      <c r="P373" s="1471"/>
      <c r="Q373" s="1471"/>
      <c r="R373" s="1471"/>
      <c r="S373" s="1471"/>
      <c r="T373" s="1471"/>
      <c r="U373" s="1471"/>
      <c r="V373" s="1471"/>
      <c r="W373" s="1471"/>
      <c r="X373" s="1471"/>
      <c r="Y373" s="1471"/>
      <c r="Z373" s="1471"/>
      <c r="AA373" s="1471"/>
      <c r="AB373" s="1471"/>
      <c r="AC373" s="1471"/>
      <c r="AD373" s="1471"/>
      <c r="AE373" s="1471"/>
      <c r="AF373" s="1471"/>
    </row>
    <row r="374" spans="1:34" ht="12.95" customHeight="1">
      <c r="E374" s="4"/>
      <c r="F374" s="4"/>
      <c r="G374" s="4"/>
      <c r="H374" s="4"/>
      <c r="I374" s="4"/>
      <c r="J374" s="4"/>
      <c r="K374" s="4"/>
      <c r="L374" s="4"/>
      <c r="N374" s="1472"/>
      <c r="O374" s="1472"/>
      <c r="P374" s="1472"/>
      <c r="Q374" s="1472"/>
      <c r="R374" s="1472"/>
      <c r="S374" s="1472"/>
      <c r="T374" s="1472"/>
      <c r="U374" s="1472"/>
      <c r="V374" s="1472"/>
      <c r="W374" s="1472"/>
      <c r="X374" s="1472"/>
      <c r="Y374" s="1472"/>
      <c r="Z374" s="1472"/>
      <c r="AA374" s="1472"/>
      <c r="AB374" s="1472"/>
      <c r="AC374" s="1472"/>
      <c r="AD374" s="1472"/>
      <c r="AE374" s="1472"/>
      <c r="AF374" s="1472"/>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461">
        <v>2008</v>
      </c>
      <c r="T377" s="1461"/>
      <c r="U377" s="1" t="s">
        <v>307</v>
      </c>
      <c r="V377" s="1461">
        <v>956</v>
      </c>
      <c r="W377" s="1461"/>
      <c r="Y377" t="s">
        <v>2395</v>
      </c>
      <c r="AC377" s="27" t="s">
        <v>306</v>
      </c>
      <c r="AD377" s="1461"/>
      <c r="AE377" s="1461"/>
      <c r="AF377" s="1" t="s">
        <v>307</v>
      </c>
      <c r="AG377" s="1461"/>
      <c r="AH377" s="1461"/>
    </row>
    <row r="378" spans="1:34" ht="12.95" customHeight="1">
      <c r="E378" s="4" t="s">
        <v>1012</v>
      </c>
      <c r="F378" s="4"/>
      <c r="G378" s="4"/>
      <c r="H378" s="4"/>
      <c r="I378" s="4"/>
      <c r="J378" s="4"/>
      <c r="K378" s="4"/>
      <c r="L378" s="4"/>
      <c r="N378" s="1461">
        <v>2008</v>
      </c>
      <c r="O378" s="1461"/>
      <c r="P378" s="1461"/>
    </row>
    <row r="379" spans="1:34" ht="12.95" customHeight="1">
      <c r="E379" s="218" t="s">
        <v>2401</v>
      </c>
      <c r="F379" s="4"/>
      <c r="G379" s="4"/>
      <c r="H379" s="4"/>
      <c r="I379" s="4"/>
      <c r="J379" s="4"/>
      <c r="K379" s="4"/>
      <c r="L379" s="4"/>
      <c r="AG379" s="1546" t="s">
        <v>554</v>
      </c>
      <c r="AH379" s="1546"/>
    </row>
    <row r="380" spans="1:34" ht="12.95" customHeight="1">
      <c r="E380" s="4"/>
      <c r="F380" s="4"/>
      <c r="G380" s="4" t="s">
        <v>2402</v>
      </c>
      <c r="H380" s="4"/>
      <c r="I380" s="4"/>
      <c r="J380" s="4"/>
      <c r="K380" s="4"/>
      <c r="L380" s="4"/>
      <c r="AG380" s="1546" t="s">
        <v>600</v>
      </c>
      <c r="AH380" s="1546"/>
    </row>
    <row r="381" spans="1:34" ht="12.95" customHeight="1">
      <c r="E381" s="4"/>
      <c r="F381" s="4"/>
      <c r="G381" s="348" t="s">
        <v>1013</v>
      </c>
      <c r="H381" s="4"/>
      <c r="I381" s="4"/>
      <c r="J381" s="4"/>
      <c r="K381" s="4"/>
      <c r="L381" s="4"/>
      <c r="V381" s="1428" t="s">
        <v>678</v>
      </c>
      <c r="W381" s="1428"/>
      <c r="Y381" s="22" t="s">
        <v>1000</v>
      </c>
    </row>
    <row r="382" spans="1:34" ht="12.95" customHeight="1">
      <c r="E382" s="4" t="s">
        <v>1001</v>
      </c>
      <c r="F382" s="4"/>
      <c r="G382" s="4"/>
      <c r="H382" s="4"/>
      <c r="I382" s="4"/>
      <c r="J382" s="4"/>
      <c r="K382" s="4"/>
      <c r="L382" s="4"/>
      <c r="V382" s="1428" t="s">
        <v>600</v>
      </c>
      <c r="W382" s="1428"/>
      <c r="Y382" s="4" t="s">
        <v>1002</v>
      </c>
    </row>
    <row r="383" spans="1:34" ht="12.95" customHeight="1"/>
    <row r="384" spans="1:34" ht="12.95" customHeight="1">
      <c r="A384" s="2" t="s">
        <v>78</v>
      </c>
      <c r="B384" s="2"/>
    </row>
    <row r="385" spans="4:36" ht="12.95" customHeight="1">
      <c r="D385" t="s">
        <v>429</v>
      </c>
      <c r="J385" s="1467" t="s">
        <v>2751</v>
      </c>
      <c r="K385" s="1467"/>
      <c r="L385" s="1467"/>
      <c r="M385" s="1467"/>
      <c r="N385" s="1467"/>
      <c r="O385" s="1467"/>
      <c r="P385" s="1467"/>
      <c r="Q385" s="1467"/>
      <c r="R385" s="1467"/>
      <c r="S385" s="1467"/>
      <c r="T385" s="1467"/>
      <c r="U385" s="1467"/>
      <c r="V385" s="8" t="s">
        <v>83</v>
      </c>
      <c r="W385" s="8"/>
      <c r="X385" s="8"/>
      <c r="Y385" s="8"/>
      <c r="Z385" s="8"/>
      <c r="AA385" s="8"/>
      <c r="AB385" s="8"/>
      <c r="AC385" s="1467"/>
      <c r="AD385" s="1467"/>
      <c r="AE385" s="1467"/>
      <c r="AF385" s="1467"/>
      <c r="AG385" s="1467"/>
      <c r="AH385" s="1467"/>
      <c r="AI385" s="1467"/>
      <c r="AJ385" s="1467"/>
    </row>
    <row r="386" spans="4:36" ht="12.95" customHeight="1">
      <c r="D386" s="3" t="s">
        <v>1289</v>
      </c>
      <c r="J386" s="1417" t="s">
        <v>2752</v>
      </c>
      <c r="K386" s="1417"/>
      <c r="L386" s="1417"/>
      <c r="M386" s="1417"/>
      <c r="N386" s="1417"/>
      <c r="O386" s="1417"/>
      <c r="P386" s="1417"/>
      <c r="Q386" s="1417"/>
      <c r="R386" s="1417"/>
      <c r="S386" s="1417"/>
      <c r="T386" s="1417"/>
      <c r="U386" s="1417"/>
      <c r="V386" s="3" t="s">
        <v>1289</v>
      </c>
      <c r="W386" s="8"/>
      <c r="X386" s="8"/>
      <c r="Y386" s="8"/>
      <c r="Z386" s="8"/>
      <c r="AA386" s="8"/>
      <c r="AB386" s="8"/>
      <c r="AC386" s="1467"/>
      <c r="AD386" s="1467"/>
      <c r="AE386" s="1467"/>
      <c r="AF386" s="1467"/>
      <c r="AG386" s="1467"/>
      <c r="AH386" s="1467"/>
      <c r="AI386" s="1467"/>
      <c r="AJ386" s="1467"/>
    </row>
    <row r="387" spans="4:36" ht="12.95" customHeight="1">
      <c r="D387" s="3" t="s">
        <v>444</v>
      </c>
      <c r="J387" s="1417" t="s">
        <v>2753</v>
      </c>
      <c r="K387" s="1417"/>
      <c r="L387" s="1417"/>
      <c r="M387" s="1417"/>
      <c r="N387" s="1417"/>
      <c r="O387" s="1417"/>
      <c r="P387" s="1417"/>
      <c r="Q387" s="1417"/>
      <c r="R387" s="1417"/>
      <c r="S387" s="1417"/>
      <c r="T387" s="1417"/>
      <c r="U387" s="1417"/>
      <c r="V387" s="3" t="s">
        <v>444</v>
      </c>
      <c r="W387" s="8"/>
      <c r="X387" s="8"/>
      <c r="Y387" s="8"/>
      <c r="Z387" s="8"/>
      <c r="AA387" s="8"/>
      <c r="AB387" s="8"/>
      <c r="AC387" s="1467"/>
      <c r="AD387" s="1467"/>
      <c r="AE387" s="1467"/>
      <c r="AF387" s="1467"/>
      <c r="AG387" s="1467"/>
      <c r="AH387" s="1467"/>
      <c r="AI387" s="1467"/>
      <c r="AJ387" s="1467"/>
    </row>
    <row r="388" spans="4:36" ht="12.95" customHeight="1">
      <c r="D388" t="s">
        <v>1285</v>
      </c>
      <c r="J388" s="1395" t="s">
        <v>2770</v>
      </c>
      <c r="K388" s="1395"/>
      <c r="L388" s="1395"/>
      <c r="M388" s="1395"/>
      <c r="N388" s="1395"/>
      <c r="O388" s="1395"/>
      <c r="P388" s="1395"/>
      <c r="Q388" s="1395"/>
      <c r="R388" s="1395"/>
      <c r="S388" s="1395"/>
      <c r="T388" s="1395"/>
      <c r="U388" s="1395"/>
      <c r="V388" s="1467"/>
      <c r="W388" s="1467"/>
      <c r="X388" s="1467"/>
      <c r="Y388" s="1467"/>
      <c r="Z388" s="1467"/>
      <c r="AA388" s="1467"/>
      <c r="AB388" s="1467"/>
      <c r="AC388" s="1467"/>
      <c r="AD388" s="1467"/>
      <c r="AE388" s="1467"/>
      <c r="AF388" s="1467"/>
      <c r="AG388" s="1467"/>
      <c r="AH388" s="1467"/>
      <c r="AI388" s="1467"/>
      <c r="AJ388" s="1467"/>
    </row>
    <row r="389" spans="4:36" ht="12.95" customHeight="1">
      <c r="D389" t="s">
        <v>4</v>
      </c>
      <c r="Q389" s="1700">
        <v>45512</v>
      </c>
      <c r="R389" s="1700"/>
      <c r="S389" s="1700"/>
      <c r="T389" s="1700"/>
      <c r="U389" s="1700"/>
      <c r="V389" t="s">
        <v>310</v>
      </c>
      <c r="AI389" s="1428" t="s">
        <v>678</v>
      </c>
      <c r="AJ389" s="1428"/>
    </row>
    <row r="390" spans="4:36" ht="12.95" customHeight="1">
      <c r="D390" t="s">
        <v>5</v>
      </c>
      <c r="Q390" s="1641">
        <v>45627</v>
      </c>
      <c r="R390" s="1697"/>
      <c r="S390" s="1697"/>
      <c r="T390" s="1697"/>
      <c r="U390" s="1697"/>
      <c r="W390" s="21" t="s">
        <v>74</v>
      </c>
      <c r="AG390" s="1468"/>
      <c r="AH390" s="1468"/>
      <c r="AI390" s="1468"/>
      <c r="AJ390" s="1468"/>
    </row>
    <row r="391" spans="4:36" ht="12.95" customHeight="1">
      <c r="D391" t="s">
        <v>428</v>
      </c>
      <c r="Q391" s="1696">
        <v>25000000</v>
      </c>
      <c r="R391" s="1696"/>
      <c r="S391" s="1696"/>
      <c r="T391" s="1696"/>
      <c r="U391" s="1696"/>
      <c r="V391" s="3" t="s">
        <v>1288</v>
      </c>
      <c r="AG391" s="1544">
        <v>45627</v>
      </c>
      <c r="AH391" s="1544"/>
      <c r="AI391" s="1544"/>
      <c r="AJ391" s="1544"/>
    </row>
    <row r="392" spans="4:36" ht="12.95" customHeight="1">
      <c r="D392" t="s">
        <v>88</v>
      </c>
      <c r="I392" s="1476"/>
      <c r="J392" s="1476"/>
      <c r="K392" s="1476"/>
      <c r="L392" s="1476"/>
      <c r="M392" s="1476"/>
      <c r="N392" s="1476"/>
      <c r="Q392" s="4" t="s">
        <v>207</v>
      </c>
      <c r="S392" s="1699"/>
      <c r="T392" s="1699"/>
      <c r="U392" s="1699"/>
      <c r="V392" t="s">
        <v>73</v>
      </c>
      <c r="AI392" s="1428" t="s">
        <v>678</v>
      </c>
      <c r="AJ392" s="1428"/>
    </row>
    <row r="393" spans="4:36" ht="12.95" customHeight="1">
      <c r="D393" t="s">
        <v>311</v>
      </c>
      <c r="Q393" s="1545"/>
      <c r="R393" s="1545"/>
      <c r="S393" s="1545"/>
      <c r="T393" s="1545"/>
      <c r="U393" s="1545"/>
      <c r="V393" t="s">
        <v>312</v>
      </c>
      <c r="AG393" s="1468"/>
      <c r="AH393" s="1468"/>
      <c r="AI393" s="1468"/>
      <c r="AJ393" s="1468"/>
    </row>
    <row r="394" spans="4:36" ht="12.95" customHeight="1">
      <c r="D394" t="s">
        <v>313</v>
      </c>
      <c r="Q394" s="1538"/>
      <c r="R394" s="1538"/>
      <c r="S394" s="1538"/>
      <c r="T394" s="1538"/>
      <c r="U394" s="1538"/>
      <c r="V394" t="s">
        <v>1269</v>
      </c>
      <c r="AG394" s="1468"/>
      <c r="AH394" s="1468"/>
      <c r="AI394" s="1468"/>
      <c r="AJ394" s="1468"/>
    </row>
    <row r="395" spans="4:36" ht="12.95" customHeight="1">
      <c r="D395" t="s">
        <v>1268</v>
      </c>
      <c r="AG395" s="1468"/>
      <c r="AH395" s="1468"/>
      <c r="AI395" s="1468"/>
      <c r="AJ395" s="1468"/>
    </row>
    <row r="396" spans="4:36" ht="12.95" customHeight="1">
      <c r="AG396" s="490"/>
      <c r="AH396" s="490"/>
      <c r="AI396" s="490"/>
      <c r="AJ396" s="490"/>
    </row>
    <row r="397" spans="4:36" ht="12.95" customHeight="1">
      <c r="D397" s="3" t="s">
        <v>2501</v>
      </c>
      <c r="AG397" s="490"/>
      <c r="AH397" s="490"/>
      <c r="AI397" s="1428" t="s">
        <v>678</v>
      </c>
      <c r="AJ397" s="1428"/>
    </row>
    <row r="398" spans="4:36" ht="12.95" customHeight="1">
      <c r="D398" s="3" t="s">
        <v>1780</v>
      </c>
      <c r="T398" s="1427"/>
      <c r="U398" s="1427"/>
      <c r="V398" s="1427"/>
      <c r="W398" s="1427"/>
      <c r="X398" s="1427"/>
      <c r="Y398" s="1427"/>
      <c r="Z398" s="1427"/>
      <c r="AA398" s="1427"/>
      <c r="AB398" s="1427"/>
      <c r="AC398" s="1427"/>
      <c r="AD398" s="1427"/>
      <c r="AE398" s="1427"/>
      <c r="AF398" s="1427"/>
      <c r="AG398" s="1427"/>
      <c r="AH398" s="1427"/>
      <c r="AI398" s="1427"/>
      <c r="AJ398" s="1427"/>
    </row>
    <row r="399" spans="4:36" ht="12.95" customHeight="1">
      <c r="D399" s="3" t="s">
        <v>1779</v>
      </c>
      <c r="T399" s="1427"/>
      <c r="U399" s="1427"/>
      <c r="V399" s="1427"/>
      <c r="W399" s="1427"/>
      <c r="X399" s="1427"/>
      <c r="Y399" s="1427"/>
      <c r="Z399" s="1427"/>
      <c r="AA399" s="1427"/>
      <c r="AB399" s="1427"/>
      <c r="AC399" s="1427"/>
      <c r="AD399" s="1427"/>
      <c r="AE399" s="1427"/>
      <c r="AF399" s="1427"/>
      <c r="AG399" s="1427"/>
      <c r="AH399" s="1427"/>
      <c r="AI399" s="1427"/>
      <c r="AJ399" s="1427"/>
    </row>
    <row r="400" spans="4:36" ht="12.95" customHeight="1">
      <c r="AG400" s="490"/>
      <c r="AH400" s="490"/>
      <c r="AI400" s="490"/>
      <c r="AJ400" s="490"/>
    </row>
    <row r="401" spans="1:36" ht="12.95" customHeight="1">
      <c r="D401" s="3" t="s">
        <v>1773</v>
      </c>
      <c r="S401" s="1427" t="s">
        <v>678</v>
      </c>
      <c r="T401" s="1427"/>
      <c r="U401" s="1427"/>
      <c r="V401" t="s">
        <v>1774</v>
      </c>
      <c r="AG401" s="1489"/>
      <c r="AH401" s="1489"/>
      <c r="AI401" s="1489"/>
      <c r="AJ401" s="1489"/>
    </row>
    <row r="402" spans="1:36" ht="12.95" customHeight="1">
      <c r="D402" s="3" t="s">
        <v>1771</v>
      </c>
      <c r="S402" s="1427" t="s">
        <v>600</v>
      </c>
      <c r="T402" s="1427"/>
      <c r="U402" s="1427"/>
      <c r="V402" t="s">
        <v>1776</v>
      </c>
      <c r="AE402" s="1460"/>
      <c r="AF402" s="1460"/>
      <c r="AG402" s="1460"/>
      <c r="AH402" s="1460"/>
      <c r="AI402" s="1460"/>
      <c r="AJ402" s="1460"/>
    </row>
    <row r="403" spans="1:36" ht="12.95" customHeight="1">
      <c r="D403" s="3" t="s">
        <v>1772</v>
      </c>
      <c r="K403" s="1487"/>
      <c r="L403" s="1487"/>
      <c r="M403" s="1487"/>
      <c r="N403" s="1487"/>
      <c r="O403" s="1487"/>
      <c r="P403" s="1487"/>
      <c r="Q403" s="1487"/>
      <c r="R403" s="1487"/>
      <c r="S403" s="1487"/>
      <c r="T403" s="1487"/>
      <c r="U403" s="1487"/>
      <c r="V403" s="1487"/>
      <c r="W403" s="1487"/>
      <c r="X403" s="1487"/>
      <c r="Y403" s="1487"/>
      <c r="Z403" s="1487"/>
      <c r="AA403" s="1487"/>
      <c r="AB403" s="1487"/>
      <c r="AC403" s="1487"/>
      <c r="AD403" s="1487"/>
      <c r="AE403" s="1487"/>
      <c r="AF403" s="1487"/>
      <c r="AG403" s="1487"/>
      <c r="AH403" s="1487"/>
      <c r="AI403" s="1487"/>
      <c r="AJ403" s="1487"/>
    </row>
    <row r="404" spans="1:36" ht="12.95" customHeight="1">
      <c r="D404" s="3" t="s">
        <v>1775</v>
      </c>
      <c r="K404" s="1487"/>
      <c r="L404" s="1487"/>
      <c r="M404" s="1487"/>
      <c r="N404" s="1487"/>
      <c r="O404" s="1487"/>
      <c r="P404" s="1487"/>
      <c r="Q404" s="1487"/>
      <c r="R404" s="1487"/>
      <c r="S404" s="1487"/>
      <c r="T404" s="1487"/>
      <c r="U404" s="1487"/>
      <c r="V404" s="1487"/>
      <c r="W404" s="1487"/>
      <c r="X404" s="1487"/>
      <c r="Y404" s="1487"/>
      <c r="Z404" s="1487"/>
      <c r="AA404" s="1487"/>
      <c r="AB404" s="1487"/>
      <c r="AC404" s="1487"/>
      <c r="AD404" s="1487"/>
      <c r="AE404" s="1487"/>
      <c r="AF404" s="1487"/>
      <c r="AG404" s="1487"/>
      <c r="AH404" s="1487"/>
      <c r="AI404" s="1487"/>
      <c r="AJ404" s="1487"/>
    </row>
    <row r="405" spans="1:36" ht="12.95" customHeight="1">
      <c r="D405" s="3" t="s">
        <v>1778</v>
      </c>
      <c r="E405" s="511"/>
      <c r="F405" s="511"/>
      <c r="G405" s="511"/>
      <c r="H405" s="511"/>
      <c r="I405" s="511"/>
      <c r="J405" s="511"/>
      <c r="K405" s="511"/>
      <c r="L405" s="511"/>
      <c r="M405" s="511"/>
      <c r="N405" s="511"/>
      <c r="O405" s="511"/>
      <c r="P405" s="511"/>
      <c r="Q405" s="511"/>
      <c r="R405" s="511"/>
      <c r="S405" s="1532" t="s">
        <v>1291</v>
      </c>
      <c r="T405" s="1532"/>
      <c r="U405" s="1532"/>
      <c r="V405" s="1532"/>
      <c r="W405" s="1532"/>
      <c r="X405" s="1532"/>
      <c r="Y405" s="1532"/>
      <c r="Z405" s="1532"/>
      <c r="AA405" s="1532"/>
      <c r="AB405" s="1532"/>
      <c r="AC405" s="1532"/>
      <c r="AD405" s="1532"/>
      <c r="AE405" s="1532"/>
      <c r="AF405" s="1532"/>
      <c r="AG405" s="1532"/>
      <c r="AH405" s="1532"/>
      <c r="AI405" s="1532"/>
      <c r="AJ405" s="1532"/>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552" t="s">
        <v>2714</v>
      </c>
      <c r="J410" s="1552"/>
      <c r="K410" s="1552"/>
      <c r="L410" s="1552"/>
      <c r="M410" s="1552"/>
      <c r="N410" s="1552"/>
      <c r="O410" s="1552"/>
      <c r="P410" s="1552"/>
      <c r="Q410" s="1552"/>
      <c r="R410" s="1552"/>
      <c r="S410" s="1552"/>
      <c r="T410" s="1552"/>
      <c r="U410" s="1552"/>
      <c r="V410" s="1552"/>
      <c r="W410" s="1552"/>
      <c r="X410" s="1552"/>
      <c r="Y410" s="1552"/>
      <c r="Z410" s="1552"/>
      <c r="AA410" s="1552"/>
      <c r="AB410" s="1552"/>
      <c r="AC410" s="1552"/>
      <c r="AD410" s="1552"/>
      <c r="AE410" s="1552"/>
    </row>
    <row r="411" spans="1:36" ht="12.95" customHeight="1">
      <c r="E411" t="s">
        <v>106</v>
      </c>
      <c r="R411" s="1428" t="s">
        <v>600</v>
      </c>
      <c r="S411" s="1428"/>
      <c r="AC411" s="27" t="s">
        <v>579</v>
      </c>
      <c r="AD411" s="1398"/>
      <c r="AE411" s="1398"/>
    </row>
    <row r="412" spans="1:36" ht="12.95" customHeight="1">
      <c r="E412" t="s">
        <v>107</v>
      </c>
      <c r="R412" s="1428" t="s">
        <v>554</v>
      </c>
      <c r="S412" s="1428"/>
      <c r="AC412" s="27" t="s">
        <v>579</v>
      </c>
      <c r="AD412" s="1398">
        <v>2</v>
      </c>
      <c r="AE412" s="1398"/>
    </row>
    <row r="413" spans="1:36" ht="12.95" customHeight="1">
      <c r="E413" t="s">
        <v>108</v>
      </c>
      <c r="S413" s="1428" t="s">
        <v>600</v>
      </c>
      <c r="T413" s="1428"/>
    </row>
    <row r="414" spans="1:36" ht="12.95" customHeight="1">
      <c r="E414" t="s">
        <v>170</v>
      </c>
      <c r="H414" s="1474" t="s">
        <v>335</v>
      </c>
      <c r="I414" s="1474"/>
      <c r="J414" s="1474"/>
      <c r="K414" s="1474"/>
      <c r="L414" s="1474"/>
      <c r="M414" s="1474"/>
      <c r="N414" s="1474"/>
      <c r="O414" s="1474"/>
      <c r="P414" s="1474"/>
      <c r="Q414" s="1474"/>
      <c r="R414" s="1474"/>
      <c r="S414" s="1474"/>
      <c r="T414" s="1474"/>
      <c r="U414" s="1474"/>
      <c r="V414" s="1474"/>
      <c r="W414" s="1474"/>
      <c r="X414" s="1474"/>
      <c r="Y414" s="1474"/>
      <c r="Z414" s="1474"/>
      <c r="AA414" s="1474"/>
      <c r="AB414" s="1474"/>
      <c r="AC414" s="1474"/>
      <c r="AD414" s="1474"/>
      <c r="AE414" s="1474"/>
    </row>
    <row r="415" spans="1:36" ht="12.95" customHeight="1">
      <c r="H415" s="1475"/>
      <c r="I415" s="1475"/>
      <c r="J415" s="1475"/>
      <c r="K415" s="1475"/>
      <c r="L415" s="1475"/>
      <c r="M415" s="1475"/>
      <c r="N415" s="1475"/>
      <c r="O415" s="1475"/>
      <c r="P415" s="1475"/>
      <c r="Q415" s="1475"/>
      <c r="R415" s="1475"/>
      <c r="S415" s="1475"/>
      <c r="T415" s="1475"/>
      <c r="U415" s="1475"/>
      <c r="V415" s="1475"/>
      <c r="W415" s="1475"/>
      <c r="X415" s="1475"/>
      <c r="Y415" s="1475"/>
      <c r="Z415" s="1475"/>
      <c r="AA415" s="1475"/>
      <c r="AB415" s="1475"/>
      <c r="AC415" s="1475"/>
      <c r="AD415" s="1475"/>
      <c r="AE415" s="1475"/>
    </row>
    <row r="416" spans="1:36" ht="12.95" customHeight="1"/>
    <row r="417" spans="1:39" ht="12.95" customHeight="1">
      <c r="A417" s="2" t="s">
        <v>599</v>
      </c>
      <c r="B417" s="2"/>
      <c r="C417" s="2"/>
      <c r="D417" s="2" t="s">
        <v>114</v>
      </c>
      <c r="AF417" s="2" t="s">
        <v>977</v>
      </c>
    </row>
    <row r="418" spans="1:39" ht="12.95" customHeight="1">
      <c r="E418" s="1461"/>
      <c r="F418" s="1461"/>
      <c r="G418" s="1461"/>
      <c r="H418" s="13" t="s">
        <v>115</v>
      </c>
      <c r="I418" s="1461"/>
      <c r="J418" s="1461"/>
      <c r="K418" s="1461"/>
      <c r="L418" t="s">
        <v>116</v>
      </c>
      <c r="N418" s="27" t="s">
        <v>584</v>
      </c>
      <c r="P418" s="1698">
        <v>4.43</v>
      </c>
      <c r="Q418" s="1698"/>
      <c r="R418" s="1698"/>
      <c r="S418" t="s">
        <v>117</v>
      </c>
      <c r="W418" s="1488">
        <f>IF(E418&gt;0,(E418*I418),(P418*43560))</f>
        <v>192970.8</v>
      </c>
      <c r="X418" s="1488"/>
      <c r="Y418" s="1488"/>
      <c r="Z418" t="s">
        <v>118</v>
      </c>
      <c r="AF418" s="1495">
        <f>IFERROR(IF(P418&gt;0,(AG437/P418),(AG437/(W418/43560))),0)</f>
        <v>23.927765237020317</v>
      </c>
      <c r="AG418" s="1495"/>
      <c r="AH418" s="1495"/>
      <c r="AM418" s="3"/>
    </row>
    <row r="419" spans="1:39" ht="12.95" customHeight="1">
      <c r="E419" t="s">
        <v>51</v>
      </c>
    </row>
    <row r="420" spans="1:39" ht="12.95" customHeight="1">
      <c r="E420" s="1459"/>
      <c r="F420" s="1459"/>
      <c r="G420" s="1459"/>
      <c r="H420" s="1459"/>
      <c r="I420" s="1459"/>
      <c r="J420" s="1459"/>
      <c r="K420" s="1459"/>
      <c r="L420" s="1459"/>
      <c r="M420" s="1459"/>
      <c r="N420" s="1459"/>
      <c r="O420" s="1459"/>
      <c r="P420" s="1459"/>
      <c r="Q420" s="1459"/>
      <c r="R420" s="1459"/>
      <c r="S420" s="1459"/>
      <c r="T420" s="1459"/>
      <c r="U420" s="1459"/>
      <c r="V420" s="1459"/>
      <c r="W420" s="1459"/>
      <c r="X420" s="1459"/>
      <c r="Y420" s="1459"/>
      <c r="Z420" s="1459"/>
      <c r="AA420" s="1459"/>
      <c r="AB420" s="1459"/>
      <c r="AC420" s="1459"/>
      <c r="AD420" s="1459"/>
      <c r="AE420" s="1459"/>
      <c r="AF420" s="1459"/>
      <c r="AG420" s="1459"/>
      <c r="AH420" s="1459"/>
      <c r="AI420" s="1459"/>
      <c r="AJ420" s="1459"/>
    </row>
    <row r="421" spans="1:39" ht="12.95" customHeight="1">
      <c r="E421" s="118" t="s">
        <v>1925</v>
      </c>
      <c r="F421" s="1048"/>
      <c r="G421" s="1048"/>
      <c r="H421" s="1048"/>
      <c r="I421" s="1591">
        <v>4.43</v>
      </c>
      <c r="J421" s="1591"/>
      <c r="K421" s="1591"/>
      <c r="L421" s="1048"/>
      <c r="M421" s="118"/>
      <c r="N421" s="1048"/>
      <c r="O421" s="1048"/>
      <c r="P421" s="1842">
        <f>(CS634+CS642+CS658)/I421</f>
        <v>54.627539503386011</v>
      </c>
      <c r="Q421" s="1842"/>
      <c r="R421" s="1842"/>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428">
        <v>19</v>
      </c>
      <c r="Q424" s="1428"/>
      <c r="S424" t="s">
        <v>190</v>
      </c>
      <c r="AE424" s="1428">
        <v>18</v>
      </c>
      <c r="AF424" s="1428"/>
    </row>
    <row r="425" spans="1:39" ht="12.95" customHeight="1">
      <c r="E425" t="s">
        <v>191</v>
      </c>
      <c r="P425" s="1428">
        <v>1</v>
      </c>
      <c r="Q425" s="1428"/>
      <c r="S425" t="s">
        <v>131</v>
      </c>
      <c r="AE425" s="1428" t="s">
        <v>600</v>
      </c>
      <c r="AF425" s="1428"/>
    </row>
    <row r="426" spans="1:39" ht="12.95" customHeight="1">
      <c r="F426" s="28" t="s">
        <v>132</v>
      </c>
    </row>
    <row r="427" spans="1:39" ht="12.95" customHeight="1">
      <c r="F427" s="1492"/>
      <c r="G427" s="1492"/>
      <c r="H427" s="1492"/>
      <c r="I427" s="1492"/>
      <c r="J427" s="1492"/>
      <c r="K427" s="1492"/>
      <c r="L427" s="1492"/>
      <c r="M427" s="1492"/>
      <c r="N427" s="1492"/>
      <c r="O427" s="1492"/>
      <c r="P427" s="1492"/>
      <c r="Q427" s="1492"/>
      <c r="R427" s="1492"/>
      <c r="S427" s="1492"/>
      <c r="T427" s="1492"/>
      <c r="U427" s="1492"/>
      <c r="V427" s="1492"/>
      <c r="W427" s="1492"/>
      <c r="X427" s="1492"/>
      <c r="Y427" s="1492"/>
      <c r="Z427" s="1492"/>
      <c r="AA427" s="1492"/>
      <c r="AB427" s="1492"/>
      <c r="AC427" s="1492"/>
      <c r="AD427" s="1492"/>
      <c r="AE427" s="1492"/>
      <c r="AF427" s="1492"/>
      <c r="AG427" s="1492"/>
      <c r="AH427" s="1492"/>
    </row>
    <row r="428" spans="1:39" ht="12.95" customHeight="1">
      <c r="F428" s="1493"/>
      <c r="G428" s="1493"/>
      <c r="H428" s="1493"/>
      <c r="I428" s="1493"/>
      <c r="J428" s="1493"/>
      <c r="K428" s="1493"/>
      <c r="L428" s="1493"/>
      <c r="M428" s="1493"/>
      <c r="N428" s="1493"/>
      <c r="O428" s="1493"/>
      <c r="P428" s="1493"/>
      <c r="Q428" s="1493"/>
      <c r="R428" s="1493"/>
      <c r="S428" s="1493"/>
      <c r="T428" s="1493"/>
      <c r="U428" s="1493"/>
      <c r="V428" s="1493"/>
      <c r="W428" s="1493"/>
      <c r="X428" s="1493"/>
      <c r="Y428" s="1493"/>
      <c r="Z428" s="1493"/>
      <c r="AA428" s="1493"/>
      <c r="AB428" s="1493"/>
      <c r="AC428" s="1493"/>
      <c r="AD428" s="1493"/>
      <c r="AE428" s="1493"/>
      <c r="AF428" s="1493"/>
      <c r="AG428" s="1493"/>
      <c r="AH428" s="1493"/>
    </row>
    <row r="429" spans="1:39" ht="12.95" customHeight="1">
      <c r="E429" t="s">
        <v>617</v>
      </c>
      <c r="P429" s="1"/>
      <c r="Q429" s="1428" t="s">
        <v>554</v>
      </c>
      <c r="R429" s="1428"/>
    </row>
    <row r="430" spans="1:39" ht="12.95" customHeight="1">
      <c r="F430" t="s">
        <v>618</v>
      </c>
      <c r="P430" s="1"/>
      <c r="Q430" s="1"/>
      <c r="AF430" s="1428" t="s">
        <v>600</v>
      </c>
      <c r="AG430" s="1465"/>
    </row>
    <row r="431" spans="1:39" ht="12.95" customHeight="1"/>
    <row r="432" spans="1:39" ht="12.95" customHeight="1">
      <c r="A432" s="2"/>
      <c r="B432" s="2"/>
      <c r="C432" s="2"/>
      <c r="E432" s="4" t="s">
        <v>309</v>
      </c>
      <c r="Z432" s="1428" t="s">
        <v>678</v>
      </c>
      <c r="AA432" s="142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428" t="s">
        <v>600</v>
      </c>
      <c r="AA434" s="1428"/>
    </row>
    <row r="435" spans="1:110" ht="12.95" customHeight="1"/>
    <row r="436" spans="1:110" ht="12.95" customHeight="1">
      <c r="A436" s="2" t="s">
        <v>476</v>
      </c>
      <c r="B436" s="2"/>
      <c r="C436" s="2"/>
      <c r="D436" s="2" t="s">
        <v>774</v>
      </c>
      <c r="AF436" s="48"/>
    </row>
    <row r="437" spans="1:110" ht="12.95" customHeight="1">
      <c r="D437" s="1462" t="s">
        <v>43</v>
      </c>
      <c r="E437" s="1463"/>
      <c r="F437" s="1463"/>
      <c r="G437" s="1463"/>
      <c r="H437" s="1463"/>
      <c r="I437" s="1463"/>
      <c r="J437" s="1463"/>
      <c r="K437" s="1463"/>
      <c r="L437" s="1463"/>
      <c r="M437" s="1463"/>
      <c r="N437" s="1463"/>
      <c r="O437" s="1463"/>
      <c r="P437" s="1463"/>
      <c r="Q437" s="1463"/>
      <c r="R437" s="1463"/>
      <c r="S437" s="1463"/>
      <c r="T437" s="1463"/>
      <c r="U437" s="1463"/>
      <c r="V437" s="1463"/>
      <c r="W437" s="1463"/>
      <c r="X437" s="1463"/>
      <c r="Y437" s="1463"/>
      <c r="Z437" s="1463"/>
      <c r="AA437" s="1463"/>
      <c r="AB437" s="1463"/>
      <c r="AC437" s="1463"/>
      <c r="AD437" s="1463"/>
      <c r="AE437" s="1463"/>
      <c r="AF437" s="1464"/>
      <c r="AG437" s="1394">
        <v>106</v>
      </c>
      <c r="AH437" s="1394"/>
      <c r="AI437" s="1394"/>
      <c r="AJ437" s="1394"/>
    </row>
    <row r="438" spans="1:110" ht="12.95" customHeight="1">
      <c r="D438" s="1423" t="s">
        <v>1330</v>
      </c>
      <c r="E438" s="1424"/>
      <c r="F438" s="1424"/>
      <c r="G438" s="1424"/>
      <c r="H438" s="1424"/>
      <c r="I438" s="1424"/>
      <c r="J438" s="1424"/>
      <c r="K438" s="1424"/>
      <c r="L438" s="1424"/>
      <c r="M438" s="1424"/>
      <c r="N438" s="1424"/>
      <c r="O438" s="1424"/>
      <c r="P438" s="1424"/>
      <c r="Q438" s="1424"/>
      <c r="R438" s="1424"/>
      <c r="S438" s="1424"/>
      <c r="T438" s="1424"/>
      <c r="U438" s="1424"/>
      <c r="V438" s="1424"/>
      <c r="W438" s="1424"/>
      <c r="X438" s="1424"/>
      <c r="Y438" s="1424"/>
      <c r="Z438" s="1424"/>
      <c r="AA438" s="1424"/>
      <c r="AB438" s="1424"/>
      <c r="AC438" s="1424"/>
      <c r="AD438" s="1424"/>
      <c r="AE438" s="1424"/>
      <c r="AF438" s="1425"/>
      <c r="AG438" s="1490">
        <v>0</v>
      </c>
      <c r="AH438" s="1491"/>
      <c r="AI438" s="1491"/>
      <c r="AJ438" s="1491"/>
    </row>
    <row r="439" spans="1:110" ht="12.95" customHeight="1">
      <c r="D439" s="1423" t="s">
        <v>1056</v>
      </c>
      <c r="E439" s="1424"/>
      <c r="F439" s="1424"/>
      <c r="G439" s="1424"/>
      <c r="H439" s="1424"/>
      <c r="I439" s="1424"/>
      <c r="J439" s="1424"/>
      <c r="K439" s="1424"/>
      <c r="L439" s="1424"/>
      <c r="M439" s="1424"/>
      <c r="N439" s="1424"/>
      <c r="O439" s="1424"/>
      <c r="P439" s="1424"/>
      <c r="Q439" s="1424"/>
      <c r="R439" s="1424"/>
      <c r="S439" s="1424"/>
      <c r="T439" s="1424"/>
      <c r="U439" s="1424"/>
      <c r="V439" s="1424"/>
      <c r="W439" s="1424"/>
      <c r="X439" s="1424"/>
      <c r="Y439" s="1424"/>
      <c r="Z439" s="1424"/>
      <c r="AA439" s="1424"/>
      <c r="AB439" s="1424"/>
      <c r="AC439" s="1424"/>
      <c r="AD439" s="1424"/>
      <c r="AE439" s="1424"/>
      <c r="AF439" s="1425"/>
      <c r="AG439" s="1394">
        <v>105</v>
      </c>
      <c r="AH439" s="1394"/>
      <c r="AI439" s="1394"/>
      <c r="AJ439" s="1394"/>
    </row>
    <row r="440" spans="1:110" ht="12.95" customHeight="1">
      <c r="D440" s="1423" t="s">
        <v>1057</v>
      </c>
      <c r="E440" s="1424"/>
      <c r="F440" s="1424"/>
      <c r="G440" s="1424"/>
      <c r="H440" s="1424"/>
      <c r="I440" s="1424"/>
      <c r="J440" s="1424"/>
      <c r="K440" s="1424"/>
      <c r="L440" s="1424"/>
      <c r="M440" s="1424"/>
      <c r="N440" s="1424"/>
      <c r="O440" s="1424"/>
      <c r="P440" s="1424"/>
      <c r="Q440" s="1424"/>
      <c r="R440" s="1424"/>
      <c r="S440" s="1424"/>
      <c r="T440" s="1424"/>
      <c r="U440" s="1424"/>
      <c r="V440" s="1424"/>
      <c r="W440" s="1424"/>
      <c r="X440" s="1424"/>
      <c r="Y440" s="1424"/>
      <c r="Z440" s="1424"/>
      <c r="AA440" s="1424"/>
      <c r="AB440" s="1424"/>
      <c r="AC440" s="1424"/>
      <c r="AD440" s="1424"/>
      <c r="AE440" s="1424"/>
      <c r="AF440" s="1425"/>
      <c r="AG440" s="1394">
        <v>105</v>
      </c>
      <c r="AH440" s="1394"/>
      <c r="AI440" s="1394"/>
      <c r="AJ440" s="1394"/>
    </row>
    <row r="441" spans="1:110" ht="12.95" customHeight="1">
      <c r="D441" s="1423" t="s">
        <v>1059</v>
      </c>
      <c r="E441" s="1424"/>
      <c r="F441" s="1424"/>
      <c r="G441" s="1424"/>
      <c r="H441" s="1424"/>
      <c r="I441" s="1424"/>
      <c r="J441" s="1424"/>
      <c r="K441" s="1424"/>
      <c r="L441" s="1424"/>
      <c r="M441" s="1424"/>
      <c r="N441" s="1424"/>
      <c r="O441" s="1424"/>
      <c r="P441" s="1424"/>
      <c r="Q441" s="1424"/>
      <c r="R441" s="1424"/>
      <c r="S441" s="1424"/>
      <c r="T441" s="1424"/>
      <c r="U441" s="1424"/>
      <c r="V441" s="1424"/>
      <c r="W441" s="1424"/>
      <c r="X441" s="1424"/>
      <c r="Y441" s="1424"/>
      <c r="Z441" s="1424"/>
      <c r="AA441" s="1424"/>
      <c r="AB441" s="1424"/>
      <c r="AC441" s="1424"/>
      <c r="AD441" s="1424"/>
      <c r="AE441" s="1424"/>
      <c r="AF441" s="1425"/>
      <c r="AG441" s="1469">
        <f>IF(ISERROR(AG440/AG439),"",AG440/AG439)</f>
        <v>1</v>
      </c>
      <c r="AH441" s="1469"/>
      <c r="AI441" s="1469"/>
      <c r="AJ441" s="1469"/>
    </row>
    <row r="442" spans="1:110" ht="12.95" customHeight="1">
      <c r="D442" s="1423" t="s">
        <v>1058</v>
      </c>
      <c r="E442" s="1424"/>
      <c r="F442" s="1424"/>
      <c r="G442" s="1424"/>
      <c r="H442" s="1424"/>
      <c r="I442" s="1424"/>
      <c r="J442" s="1424"/>
      <c r="K442" s="1424"/>
      <c r="L442" s="1424"/>
      <c r="M442" s="1424"/>
      <c r="N442" s="1424"/>
      <c r="O442" s="1424"/>
      <c r="P442" s="1424"/>
      <c r="Q442" s="1424"/>
      <c r="R442" s="1424"/>
      <c r="S442" s="1424"/>
      <c r="T442" s="1424"/>
      <c r="U442" s="1424"/>
      <c r="V442" s="1424"/>
      <c r="W442" s="1424"/>
      <c r="X442" s="1424"/>
      <c r="Y442" s="1424"/>
      <c r="Z442" s="1424"/>
      <c r="AA442" s="1424"/>
      <c r="AB442" s="1424"/>
      <c r="AC442" s="1424"/>
      <c r="AD442" s="1424"/>
      <c r="AE442" s="1424"/>
      <c r="AF442" s="1425"/>
      <c r="AG442" s="1422">
        <f>83610-735</f>
        <v>82875</v>
      </c>
      <c r="AH442" s="1422"/>
      <c r="AI442" s="1422"/>
      <c r="AJ442" s="1422"/>
    </row>
    <row r="443" spans="1:110" ht="12.95" customHeight="1">
      <c r="D443" s="1423" t="s">
        <v>1060</v>
      </c>
      <c r="E443" s="1424"/>
      <c r="F443" s="1424"/>
      <c r="G443" s="1424"/>
      <c r="H443" s="1424"/>
      <c r="I443" s="1424"/>
      <c r="J443" s="1424"/>
      <c r="K443" s="1424"/>
      <c r="L443" s="1424"/>
      <c r="M443" s="1424"/>
      <c r="N443" s="1424"/>
      <c r="O443" s="1424"/>
      <c r="P443" s="1424"/>
      <c r="Q443" s="1424"/>
      <c r="R443" s="1424"/>
      <c r="S443" s="1424"/>
      <c r="T443" s="1424"/>
      <c r="U443" s="1424"/>
      <c r="V443" s="1424"/>
      <c r="W443" s="1424"/>
      <c r="X443" s="1424"/>
      <c r="Y443" s="1424"/>
      <c r="Z443" s="1424"/>
      <c r="AA443" s="1424"/>
      <c r="AB443" s="1424"/>
      <c r="AC443" s="1424"/>
      <c r="AD443" s="1424"/>
      <c r="AE443" s="1424"/>
      <c r="AF443" s="1425"/>
      <c r="AG443" s="1422">
        <v>83610</v>
      </c>
      <c r="AH443" s="1422"/>
      <c r="AI443" s="1422"/>
      <c r="AJ443" s="1422"/>
    </row>
    <row r="444" spans="1:110" ht="12.95" customHeight="1">
      <c r="D444" s="1423" t="s">
        <v>1061</v>
      </c>
      <c r="E444" s="1424"/>
      <c r="F444" s="1424"/>
      <c r="G444" s="1424"/>
      <c r="H444" s="1424"/>
      <c r="I444" s="1424"/>
      <c r="J444" s="1424"/>
      <c r="K444" s="1424"/>
      <c r="L444" s="1424"/>
      <c r="M444" s="1424"/>
      <c r="N444" s="1424"/>
      <c r="O444" s="1424"/>
      <c r="P444" s="1424"/>
      <c r="Q444" s="1424"/>
      <c r="R444" s="1424"/>
      <c r="S444" s="1424"/>
      <c r="T444" s="1424"/>
      <c r="U444" s="1424"/>
      <c r="V444" s="1424"/>
      <c r="W444" s="1424"/>
      <c r="X444" s="1424"/>
      <c r="Y444" s="1424"/>
      <c r="Z444" s="1424"/>
      <c r="AA444" s="1424"/>
      <c r="AB444" s="1424"/>
      <c r="AC444" s="1424"/>
      <c r="AD444" s="1424"/>
      <c r="AE444" s="1424"/>
      <c r="AF444" s="1425"/>
      <c r="AG444" s="1469">
        <f>IF(ISERROR(AG443/AG442),"",AG443/AG442)</f>
        <v>1.008868778280543</v>
      </c>
      <c r="AH444" s="1469"/>
      <c r="AI444" s="1469"/>
      <c r="AJ444" s="1469"/>
    </row>
    <row r="445" spans="1:110" ht="12.95" customHeight="1">
      <c r="D445" s="1423" t="s">
        <v>1062</v>
      </c>
      <c r="E445" s="1424"/>
      <c r="F445" s="1424"/>
      <c r="G445" s="1424"/>
      <c r="H445" s="1424"/>
      <c r="I445" s="1424"/>
      <c r="J445" s="1424"/>
      <c r="K445" s="1424"/>
      <c r="L445" s="1424"/>
      <c r="M445" s="1424"/>
      <c r="N445" s="1424"/>
      <c r="O445" s="1424"/>
      <c r="P445" s="1424"/>
      <c r="Q445" s="1424"/>
      <c r="R445" s="1424"/>
      <c r="S445" s="1424"/>
      <c r="T445" s="1424"/>
      <c r="U445" s="1424"/>
      <c r="V445" s="1424"/>
      <c r="W445" s="1424"/>
      <c r="X445" s="1424"/>
      <c r="Y445" s="1424"/>
      <c r="Z445" s="1424"/>
      <c r="AA445" s="1424"/>
      <c r="AB445" s="1424"/>
      <c r="AC445" s="1424"/>
      <c r="AD445" s="1424"/>
      <c r="AE445" s="1424"/>
      <c r="AF445" s="1425"/>
      <c r="AG445" s="1469">
        <f>MIN(IF(AG441&gt;AG444,AG444,AG441),1)</f>
        <v>1</v>
      </c>
      <c r="AH445" s="1469"/>
      <c r="AI445" s="1469"/>
      <c r="AJ445" s="1469"/>
    </row>
    <row r="446" spans="1:110" ht="12.95" customHeight="1">
      <c r="D446" s="1423" t="s">
        <v>2403</v>
      </c>
      <c r="E446" s="1463"/>
      <c r="F446" s="1463"/>
      <c r="G446" s="1463"/>
      <c r="H446" s="1463"/>
      <c r="I446" s="1463"/>
      <c r="J446" s="1463"/>
      <c r="K446" s="1463"/>
      <c r="L446" s="1463"/>
      <c r="M446" s="1463"/>
      <c r="N446" s="1463"/>
      <c r="O446" s="1463"/>
      <c r="P446" s="1463"/>
      <c r="Q446" s="1463"/>
      <c r="R446" s="1463"/>
      <c r="S446" s="1463"/>
      <c r="T446" s="1463"/>
      <c r="U446" s="1463"/>
      <c r="V446" s="1463"/>
      <c r="W446" s="1463"/>
      <c r="X446" s="1463"/>
      <c r="Y446" s="1463"/>
      <c r="Z446" s="1463"/>
      <c r="AA446" s="1463"/>
      <c r="AB446" s="1463"/>
      <c r="AC446" s="1463"/>
      <c r="AD446" s="1463"/>
      <c r="AE446" s="1463"/>
      <c r="AF446" s="1464"/>
      <c r="AG446" s="1422">
        <v>5844</v>
      </c>
      <c r="AH446" s="1422"/>
      <c r="AI446" s="1422"/>
      <c r="AJ446" s="142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62" t="s">
        <v>578</v>
      </c>
      <c r="E447" s="1463"/>
      <c r="F447" s="1463"/>
      <c r="G447" s="1463"/>
      <c r="H447" s="1463"/>
      <c r="I447" s="1463"/>
      <c r="J447" s="1463"/>
      <c r="K447" s="1463"/>
      <c r="L447" s="1463"/>
      <c r="M447" s="1463"/>
      <c r="N447" s="1463"/>
      <c r="O447" s="1463"/>
      <c r="P447" s="1463"/>
      <c r="Q447" s="1463"/>
      <c r="R447" s="1463"/>
      <c r="S447" s="1463"/>
      <c r="T447" s="1463"/>
      <c r="U447" s="1463"/>
      <c r="V447" s="1463"/>
      <c r="W447" s="1463"/>
      <c r="X447" s="1463"/>
      <c r="Y447" s="1463"/>
      <c r="Z447" s="1463"/>
      <c r="AA447" s="1463"/>
      <c r="AB447" s="1463"/>
      <c r="AC447" s="1463"/>
      <c r="AD447" s="1463"/>
      <c r="AE447" s="1463"/>
      <c r="AF447" s="1464"/>
      <c r="AG447" s="1422">
        <v>0</v>
      </c>
      <c r="AH447" s="1422"/>
      <c r="AI447" s="1422"/>
      <c r="AJ447" s="142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23" t="s">
        <v>1312</v>
      </c>
      <c r="E448" s="1463"/>
      <c r="F448" s="1463"/>
      <c r="G448" s="1463"/>
      <c r="H448" s="1463"/>
      <c r="I448" s="1463"/>
      <c r="J448" s="1463"/>
      <c r="K448" s="1463"/>
      <c r="L448" s="1463"/>
      <c r="M448" s="1463"/>
      <c r="N448" s="1463"/>
      <c r="O448" s="1463"/>
      <c r="P448" s="1463"/>
      <c r="Q448" s="1463"/>
      <c r="R448" s="1463"/>
      <c r="S448" s="1463"/>
      <c r="T448" s="1463"/>
      <c r="U448" s="1463"/>
      <c r="V448" s="1463"/>
      <c r="W448" s="1463"/>
      <c r="X448" s="1463"/>
      <c r="Y448" s="1463"/>
      <c r="Z448" s="1463"/>
      <c r="AA448" s="1463"/>
      <c r="AB448" s="1463"/>
      <c r="AC448" s="1463"/>
      <c r="AD448" s="1463"/>
      <c r="AE448" s="1463"/>
      <c r="AF448" s="1464"/>
      <c r="AG448" s="1422">
        <f>2400+735</f>
        <v>3135</v>
      </c>
      <c r="AH448" s="1422"/>
      <c r="AI448" s="1422"/>
      <c r="AJ448" s="142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23" t="s">
        <v>1063</v>
      </c>
      <c r="E449" s="1463"/>
      <c r="F449" s="1463"/>
      <c r="G449" s="1463"/>
      <c r="H449" s="1463"/>
      <c r="I449" s="1463"/>
      <c r="J449" s="1463"/>
      <c r="K449" s="1463"/>
      <c r="L449" s="1463"/>
      <c r="M449" s="1463"/>
      <c r="N449" s="1463"/>
      <c r="O449" s="1463"/>
      <c r="P449" s="1463"/>
      <c r="Q449" s="1463"/>
      <c r="R449" s="1463"/>
      <c r="S449" s="1463"/>
      <c r="T449" s="1463"/>
      <c r="U449" s="1463"/>
      <c r="V449" s="1463"/>
      <c r="W449" s="1463"/>
      <c r="X449" s="1463"/>
      <c r="Y449" s="1463"/>
      <c r="Z449" s="1463"/>
      <c r="AA449" s="1463"/>
      <c r="AB449" s="1463"/>
      <c r="AC449" s="1463"/>
      <c r="AD449" s="1463"/>
      <c r="AE449" s="1463"/>
      <c r="AF449" s="1464"/>
      <c r="AG449" s="1422">
        <v>0</v>
      </c>
      <c r="AH449" s="1422"/>
      <c r="AI449" s="1422"/>
      <c r="AJ449" s="142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39" t="s">
        <v>1064</v>
      </c>
      <c r="E450" s="1540"/>
      <c r="F450" s="1540"/>
      <c r="G450" s="1540"/>
      <c r="H450" s="1540"/>
      <c r="I450" s="1540"/>
      <c r="J450" s="1540"/>
      <c r="K450" s="1540"/>
      <c r="L450" s="1540"/>
      <c r="M450" s="1540"/>
      <c r="N450" s="1540"/>
      <c r="O450" s="1540"/>
      <c r="P450" s="1540"/>
      <c r="Q450" s="1540"/>
      <c r="R450" s="1540"/>
      <c r="S450" s="1540"/>
      <c r="T450" s="1540"/>
      <c r="U450" s="1540"/>
      <c r="V450" s="1540"/>
      <c r="W450" s="1540"/>
      <c r="X450" s="1540"/>
      <c r="Y450" s="1540"/>
      <c r="Z450" s="1540"/>
      <c r="AA450" s="1540"/>
      <c r="AB450" s="1540"/>
      <c r="AC450" s="1540"/>
      <c r="AD450" s="1540"/>
      <c r="AE450" s="1540"/>
      <c r="AF450" s="1541"/>
      <c r="AG450" s="1494">
        <f>AG442+AG446+AG448+AG449</f>
        <v>91854</v>
      </c>
      <c r="AH450" s="1494"/>
      <c r="AI450" s="1494"/>
      <c r="AJ450" s="1494"/>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42" t="s">
        <v>1313</v>
      </c>
      <c r="E451" s="1542"/>
      <c r="F451" s="1542"/>
      <c r="G451" s="1542"/>
      <c r="H451" s="1542"/>
      <c r="I451" s="1542"/>
      <c r="J451" s="1542"/>
      <c r="K451" s="1542"/>
      <c r="L451" s="1542"/>
      <c r="M451" s="1542"/>
      <c r="N451" s="1542"/>
      <c r="O451" s="1542"/>
      <c r="P451" s="1542"/>
      <c r="Q451" s="1542"/>
      <c r="R451" s="1542"/>
      <c r="S451" s="1542"/>
      <c r="T451" s="1542"/>
      <c r="U451" s="1542"/>
      <c r="V451" s="1542"/>
      <c r="W451" s="1542"/>
      <c r="X451" s="1542"/>
      <c r="Y451" s="1542"/>
      <c r="Z451" s="1542"/>
      <c r="AA451" s="1542"/>
      <c r="AB451" s="1542"/>
      <c r="AC451" s="1542"/>
      <c r="AD451" s="1542"/>
      <c r="AE451" s="1542"/>
      <c r="AF451" s="1542"/>
      <c r="AG451" s="1542"/>
      <c r="AH451" s="1542"/>
      <c r="AI451" s="1542"/>
      <c r="AJ451" s="154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43"/>
      <c r="E452" s="1543"/>
      <c r="F452" s="1543"/>
      <c r="G452" s="1543"/>
      <c r="H452" s="1543"/>
      <c r="I452" s="1543"/>
      <c r="J452" s="1543"/>
      <c r="K452" s="1543"/>
      <c r="L452" s="1543"/>
      <c r="M452" s="1543"/>
      <c r="N452" s="1543"/>
      <c r="O452" s="1543"/>
      <c r="P452" s="1543"/>
      <c r="Q452" s="1543"/>
      <c r="R452" s="1543"/>
      <c r="S452" s="1543"/>
      <c r="T452" s="1543"/>
      <c r="U452" s="1543"/>
      <c r="V452" s="1543"/>
      <c r="W452" s="1543"/>
      <c r="X452" s="1543"/>
      <c r="Y452" s="1543"/>
      <c r="Z452" s="1543"/>
      <c r="AA452" s="1543"/>
      <c r="AB452" s="1543"/>
      <c r="AC452" s="1543"/>
      <c r="AD452" s="1543"/>
      <c r="AE452" s="1543"/>
      <c r="AF452" s="1543"/>
      <c r="AG452" s="1543"/>
      <c r="AH452" s="1543"/>
      <c r="AI452" s="1543"/>
      <c r="AJ452" s="154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382">
        <f>IF(AG437=0,"",'Sources and Uses Budget'!B105/Application!AG437)</f>
        <v>442793.01886792452</v>
      </c>
      <c r="AD454" s="1382"/>
      <c r="AE454" s="1382"/>
      <c r="AF454" s="1382"/>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382">
        <f>IF(AG437=0,"",'Sources and Uses Budget'!C105/Application!AG437)</f>
        <v>442793.01886792452</v>
      </c>
      <c r="AD455" s="1382"/>
      <c r="AE455" s="1382"/>
      <c r="AF455" s="1382"/>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382">
        <f>IF(AG437=0,"",('Sources and Uses Budget'!$S$107+'Sources and Uses Budget'!$T$107)/Application!AG437)</f>
        <v>398372.60849056602</v>
      </c>
      <c r="AD456" s="1382"/>
      <c r="AE456" s="1382"/>
      <c r="AF456" s="1382"/>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383" t="str">
        <f>IFERROR(IF(AC454&gt;650000,"Please provide a justification of cost per unit in Tab 12 for all projects with per unit costs of greater than $650,000.",""),"")</f>
        <v/>
      </c>
      <c r="G457" s="1383"/>
      <c r="H457" s="1383"/>
      <c r="I457" s="1383"/>
      <c r="J457" s="1383"/>
      <c r="K457" s="1383"/>
      <c r="L457" s="1383"/>
      <c r="M457" s="1383"/>
      <c r="N457" s="1383"/>
      <c r="O457" s="1383"/>
      <c r="P457" s="1383"/>
      <c r="Q457" s="1383"/>
      <c r="R457" s="1383"/>
      <c r="S457" s="1383"/>
      <c r="T457" s="1383"/>
      <c r="U457" s="1383"/>
      <c r="V457" s="1383"/>
      <c r="W457" s="1383"/>
      <c r="X457" s="1383"/>
      <c r="Y457" s="1383"/>
      <c r="Z457" s="1383"/>
      <c r="AA457" s="1383"/>
      <c r="AB457" s="138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383"/>
      <c r="G458" s="1383"/>
      <c r="H458" s="1383"/>
      <c r="I458" s="1383"/>
      <c r="J458" s="1383"/>
      <c r="K458" s="1383"/>
      <c r="L458" s="1383"/>
      <c r="M458" s="1383"/>
      <c r="N458" s="1383"/>
      <c r="O458" s="1383"/>
      <c r="P458" s="1383"/>
      <c r="Q458" s="1383"/>
      <c r="R458" s="1383"/>
      <c r="S458" s="1383"/>
      <c r="T458" s="1383"/>
      <c r="U458" s="1383"/>
      <c r="V458" s="1383"/>
      <c r="W458" s="1383"/>
      <c r="X458" s="1383"/>
      <c r="Y458" s="1383"/>
      <c r="Z458" s="1383"/>
      <c r="AA458" s="1383"/>
      <c r="AB458" s="138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393" t="s">
        <v>2417</v>
      </c>
      <c r="E465" s="1385"/>
      <c r="F465" s="1385"/>
      <c r="G465" s="1385"/>
      <c r="H465" s="1385"/>
      <c r="I465" s="1385"/>
      <c r="J465" s="1385"/>
      <c r="K465" s="1385"/>
      <c r="L465" s="1385"/>
      <c r="M465" s="1385"/>
      <c r="N465" s="1385"/>
      <c r="O465" s="1385"/>
      <c r="P465" s="1385"/>
      <c r="Q465" s="1385"/>
      <c r="R465" s="1385"/>
      <c r="S465" s="1385"/>
      <c r="T465" s="1385"/>
      <c r="U465" s="1385"/>
      <c r="V465" s="1386"/>
      <c r="W465" s="1413">
        <v>0</v>
      </c>
      <c r="X465" s="1414"/>
      <c r="Y465" s="141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384" t="s">
        <v>703</v>
      </c>
      <c r="E466" s="1385"/>
      <c r="F466" s="1385"/>
      <c r="G466" s="1385"/>
      <c r="H466" s="1385"/>
      <c r="I466" s="1385"/>
      <c r="J466" s="1385"/>
      <c r="K466" s="1385"/>
      <c r="L466" s="1385"/>
      <c r="M466" s="1385"/>
      <c r="N466" s="1385"/>
      <c r="O466" s="1385"/>
      <c r="P466" s="1385"/>
      <c r="Q466" s="1385"/>
      <c r="R466" s="1385"/>
      <c r="S466" s="1385"/>
      <c r="T466" s="1385"/>
      <c r="U466" s="1385"/>
      <c r="V466" s="1386"/>
      <c r="W466" s="1413">
        <v>0</v>
      </c>
      <c r="X466" s="1414"/>
      <c r="Y466" s="141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384" t="s">
        <v>704</v>
      </c>
      <c r="E467" s="1385"/>
      <c r="F467" s="1385"/>
      <c r="G467" s="1385"/>
      <c r="H467" s="1385"/>
      <c r="I467" s="1385"/>
      <c r="J467" s="1385"/>
      <c r="K467" s="1385"/>
      <c r="L467" s="1385"/>
      <c r="M467" s="1385"/>
      <c r="N467" s="1385"/>
      <c r="O467" s="1385"/>
      <c r="P467" s="1385"/>
      <c r="Q467" s="1385"/>
      <c r="R467" s="1385"/>
      <c r="S467" s="1385"/>
      <c r="T467" s="1385"/>
      <c r="U467" s="1385"/>
      <c r="V467" s="1386"/>
      <c r="W467" s="1413">
        <v>0</v>
      </c>
      <c r="X467" s="1414"/>
      <c r="Y467" s="141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384" t="s">
        <v>705</v>
      </c>
      <c r="E468" s="1385"/>
      <c r="F468" s="1385"/>
      <c r="G468" s="1385"/>
      <c r="H468" s="1385"/>
      <c r="I468" s="1385"/>
      <c r="J468" s="1385"/>
      <c r="K468" s="1385"/>
      <c r="L468" s="1385"/>
      <c r="M468" s="1385"/>
      <c r="N468" s="1385"/>
      <c r="O468" s="1385"/>
      <c r="P468" s="1385"/>
      <c r="Q468" s="1385"/>
      <c r="R468" s="1385"/>
      <c r="S468" s="1385"/>
      <c r="T468" s="1385"/>
      <c r="U468" s="1385"/>
      <c r="V468" s="1386"/>
      <c r="W468" s="1413">
        <v>0</v>
      </c>
      <c r="X468" s="1414"/>
      <c r="Y468" s="141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384" t="s">
        <v>894</v>
      </c>
      <c r="E469" s="1385"/>
      <c r="F469" s="1385"/>
      <c r="G469" s="1385"/>
      <c r="H469" s="1385"/>
      <c r="I469" s="1385"/>
      <c r="J469" s="1385"/>
      <c r="K469" s="1385"/>
      <c r="L469" s="1385"/>
      <c r="M469" s="1385"/>
      <c r="N469" s="1385"/>
      <c r="O469" s="1385"/>
      <c r="P469" s="1385"/>
      <c r="Q469" s="1385"/>
      <c r="R469" s="1385"/>
      <c r="S469" s="1385"/>
      <c r="T469" s="1385"/>
      <c r="U469" s="1385"/>
      <c r="V469" s="1386"/>
      <c r="W469" s="1413">
        <v>0</v>
      </c>
      <c r="X469" s="1414"/>
      <c r="Y469" s="1415"/>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384" t="s">
        <v>706</v>
      </c>
      <c r="E470" s="1385"/>
      <c r="F470" s="1385"/>
      <c r="G470" s="1385"/>
      <c r="H470" s="1385"/>
      <c r="I470" s="1385"/>
      <c r="J470" s="1385"/>
      <c r="K470" s="1385"/>
      <c r="L470" s="1385"/>
      <c r="M470" s="1385"/>
      <c r="N470" s="1385"/>
      <c r="O470" s="1385"/>
      <c r="P470" s="1385"/>
      <c r="Q470" s="1385"/>
      <c r="R470" s="1385"/>
      <c r="S470" s="1385"/>
      <c r="T470" s="1385"/>
      <c r="U470" s="1385"/>
      <c r="V470" s="1386"/>
      <c r="W470" s="1413">
        <v>0</v>
      </c>
      <c r="X470" s="1414"/>
      <c r="Y470" s="1415"/>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384" t="s">
        <v>1037</v>
      </c>
      <c r="E471" s="1385"/>
      <c r="F471" s="1385"/>
      <c r="G471" s="1385"/>
      <c r="H471" s="1385"/>
      <c r="I471" s="1385"/>
      <c r="J471" s="1385"/>
      <c r="K471" s="1385"/>
      <c r="L471" s="1385"/>
      <c r="M471" s="1385"/>
      <c r="N471" s="1385"/>
      <c r="O471" s="1385"/>
      <c r="P471" s="1385"/>
      <c r="Q471" s="1385"/>
      <c r="R471" s="1385"/>
      <c r="S471" s="1385"/>
      <c r="T471" s="1385"/>
      <c r="U471" s="1385"/>
      <c r="V471" s="1386"/>
      <c r="W471" s="1413">
        <v>0</v>
      </c>
      <c r="X471" s="1414"/>
      <c r="Y471" s="141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393" t="s">
        <v>2552</v>
      </c>
      <c r="E472" s="1496"/>
      <c r="F472" s="1496"/>
      <c r="G472" s="1496"/>
      <c r="H472" s="1496"/>
      <c r="I472" s="1496"/>
      <c r="J472" s="1496"/>
      <c r="K472" s="1496"/>
      <c r="L472" s="1496"/>
      <c r="M472" s="1496"/>
      <c r="N472" s="1496"/>
      <c r="O472" s="1496"/>
      <c r="P472" s="1496"/>
      <c r="Q472" s="1496"/>
      <c r="R472" s="1496"/>
      <c r="S472" s="1496"/>
      <c r="T472" s="1496"/>
      <c r="U472" s="1496"/>
      <c r="V472" s="1497"/>
      <c r="W472" s="1413">
        <v>0</v>
      </c>
      <c r="X472" s="1414"/>
      <c r="Y472" s="141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393" t="s">
        <v>1766</v>
      </c>
      <c r="E473" s="1385"/>
      <c r="F473" s="1385"/>
      <c r="G473" s="1385"/>
      <c r="H473" s="1385"/>
      <c r="I473" s="1385"/>
      <c r="J473" s="1385"/>
      <c r="K473" s="1385"/>
      <c r="L473" s="1385"/>
      <c r="M473" s="1385"/>
      <c r="N473" s="1385"/>
      <c r="O473" s="1385"/>
      <c r="P473" s="1385"/>
      <c r="Q473" s="1385"/>
      <c r="R473" s="1385"/>
      <c r="S473" s="1385"/>
      <c r="T473" s="1385"/>
      <c r="U473" s="1385"/>
      <c r="V473" s="1386"/>
      <c r="W473" s="1413">
        <v>6</v>
      </c>
      <c r="X473" s="1414"/>
      <c r="Y473" s="141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410"/>
      <c r="H474" s="1411"/>
      <c r="I474" s="1411"/>
      <c r="J474" s="1411"/>
      <c r="K474" s="1411"/>
      <c r="L474" s="1411"/>
      <c r="M474" s="1411"/>
      <c r="N474" s="1411"/>
      <c r="O474" s="1411"/>
      <c r="P474" s="1411"/>
      <c r="Q474" s="1411"/>
      <c r="R474" s="1411"/>
      <c r="S474" s="1411"/>
      <c r="T474" s="1411"/>
      <c r="U474" s="1411"/>
      <c r="V474" s="1412"/>
      <c r="W474" s="1413">
        <v>0</v>
      </c>
      <c r="X474" s="1414"/>
      <c r="Y474" s="141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73" t="s">
        <v>820</v>
      </c>
      <c r="B480" s="1473"/>
      <c r="C480" s="1473"/>
      <c r="D480" s="1473"/>
      <c r="E480" s="1473"/>
      <c r="F480" s="1473"/>
      <c r="G480" s="1473"/>
      <c r="H480" s="1473"/>
      <c r="I480" s="1473"/>
      <c r="J480" s="1473"/>
      <c r="K480" s="1473"/>
      <c r="L480" s="1473"/>
      <c r="M480" s="1473"/>
      <c r="N480" s="1473"/>
      <c r="O480" s="1473"/>
      <c r="P480" s="1473"/>
      <c r="Q480" s="1473"/>
      <c r="R480" s="1473"/>
      <c r="S480" s="1473"/>
      <c r="T480" s="1473"/>
      <c r="U480" s="1473"/>
      <c r="V480" s="1473"/>
      <c r="W480" s="1473"/>
      <c r="X480" s="1473"/>
      <c r="Y480" s="1473"/>
      <c r="Z480" s="1473"/>
      <c r="AA480" s="1473"/>
      <c r="AB480" s="1473"/>
      <c r="AC480" s="1473"/>
      <c r="AD480" s="1473"/>
      <c r="AE480" s="1473"/>
      <c r="AF480" s="1473"/>
      <c r="AG480" s="1473"/>
      <c r="AH480" s="1473"/>
      <c r="AI480" s="1473"/>
      <c r="AJ480" s="1473"/>
      <c r="AK480" s="1473"/>
      <c r="AL480" s="1473"/>
      <c r="AM480" s="1473"/>
      <c r="AN480" s="1473"/>
      <c r="AO480" s="1473"/>
      <c r="AP480" s="1473"/>
      <c r="AQ480" s="1473"/>
      <c r="AR480" s="1473"/>
      <c r="AS480" s="1473"/>
      <c r="AT480" s="1473"/>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73"/>
      <c r="B481" s="1473"/>
      <c r="C481" s="1473"/>
      <c r="D481" s="1473"/>
      <c r="E481" s="1473"/>
      <c r="F481" s="1473"/>
      <c r="G481" s="1473"/>
      <c r="H481" s="1473"/>
      <c r="I481" s="1473"/>
      <c r="J481" s="1473"/>
      <c r="K481" s="1473"/>
      <c r="L481" s="1473"/>
      <c r="M481" s="1473"/>
      <c r="N481" s="1473"/>
      <c r="O481" s="1473"/>
      <c r="P481" s="1473"/>
      <c r="Q481" s="1473"/>
      <c r="R481" s="1473"/>
      <c r="S481" s="1473"/>
      <c r="T481" s="1473"/>
      <c r="U481" s="1473"/>
      <c r="V481" s="1473"/>
      <c r="W481" s="1473"/>
      <c r="X481" s="1473"/>
      <c r="Y481" s="1473"/>
      <c r="Z481" s="1473"/>
      <c r="AA481" s="1473"/>
      <c r="AB481" s="1473"/>
      <c r="AC481" s="1473"/>
      <c r="AD481" s="1473"/>
      <c r="AE481" s="1473"/>
      <c r="AF481" s="1473"/>
      <c r="AG481" s="1473"/>
      <c r="AH481" s="1473"/>
      <c r="AI481" s="1473"/>
      <c r="AJ481" s="1473"/>
      <c r="AK481" s="1473"/>
      <c r="AL481" s="1473"/>
      <c r="AM481" s="1473"/>
      <c r="AN481" s="1473"/>
      <c r="AO481" s="1473"/>
      <c r="AP481" s="1473"/>
      <c r="AQ481" s="1473"/>
      <c r="AR481" s="1473"/>
      <c r="AS481" s="1473"/>
      <c r="AT481" s="1473"/>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07" t="s">
        <v>394</v>
      </c>
      <c r="R485" s="1408"/>
      <c r="S485" s="1408"/>
      <c r="T485" s="1408"/>
      <c r="U485" s="1408"/>
      <c r="V485" s="1408"/>
      <c r="W485" s="1408"/>
      <c r="X485" s="1408"/>
      <c r="Y485" s="1408"/>
      <c r="Z485" s="1408"/>
      <c r="AA485" s="1408"/>
      <c r="AB485" s="1408"/>
      <c r="AC485" s="1408"/>
      <c r="AD485" s="1408"/>
      <c r="AE485" s="1408"/>
      <c r="AF485" s="1408"/>
      <c r="AG485" s="1408"/>
      <c r="AH485" s="1408"/>
      <c r="AI485" s="1408"/>
      <c r="AJ485" s="1408"/>
      <c r="AK485" s="1409"/>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16" t="s">
        <v>2777</v>
      </c>
      <c r="R486" s="1417"/>
      <c r="S486" s="1417"/>
      <c r="T486" s="1417"/>
      <c r="U486" s="1417"/>
      <c r="V486" s="1417"/>
      <c r="W486" s="1417"/>
      <c r="X486" s="1417"/>
      <c r="Y486" s="1417"/>
      <c r="Z486" s="1417"/>
      <c r="AA486" s="1417"/>
      <c r="AB486" s="1417"/>
      <c r="AC486" s="1417"/>
      <c r="AD486" s="1417"/>
      <c r="AE486" s="1417"/>
      <c r="AF486" s="1417"/>
      <c r="AG486" s="1417"/>
      <c r="AH486" s="1417"/>
      <c r="AI486" s="1417"/>
      <c r="AJ486" s="1417"/>
      <c r="AK486" s="1418"/>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16" t="s">
        <v>2756</v>
      </c>
      <c r="R487" s="1417"/>
      <c r="S487" s="1417"/>
      <c r="T487" s="1417"/>
      <c r="U487" s="1417"/>
      <c r="V487" s="1417"/>
      <c r="W487" s="1417"/>
      <c r="X487" s="1417"/>
      <c r="Y487" s="1417"/>
      <c r="Z487" s="1417"/>
      <c r="AA487" s="1417"/>
      <c r="AB487" s="1417"/>
      <c r="AC487" s="1417"/>
      <c r="AD487" s="1417"/>
      <c r="AE487" s="1417"/>
      <c r="AF487" s="1417"/>
      <c r="AG487" s="1417"/>
      <c r="AH487" s="1417"/>
      <c r="AI487" s="1417"/>
      <c r="AJ487" s="1417"/>
      <c r="AK487" s="1418"/>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16" t="s">
        <v>2756</v>
      </c>
      <c r="R488" s="1417"/>
      <c r="S488" s="1417"/>
      <c r="T488" s="1417"/>
      <c r="U488" s="1417"/>
      <c r="V488" s="1417"/>
      <c r="W488" s="1417"/>
      <c r="X488" s="1417"/>
      <c r="Y488" s="1417"/>
      <c r="Z488" s="1417"/>
      <c r="AA488" s="1417"/>
      <c r="AB488" s="1417"/>
      <c r="AC488" s="1417"/>
      <c r="AD488" s="1417"/>
      <c r="AE488" s="1417"/>
      <c r="AF488" s="1417"/>
      <c r="AG488" s="1417"/>
      <c r="AH488" s="1417"/>
      <c r="AI488" s="1417"/>
      <c r="AJ488" s="1417"/>
      <c r="AK488" s="1418"/>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7" t="s">
        <v>398</v>
      </c>
      <c r="C489" s="1478"/>
      <c r="D489" s="1478"/>
      <c r="E489" s="1478"/>
      <c r="F489" s="1478"/>
      <c r="G489" s="1478"/>
      <c r="H489" s="1478"/>
      <c r="I489" s="1478"/>
      <c r="J489" s="1478"/>
      <c r="K489" s="1478"/>
      <c r="L489" s="1478"/>
      <c r="M489" s="1478"/>
      <c r="N489" s="1478"/>
      <c r="O489" s="1478"/>
      <c r="P489" s="1479"/>
      <c r="Q489" s="1483" t="s">
        <v>678</v>
      </c>
      <c r="R489" s="1484"/>
      <c r="S489" s="1533" t="s">
        <v>166</v>
      </c>
      <c r="T489" s="1534"/>
      <c r="U489" s="1534"/>
      <c r="V489" s="1534"/>
      <c r="W489" s="1534"/>
      <c r="X489" s="1534"/>
      <c r="Y489" s="1534"/>
      <c r="Z489" s="1534"/>
      <c r="AA489" s="1534"/>
      <c r="AB489" s="1534"/>
      <c r="AC489" s="1534"/>
      <c r="AD489" s="1534"/>
      <c r="AE489" s="1534"/>
      <c r="AF489" s="1534"/>
      <c r="AG489" s="1534"/>
      <c r="AH489" s="1534"/>
      <c r="AI489" s="1534"/>
      <c r="AJ489" s="1534"/>
      <c r="AK489" s="1535"/>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80"/>
      <c r="C490" s="1481"/>
      <c r="D490" s="1481"/>
      <c r="E490" s="1481"/>
      <c r="F490" s="1481"/>
      <c r="G490" s="1481"/>
      <c r="H490" s="1481"/>
      <c r="I490" s="1481"/>
      <c r="J490" s="1481"/>
      <c r="K490" s="1481"/>
      <c r="L490" s="1481"/>
      <c r="M490" s="1481"/>
      <c r="N490" s="1481"/>
      <c r="O490" s="1481"/>
      <c r="P490" s="1482"/>
      <c r="Q490" s="1485"/>
      <c r="R490" s="1486"/>
      <c r="S490" s="1536"/>
      <c r="T490" s="1493"/>
      <c r="U490" s="1493"/>
      <c r="V490" s="1493"/>
      <c r="W490" s="1493"/>
      <c r="X490" s="1493"/>
      <c r="Y490" s="1493"/>
      <c r="Z490" s="1493"/>
      <c r="AA490" s="1493"/>
      <c r="AB490" s="1493"/>
      <c r="AC490" s="1493"/>
      <c r="AD490" s="1493"/>
      <c r="AE490" s="1493"/>
      <c r="AF490" s="1493"/>
      <c r="AG490" s="1493"/>
      <c r="AH490" s="1493"/>
      <c r="AI490" s="1493"/>
      <c r="AJ490" s="1493"/>
      <c r="AK490" s="1537"/>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387" t="s">
        <v>678</v>
      </c>
      <c r="R491" s="1388"/>
      <c r="S491" s="1388"/>
      <c r="T491" s="1388"/>
      <c r="U491" s="1388"/>
      <c r="V491" s="1388"/>
      <c r="W491" s="1388"/>
      <c r="X491" s="1388"/>
      <c r="Y491" s="1388"/>
      <c r="Z491" s="1388"/>
      <c r="AA491" s="1388"/>
      <c r="AB491" s="1388"/>
      <c r="AC491" s="1388"/>
      <c r="AD491" s="1388"/>
      <c r="AE491" s="1388"/>
      <c r="AF491" s="1388"/>
      <c r="AG491" s="1388"/>
      <c r="AH491" s="1388"/>
      <c r="AI491" s="1388"/>
      <c r="AJ491" s="1388"/>
      <c r="AK491" s="1389"/>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16">
        <v>0</v>
      </c>
      <c r="R492" s="1417"/>
      <c r="S492" s="1417"/>
      <c r="T492" s="1417"/>
      <c r="U492" s="1417"/>
      <c r="V492" s="1417"/>
      <c r="W492" s="1417"/>
      <c r="X492" s="1417"/>
      <c r="Y492" s="1417"/>
      <c r="Z492" s="1417"/>
      <c r="AA492" s="1417"/>
      <c r="AB492" s="1417"/>
      <c r="AC492" s="1417"/>
      <c r="AD492" s="1417"/>
      <c r="AE492" s="1417"/>
      <c r="AF492" s="1417"/>
      <c r="AG492" s="1417"/>
      <c r="AH492" s="1417"/>
      <c r="AI492" s="1417"/>
      <c r="AJ492" s="1417"/>
      <c r="AK492" s="1418"/>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16">
        <v>1.1000000000000001</v>
      </c>
      <c r="R493" s="1417"/>
      <c r="S493" s="1417"/>
      <c r="T493" s="1417"/>
      <c r="U493" s="1417"/>
      <c r="V493" s="1417"/>
      <c r="W493" s="1417"/>
      <c r="X493" s="1417"/>
      <c r="Y493" s="1417"/>
      <c r="Z493" s="1417"/>
      <c r="AA493" s="1417"/>
      <c r="AB493" s="1417"/>
      <c r="AC493" s="1417"/>
      <c r="AD493" s="1417"/>
      <c r="AE493" s="1417"/>
      <c r="AF493" s="1417"/>
      <c r="AG493" s="1417"/>
      <c r="AH493" s="1417"/>
      <c r="AI493" s="1417"/>
      <c r="AJ493" s="1417"/>
      <c r="AK493" s="1418"/>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16">
        <v>123</v>
      </c>
      <c r="R494" s="1417"/>
      <c r="S494" s="1417"/>
      <c r="T494" s="1417"/>
      <c r="U494" s="1417"/>
      <c r="V494" s="1417"/>
      <c r="W494" s="1417"/>
      <c r="X494" s="1417"/>
      <c r="Y494" s="1417"/>
      <c r="Z494" s="1417"/>
      <c r="AA494" s="1417"/>
      <c r="AB494" s="1417"/>
      <c r="AC494" s="1417"/>
      <c r="AD494" s="1417"/>
      <c r="AE494" s="1417"/>
      <c r="AF494" s="1417"/>
      <c r="AG494" s="1417"/>
      <c r="AH494" s="1417"/>
      <c r="AI494" s="1417"/>
      <c r="AJ494" s="1417"/>
      <c r="AK494" s="1418"/>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390">
        <v>0</v>
      </c>
      <c r="N495" s="1391"/>
      <c r="O495" s="1391"/>
      <c r="P495" s="1392"/>
      <c r="Q495" s="121" t="s">
        <v>1783</v>
      </c>
      <c r="R495" s="5"/>
      <c r="S495" s="5"/>
      <c r="T495" s="5"/>
      <c r="U495" s="5"/>
      <c r="V495" s="5"/>
      <c r="W495" s="5"/>
      <c r="X495" s="5"/>
      <c r="Y495" s="5"/>
      <c r="Z495" s="5"/>
      <c r="AA495" s="5"/>
      <c r="AB495" s="5"/>
      <c r="AC495" s="5"/>
      <c r="AD495" s="5"/>
      <c r="AE495" s="5"/>
      <c r="AF495" s="5"/>
      <c r="AG495" s="5"/>
      <c r="AH495" s="1390">
        <v>123</v>
      </c>
      <c r="AI495" s="1391"/>
      <c r="AJ495" s="1391"/>
      <c r="AK495" s="1392"/>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07" t="s">
        <v>402</v>
      </c>
      <c r="AD499" s="1408"/>
      <c r="AE499" s="1408"/>
      <c r="AF499" s="1408"/>
      <c r="AG499" s="1408"/>
      <c r="AH499" s="1408"/>
      <c r="AI499" s="1408"/>
      <c r="AJ499" s="1408"/>
      <c r="AK499" s="1409"/>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07" t="s">
        <v>403</v>
      </c>
      <c r="AD500" s="1408"/>
      <c r="AE500" s="1408"/>
      <c r="AF500" s="1408"/>
      <c r="AG500" s="50" t="s">
        <v>404</v>
      </c>
      <c r="AH500" s="1408" t="s">
        <v>405</v>
      </c>
      <c r="AI500" s="1408"/>
      <c r="AJ500" s="1408"/>
      <c r="AK500" s="1409"/>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369" t="s">
        <v>406</v>
      </c>
      <c r="C501" s="1370"/>
      <c r="D501" s="1370"/>
      <c r="E501" s="1370"/>
      <c r="F501" s="1370"/>
      <c r="G501" s="1370"/>
      <c r="H501" s="1371"/>
      <c r="I501" s="42" t="s">
        <v>407</v>
      </c>
      <c r="J501" s="42"/>
      <c r="K501" s="42"/>
      <c r="L501" s="42"/>
      <c r="M501" s="42"/>
      <c r="N501" s="42"/>
      <c r="O501" s="42"/>
      <c r="P501" s="42"/>
      <c r="Q501" s="42"/>
      <c r="R501" s="42"/>
      <c r="S501" s="42"/>
      <c r="T501" s="42"/>
      <c r="U501" s="42"/>
      <c r="V501" s="42"/>
      <c r="W501" s="42"/>
      <c r="AC501" s="1397">
        <v>6</v>
      </c>
      <c r="AD501" s="1398"/>
      <c r="AE501" s="1398"/>
      <c r="AF501" s="1398"/>
      <c r="AG501" s="13" t="s">
        <v>404</v>
      </c>
      <c r="AH501" s="1395">
        <v>2024</v>
      </c>
      <c r="AI501" s="1395"/>
      <c r="AJ501" s="1395"/>
      <c r="AK501" s="1396"/>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372"/>
      <c r="C502" s="1373"/>
      <c r="D502" s="1373"/>
      <c r="E502" s="1373"/>
      <c r="F502" s="1373"/>
      <c r="G502" s="1373"/>
      <c r="H502" s="1374"/>
      <c r="I502" s="48" t="s">
        <v>408</v>
      </c>
      <c r="J502" s="48"/>
      <c r="K502" s="48"/>
      <c r="L502" s="48"/>
      <c r="M502" s="48"/>
      <c r="N502" s="48"/>
      <c r="O502" s="48"/>
      <c r="P502" s="48"/>
      <c r="Q502" s="48"/>
      <c r="R502" s="48"/>
      <c r="S502" s="48"/>
      <c r="T502" s="48"/>
      <c r="U502" s="48"/>
      <c r="V502" s="48"/>
      <c r="W502" s="48"/>
      <c r="X502" s="48"/>
      <c r="Y502" s="48"/>
      <c r="Z502" s="48"/>
      <c r="AA502" s="48"/>
      <c r="AB502" s="48"/>
      <c r="AC502" s="1397">
        <v>5</v>
      </c>
      <c r="AD502" s="1398"/>
      <c r="AE502" s="1398"/>
      <c r="AF502" s="1398"/>
      <c r="AG502" s="38" t="s">
        <v>404</v>
      </c>
      <c r="AH502" s="1395">
        <v>2025</v>
      </c>
      <c r="AI502" s="1395"/>
      <c r="AJ502" s="1395"/>
      <c r="AK502" s="1396"/>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369" t="s">
        <v>409</v>
      </c>
      <c r="C503" s="1370"/>
      <c r="D503" s="1370"/>
      <c r="E503" s="1370"/>
      <c r="F503" s="1370"/>
      <c r="G503" s="1370"/>
      <c r="H503" s="1371"/>
      <c r="I503" s="42" t="s">
        <v>410</v>
      </c>
      <c r="J503" s="42"/>
      <c r="K503" s="42"/>
      <c r="L503" s="42"/>
      <c r="M503" s="42"/>
      <c r="N503" s="42"/>
      <c r="O503" s="42"/>
      <c r="P503" s="42"/>
      <c r="Q503" s="42"/>
      <c r="R503" s="42"/>
      <c r="S503" s="42"/>
      <c r="T503" s="42"/>
      <c r="U503" s="42"/>
      <c r="V503" s="42"/>
      <c r="W503" s="42"/>
      <c r="AC503" s="1397" t="s">
        <v>600</v>
      </c>
      <c r="AD503" s="1398"/>
      <c r="AE503" s="1398"/>
      <c r="AF503" s="1398"/>
      <c r="AG503" s="13" t="s">
        <v>404</v>
      </c>
      <c r="AH503" s="1395"/>
      <c r="AI503" s="1395"/>
      <c r="AJ503" s="1395"/>
      <c r="AK503" s="1396"/>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372"/>
      <c r="C504" s="1373"/>
      <c r="D504" s="1373"/>
      <c r="E504" s="1373"/>
      <c r="F504" s="1373"/>
      <c r="G504" s="1373"/>
      <c r="H504" s="1374"/>
      <c r="I504" t="s">
        <v>411</v>
      </c>
      <c r="AC504" s="1397" t="s">
        <v>600</v>
      </c>
      <c r="AD504" s="1398"/>
      <c r="AE504" s="1398"/>
      <c r="AF504" s="1398"/>
      <c r="AG504" s="13" t="s">
        <v>404</v>
      </c>
      <c r="AH504" s="1395"/>
      <c r="AI504" s="1395"/>
      <c r="AJ504" s="1395"/>
      <c r="AK504" s="1396"/>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372"/>
      <c r="C505" s="1373"/>
      <c r="D505" s="1373"/>
      <c r="E505" s="1373"/>
      <c r="F505" s="1373"/>
      <c r="G505" s="1373"/>
      <c r="H505" s="1374"/>
      <c r="I505" t="s">
        <v>412</v>
      </c>
      <c r="AC505" s="1397" t="s">
        <v>600</v>
      </c>
      <c r="AD505" s="1398"/>
      <c r="AE505" s="1398"/>
      <c r="AF505" s="1398"/>
      <c r="AG505" s="13" t="s">
        <v>404</v>
      </c>
      <c r="AH505" s="1395"/>
      <c r="AI505" s="1395"/>
      <c r="AJ505" s="1395"/>
      <c r="AK505" s="1396"/>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372"/>
      <c r="C506" s="1373"/>
      <c r="D506" s="1373"/>
      <c r="E506" s="1373"/>
      <c r="F506" s="1373"/>
      <c r="G506" s="1373"/>
      <c r="H506" s="1374"/>
      <c r="I506" t="s">
        <v>413</v>
      </c>
      <c r="AC506" s="1397" t="s">
        <v>600</v>
      </c>
      <c r="AD506" s="1398"/>
      <c r="AE506" s="1398"/>
      <c r="AF506" s="1398"/>
      <c r="AG506" s="13" t="s">
        <v>404</v>
      </c>
      <c r="AH506" s="1395"/>
      <c r="AI506" s="1395"/>
      <c r="AJ506" s="1395"/>
      <c r="AK506" s="1396"/>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372"/>
      <c r="C507" s="1373"/>
      <c r="D507" s="1373"/>
      <c r="E507" s="1373"/>
      <c r="F507" s="1373"/>
      <c r="G507" s="1373"/>
      <c r="H507" s="1374"/>
      <c r="I507" s="3" t="s">
        <v>414</v>
      </c>
      <c r="AC507" s="1379" t="s">
        <v>600</v>
      </c>
      <c r="AD507" s="1380"/>
      <c r="AE507" s="1380"/>
      <c r="AF507" s="1380"/>
      <c r="AG507" s="13" t="s">
        <v>404</v>
      </c>
      <c r="AH507" s="1395"/>
      <c r="AI507" s="1395"/>
      <c r="AJ507" s="1395"/>
      <c r="AK507" s="1396"/>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372"/>
      <c r="C508" s="1373"/>
      <c r="D508" s="1373"/>
      <c r="E508" s="1373"/>
      <c r="F508" s="1373"/>
      <c r="G508" s="1373"/>
      <c r="H508" s="1374"/>
      <c r="I508" s="931" t="s">
        <v>170</v>
      </c>
      <c r="J508" s="48"/>
      <c r="K508" s="48"/>
      <c r="L508" s="1426" t="s">
        <v>335</v>
      </c>
      <c r="M508" s="1427"/>
      <c r="N508" s="1427"/>
      <c r="O508" s="1427"/>
      <c r="P508" s="1427"/>
      <c r="Q508" s="1427"/>
      <c r="R508" s="1427"/>
      <c r="S508" s="1427"/>
      <c r="T508" s="1427"/>
      <c r="U508" s="1427"/>
      <c r="V508" s="1427"/>
      <c r="W508" s="1427"/>
      <c r="X508" s="1427"/>
      <c r="Y508" s="1427"/>
      <c r="Z508" s="1427"/>
      <c r="AA508" s="1427"/>
      <c r="AB508" s="1510"/>
      <c r="AC508" s="1397" t="s">
        <v>600</v>
      </c>
      <c r="AD508" s="1398"/>
      <c r="AE508" s="1398"/>
      <c r="AF508" s="1398"/>
      <c r="AG508" s="38" t="s">
        <v>404</v>
      </c>
      <c r="AH508" s="1395"/>
      <c r="AI508" s="1395"/>
      <c r="AJ508" s="1395"/>
      <c r="AK508" s="1396"/>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394" t="s">
        <v>1291</v>
      </c>
      <c r="AD509" s="1394"/>
      <c r="AE509" s="1394"/>
      <c r="AF509" s="1394"/>
      <c r="AG509" s="13"/>
      <c r="AH509" s="1303"/>
      <c r="AI509" s="1303"/>
      <c r="AJ509" s="1303"/>
      <c r="AK509" s="139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79"/>
      <c r="AD510" s="1380"/>
      <c r="AE510" s="1380"/>
      <c r="AF510" s="1381"/>
      <c r="AG510" s="13"/>
      <c r="AH510" s="1303"/>
      <c r="AI510" s="1303"/>
      <c r="AJ510" s="1303"/>
      <c r="AK510" s="139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54"/>
      <c r="AD512" s="1455"/>
      <c r="AE512" s="1455"/>
      <c r="AF512" s="1456"/>
      <c r="AG512" s="38"/>
      <c r="AH512" s="1457"/>
      <c r="AI512" s="1457"/>
      <c r="AJ512" s="1457"/>
      <c r="AK512" s="1458"/>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52" t="s">
        <v>403</v>
      </c>
      <c r="AD513" s="1453"/>
      <c r="AE513" s="1453"/>
      <c r="AF513" s="1453"/>
      <c r="AG513" s="38" t="s">
        <v>404</v>
      </c>
      <c r="AH513" s="1453" t="s">
        <v>405</v>
      </c>
      <c r="AI513" s="1453"/>
      <c r="AJ513" s="1453"/>
      <c r="AK513" s="1505"/>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369" t="s">
        <v>415</v>
      </c>
      <c r="C514" s="1370"/>
      <c r="D514" s="1370"/>
      <c r="E514" s="1370"/>
      <c r="F514" s="1370"/>
      <c r="G514" s="1370"/>
      <c r="H514" s="1371"/>
      <c r="I514" s="42" t="s">
        <v>416</v>
      </c>
      <c r="J514" s="42"/>
      <c r="K514" s="42"/>
      <c r="L514" s="42"/>
      <c r="M514" s="42"/>
      <c r="N514" s="42"/>
      <c r="O514" s="42"/>
      <c r="P514" s="42"/>
      <c r="Q514" s="42"/>
      <c r="R514" s="42"/>
      <c r="S514" s="42"/>
      <c r="T514" s="42"/>
      <c r="U514" s="42"/>
      <c r="V514" s="42"/>
      <c r="W514" s="42"/>
      <c r="AC514" s="1397">
        <v>8</v>
      </c>
      <c r="AD514" s="1398"/>
      <c r="AE514" s="1398"/>
      <c r="AF514" s="1398"/>
      <c r="AG514" s="13" t="s">
        <v>404</v>
      </c>
      <c r="AH514" s="1395">
        <v>2024</v>
      </c>
      <c r="AI514" s="1395"/>
      <c r="AJ514" s="1395"/>
      <c r="AK514" s="1396"/>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372"/>
      <c r="C515" s="1373"/>
      <c r="D515" s="1373"/>
      <c r="E515" s="1373"/>
      <c r="F515" s="1373"/>
      <c r="G515" s="1373"/>
      <c r="H515" s="1374"/>
      <c r="I515" t="s">
        <v>417</v>
      </c>
      <c r="AC515" s="1397">
        <v>8</v>
      </c>
      <c r="AD515" s="1398"/>
      <c r="AE515" s="1398"/>
      <c r="AF515" s="1398"/>
      <c r="AG515" s="13" t="s">
        <v>404</v>
      </c>
      <c r="AH515" s="1395">
        <v>2024</v>
      </c>
      <c r="AI515" s="1395"/>
      <c r="AJ515" s="1395"/>
      <c r="AK515" s="1396"/>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372"/>
      <c r="C516" s="1373"/>
      <c r="D516" s="1373"/>
      <c r="E516" s="1373"/>
      <c r="F516" s="1373"/>
      <c r="G516" s="1373"/>
      <c r="H516" s="1374"/>
      <c r="I516" s="48" t="s">
        <v>418</v>
      </c>
      <c r="J516" s="48"/>
      <c r="K516" s="48"/>
      <c r="L516" s="48"/>
      <c r="M516" s="48"/>
      <c r="N516" s="48"/>
      <c r="O516" s="48"/>
      <c r="P516" s="48"/>
      <c r="Q516" s="48"/>
      <c r="R516" s="48"/>
      <c r="S516" s="48"/>
      <c r="T516" s="48"/>
      <c r="U516" s="48"/>
      <c r="V516" s="48"/>
      <c r="W516" s="48"/>
      <c r="X516" s="48"/>
      <c r="Y516" s="48"/>
      <c r="Z516" s="48"/>
      <c r="AA516" s="48"/>
      <c r="AB516" s="48"/>
      <c r="AC516" s="1397" t="s">
        <v>600</v>
      </c>
      <c r="AD516" s="1398"/>
      <c r="AE516" s="1398"/>
      <c r="AF516" s="1398"/>
      <c r="AG516" s="38" t="s">
        <v>404</v>
      </c>
      <c r="AH516" s="1395"/>
      <c r="AI516" s="1395"/>
      <c r="AJ516" s="1395"/>
      <c r="AK516" s="1396"/>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369" t="s">
        <v>419</v>
      </c>
      <c r="C517" s="1370"/>
      <c r="D517" s="1370"/>
      <c r="E517" s="1370"/>
      <c r="F517" s="1370"/>
      <c r="G517" s="1370"/>
      <c r="H517" s="1371"/>
      <c r="I517" s="42" t="s">
        <v>416</v>
      </c>
      <c r="J517" s="42"/>
      <c r="K517" s="42"/>
      <c r="L517" s="42"/>
      <c r="M517" s="42"/>
      <c r="N517" s="42"/>
      <c r="O517" s="42"/>
      <c r="P517" s="42"/>
      <c r="Q517" s="42"/>
      <c r="R517" s="42"/>
      <c r="S517" s="42"/>
      <c r="T517" s="42"/>
      <c r="U517" s="42"/>
      <c r="V517" s="42"/>
      <c r="W517" s="42"/>
      <c r="X517" s="42"/>
      <c r="Y517" s="42"/>
      <c r="Z517" s="42"/>
      <c r="AA517" s="42"/>
      <c r="AB517" s="42"/>
      <c r="AC517" s="1379">
        <v>8</v>
      </c>
      <c r="AD517" s="1380"/>
      <c r="AE517" s="1380"/>
      <c r="AF517" s="1380"/>
      <c r="AG517" s="129" t="s">
        <v>404</v>
      </c>
      <c r="AH517" s="1395">
        <v>2024</v>
      </c>
      <c r="AI517" s="1395"/>
      <c r="AJ517" s="1395"/>
      <c r="AK517" s="1396"/>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372"/>
      <c r="C518" s="1373"/>
      <c r="D518" s="1373"/>
      <c r="E518" s="1373"/>
      <c r="F518" s="1373"/>
      <c r="G518" s="1373"/>
      <c r="H518" s="1374"/>
      <c r="I518" t="s">
        <v>417</v>
      </c>
      <c r="AC518" s="1397">
        <v>8</v>
      </c>
      <c r="AD518" s="1398"/>
      <c r="AE518" s="1398"/>
      <c r="AF518" s="1398"/>
      <c r="AG518" s="13" t="s">
        <v>404</v>
      </c>
      <c r="AH518" s="1395">
        <v>2024</v>
      </c>
      <c r="AI518" s="1395"/>
      <c r="AJ518" s="1395"/>
      <c r="AK518" s="1396"/>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375"/>
      <c r="C519" s="1376"/>
      <c r="D519" s="1376"/>
      <c r="E519" s="1376"/>
      <c r="F519" s="1376"/>
      <c r="G519" s="1376"/>
      <c r="H519" s="1377"/>
      <c r="I519" s="48" t="s">
        <v>418</v>
      </c>
      <c r="J519" s="48"/>
      <c r="K519" s="48"/>
      <c r="L519" s="48"/>
      <c r="M519" s="48"/>
      <c r="N519" s="48"/>
      <c r="O519" s="48"/>
      <c r="P519" s="48"/>
      <c r="Q519" s="48"/>
      <c r="R519" s="48"/>
      <c r="S519" s="48"/>
      <c r="T519" s="48"/>
      <c r="U519" s="48"/>
      <c r="V519" s="48"/>
      <c r="W519" s="48"/>
      <c r="X519" s="48"/>
      <c r="Y519" s="48"/>
      <c r="Z519" s="48"/>
      <c r="AA519" s="48"/>
      <c r="AB519" s="48"/>
      <c r="AC519" s="1397" t="s">
        <v>600</v>
      </c>
      <c r="AD519" s="1398"/>
      <c r="AE519" s="1398"/>
      <c r="AF519" s="1398"/>
      <c r="AG519" s="38" t="s">
        <v>404</v>
      </c>
      <c r="AH519" s="1395"/>
      <c r="AI519" s="1395"/>
      <c r="AJ519" s="1395"/>
      <c r="AK519" s="1396"/>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369" t="s">
        <v>420</v>
      </c>
      <c r="C520" s="1370"/>
      <c r="D520" s="1370"/>
      <c r="E520" s="1370"/>
      <c r="F520" s="1370"/>
      <c r="G520" s="1370"/>
      <c r="H520" s="1371"/>
      <c r="I520" s="41" t="s">
        <v>421</v>
      </c>
      <c r="J520" s="42"/>
      <c r="K520" s="42"/>
      <c r="L520" s="42"/>
      <c r="M520" s="42"/>
      <c r="N520" s="42"/>
      <c r="O520" s="1426" t="s">
        <v>2715</v>
      </c>
      <c r="P520" s="1427"/>
      <c r="Q520" s="1427"/>
      <c r="R520" s="1427"/>
      <c r="S520" s="1427"/>
      <c r="T520" s="1427"/>
      <c r="U520" s="1427"/>
      <c r="V520" s="1427"/>
      <c r="W520" s="1427"/>
      <c r="X520" s="1427"/>
      <c r="Y520" s="1427"/>
      <c r="Z520" s="1427"/>
      <c r="AA520" s="1427"/>
      <c r="AB520" s="58"/>
      <c r="AC520" s="1379">
        <v>8</v>
      </c>
      <c r="AD520" s="1380"/>
      <c r="AE520" s="1380"/>
      <c r="AF520" s="1380"/>
      <c r="AG520" s="129" t="s">
        <v>404</v>
      </c>
      <c r="AH520" s="1395">
        <v>2024</v>
      </c>
      <c r="AI520" s="1395"/>
      <c r="AJ520" s="1395"/>
      <c r="AK520" s="1396"/>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372"/>
      <c r="C521" s="1373"/>
      <c r="D521" s="1373"/>
      <c r="E521" s="1373"/>
      <c r="F521" s="1373"/>
      <c r="G521" s="1373"/>
      <c r="H521" s="1374"/>
      <c r="I521" s="114" t="s">
        <v>422</v>
      </c>
      <c r="AB521" s="65"/>
      <c r="AC521" s="1397" t="s">
        <v>600</v>
      </c>
      <c r="AD521" s="1398"/>
      <c r="AE521" s="1398"/>
      <c r="AF521" s="1398"/>
      <c r="AG521" s="13" t="s">
        <v>404</v>
      </c>
      <c r="AH521" s="1395"/>
      <c r="AI521" s="1395"/>
      <c r="AJ521" s="1395"/>
      <c r="AK521" s="1396"/>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372"/>
      <c r="C522" s="1373"/>
      <c r="D522" s="1373"/>
      <c r="E522" s="1373"/>
      <c r="F522" s="1373"/>
      <c r="G522" s="1373"/>
      <c r="H522" s="1374"/>
      <c r="I522" s="47" t="s">
        <v>423</v>
      </c>
      <c r="J522" s="48"/>
      <c r="K522" s="48"/>
      <c r="L522" s="48"/>
      <c r="M522" s="48"/>
      <c r="N522" s="48"/>
      <c r="O522" s="48"/>
      <c r="P522" s="48"/>
      <c r="Q522" s="48"/>
      <c r="R522" s="48"/>
      <c r="S522" s="48"/>
      <c r="T522" s="48"/>
      <c r="U522" s="48"/>
      <c r="V522" s="48"/>
      <c r="W522" s="48"/>
      <c r="X522" s="48"/>
      <c r="Y522" s="48"/>
      <c r="Z522" s="48"/>
      <c r="AA522" s="48"/>
      <c r="AB522" s="49"/>
      <c r="AC522" s="1397">
        <v>5</v>
      </c>
      <c r="AD522" s="1398"/>
      <c r="AE522" s="1398"/>
      <c r="AF522" s="1398"/>
      <c r="AG522" s="38" t="s">
        <v>404</v>
      </c>
      <c r="AH522" s="1395">
        <v>2025</v>
      </c>
      <c r="AI522" s="1395"/>
      <c r="AJ522" s="1395"/>
      <c r="AK522" s="1396"/>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372"/>
      <c r="C523" s="1373"/>
      <c r="D523" s="1373"/>
      <c r="E523" s="1373"/>
      <c r="F523" s="1373"/>
      <c r="G523" s="1373"/>
      <c r="H523" s="1374"/>
      <c r="I523" s="42" t="s">
        <v>424</v>
      </c>
      <c r="J523" s="42"/>
      <c r="K523" s="42"/>
      <c r="L523" s="42"/>
      <c r="M523" s="42"/>
      <c r="N523" s="42"/>
      <c r="O523" s="1426" t="s">
        <v>2716</v>
      </c>
      <c r="P523" s="1427"/>
      <c r="Q523" s="1427"/>
      <c r="R523" s="1427"/>
      <c r="S523" s="1427"/>
      <c r="T523" s="1427"/>
      <c r="U523" s="1427"/>
      <c r="V523" s="1427"/>
      <c r="W523" s="1427"/>
      <c r="X523" s="1427"/>
      <c r="Y523" s="1427"/>
      <c r="Z523" s="1427"/>
      <c r="AA523" s="1427"/>
      <c r="AC523" s="1397">
        <v>8</v>
      </c>
      <c r="AD523" s="1398"/>
      <c r="AE523" s="1398"/>
      <c r="AF523" s="1398"/>
      <c r="AG523" s="13" t="s">
        <v>404</v>
      </c>
      <c r="AH523" s="1395">
        <v>2024</v>
      </c>
      <c r="AI523" s="1395"/>
      <c r="AJ523" s="1395"/>
      <c r="AK523" s="1396"/>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372"/>
      <c r="C524" s="1373"/>
      <c r="D524" s="1373"/>
      <c r="E524" s="1373"/>
      <c r="F524" s="1373"/>
      <c r="G524" s="1373"/>
      <c r="H524" s="1374"/>
      <c r="I524" t="s">
        <v>422</v>
      </c>
      <c r="AC524" s="1397" t="s">
        <v>600</v>
      </c>
      <c r="AD524" s="1398"/>
      <c r="AE524" s="1398"/>
      <c r="AF524" s="1398"/>
      <c r="AG524" s="13" t="s">
        <v>404</v>
      </c>
      <c r="AH524" s="1395"/>
      <c r="AI524" s="1395"/>
      <c r="AJ524" s="1395"/>
      <c r="AK524" s="1396"/>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372"/>
      <c r="C525" s="1373"/>
      <c r="D525" s="1373"/>
      <c r="E525" s="1373"/>
      <c r="F525" s="1373"/>
      <c r="G525" s="1373"/>
      <c r="H525" s="1374"/>
      <c r="I525" s="48" t="s">
        <v>423</v>
      </c>
      <c r="J525" s="48"/>
      <c r="K525" s="48"/>
      <c r="L525" s="48"/>
      <c r="M525" s="48"/>
      <c r="N525" s="48"/>
      <c r="O525" s="48"/>
      <c r="P525" s="48"/>
      <c r="Q525" s="48"/>
      <c r="R525" s="48"/>
      <c r="S525" s="48"/>
      <c r="T525" s="48"/>
      <c r="U525" s="48"/>
      <c r="V525" s="48"/>
      <c r="W525" s="48"/>
      <c r="X525" s="48"/>
      <c r="Y525" s="48"/>
      <c r="Z525" s="48"/>
      <c r="AA525" s="48"/>
      <c r="AB525" s="48"/>
      <c r="AC525" s="1397">
        <v>5</v>
      </c>
      <c r="AD525" s="1398"/>
      <c r="AE525" s="1398"/>
      <c r="AF525" s="1398"/>
      <c r="AG525" s="38" t="s">
        <v>404</v>
      </c>
      <c r="AH525" s="1395">
        <v>2025</v>
      </c>
      <c r="AI525" s="1395"/>
      <c r="AJ525" s="1395"/>
      <c r="AK525" s="1396"/>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372"/>
      <c r="C526" s="1373"/>
      <c r="D526" s="1373"/>
      <c r="E526" s="1373"/>
      <c r="F526" s="1373"/>
      <c r="G526" s="1373"/>
      <c r="H526" s="1374"/>
      <c r="I526" s="42" t="s">
        <v>424</v>
      </c>
      <c r="J526" s="42"/>
      <c r="K526" s="42"/>
      <c r="L526" s="42"/>
      <c r="M526" s="42"/>
      <c r="N526" s="42"/>
      <c r="O526" s="1426" t="s">
        <v>335</v>
      </c>
      <c r="P526" s="1427"/>
      <c r="Q526" s="1427"/>
      <c r="R526" s="1427"/>
      <c r="S526" s="1427"/>
      <c r="T526" s="1427"/>
      <c r="U526" s="1427"/>
      <c r="V526" s="1427"/>
      <c r="W526" s="1427"/>
      <c r="X526" s="1427"/>
      <c r="Y526" s="1427"/>
      <c r="Z526" s="1427"/>
      <c r="AA526" s="1427"/>
      <c r="AC526" s="1397" t="s">
        <v>600</v>
      </c>
      <c r="AD526" s="1398"/>
      <c r="AE526" s="1398"/>
      <c r="AF526" s="1398"/>
      <c r="AG526" s="13" t="s">
        <v>404</v>
      </c>
      <c r="AH526" s="1395"/>
      <c r="AI526" s="1395"/>
      <c r="AJ526" s="1395"/>
      <c r="AK526" s="1396"/>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372"/>
      <c r="C527" s="1373"/>
      <c r="D527" s="1373"/>
      <c r="E527" s="1373"/>
      <c r="F527" s="1373"/>
      <c r="G527" s="1373"/>
      <c r="H527" s="1374"/>
      <c r="I527" t="s">
        <v>422</v>
      </c>
      <c r="AC527" s="1397" t="s">
        <v>600</v>
      </c>
      <c r="AD527" s="1398"/>
      <c r="AE527" s="1398"/>
      <c r="AF527" s="1398"/>
      <c r="AG527" s="13" t="s">
        <v>404</v>
      </c>
      <c r="AH527" s="1395"/>
      <c r="AI527" s="1395"/>
      <c r="AJ527" s="1395"/>
      <c r="AK527" s="1396"/>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372"/>
      <c r="C528" s="1373"/>
      <c r="D528" s="1373"/>
      <c r="E528" s="1373"/>
      <c r="F528" s="1373"/>
      <c r="G528" s="1373"/>
      <c r="H528" s="1374"/>
      <c r="I528" s="48" t="s">
        <v>423</v>
      </c>
      <c r="J528" s="48"/>
      <c r="K528" s="48"/>
      <c r="L528" s="48"/>
      <c r="M528" s="48"/>
      <c r="N528" s="48"/>
      <c r="O528" s="48"/>
      <c r="P528" s="48"/>
      <c r="Q528" s="48"/>
      <c r="R528" s="48"/>
      <c r="S528" s="48"/>
      <c r="T528" s="48"/>
      <c r="U528" s="48"/>
      <c r="V528" s="48"/>
      <c r="W528" s="48"/>
      <c r="X528" s="48"/>
      <c r="Y528" s="48"/>
      <c r="Z528" s="48"/>
      <c r="AA528" s="48"/>
      <c r="AB528" s="48"/>
      <c r="AC528" s="1397" t="s">
        <v>600</v>
      </c>
      <c r="AD528" s="1398"/>
      <c r="AE528" s="1398"/>
      <c r="AF528" s="1398"/>
      <c r="AG528" s="38" t="s">
        <v>404</v>
      </c>
      <c r="AH528" s="1395"/>
      <c r="AI528" s="1395"/>
      <c r="AJ528" s="1395"/>
      <c r="AK528" s="1396"/>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372"/>
      <c r="C529" s="1373"/>
      <c r="D529" s="1373"/>
      <c r="E529" s="1373"/>
      <c r="F529" s="1373"/>
      <c r="G529" s="1373"/>
      <c r="H529" s="1374"/>
      <c r="I529" s="42" t="s">
        <v>424</v>
      </c>
      <c r="J529" s="42"/>
      <c r="K529" s="42"/>
      <c r="L529" s="42"/>
      <c r="M529" s="42"/>
      <c r="N529" s="42"/>
      <c r="O529" s="1426" t="s">
        <v>335</v>
      </c>
      <c r="P529" s="1427"/>
      <c r="Q529" s="1427"/>
      <c r="R529" s="1427"/>
      <c r="S529" s="1427"/>
      <c r="T529" s="1427"/>
      <c r="U529" s="1427"/>
      <c r="V529" s="1427"/>
      <c r="W529" s="1427"/>
      <c r="X529" s="1427"/>
      <c r="Y529" s="1427"/>
      <c r="Z529" s="1427"/>
      <c r="AA529" s="1427"/>
      <c r="AC529" s="1397" t="s">
        <v>600</v>
      </c>
      <c r="AD529" s="1398"/>
      <c r="AE529" s="1398"/>
      <c r="AF529" s="1398"/>
      <c r="AG529" s="13" t="s">
        <v>404</v>
      </c>
      <c r="AH529" s="1395"/>
      <c r="AI529" s="1395"/>
      <c r="AJ529" s="1395"/>
      <c r="AK529" s="1396"/>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372"/>
      <c r="C530" s="1373"/>
      <c r="D530" s="1373"/>
      <c r="E530" s="1373"/>
      <c r="F530" s="1373"/>
      <c r="G530" s="1373"/>
      <c r="H530" s="1374"/>
      <c r="I530" t="s">
        <v>422</v>
      </c>
      <c r="AC530" s="1397" t="s">
        <v>600</v>
      </c>
      <c r="AD530" s="1398"/>
      <c r="AE530" s="1398"/>
      <c r="AF530" s="1398"/>
      <c r="AG530" s="13" t="s">
        <v>404</v>
      </c>
      <c r="AH530" s="1395"/>
      <c r="AI530" s="1395"/>
      <c r="AJ530" s="1395"/>
      <c r="AK530" s="1396"/>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372"/>
      <c r="C531" s="1373"/>
      <c r="D531" s="1373"/>
      <c r="E531" s="1373"/>
      <c r="F531" s="1373"/>
      <c r="G531" s="1373"/>
      <c r="H531" s="1374"/>
      <c r="I531" s="48" t="s">
        <v>423</v>
      </c>
      <c r="J531" s="48"/>
      <c r="K531" s="48"/>
      <c r="L531" s="48"/>
      <c r="M531" s="48"/>
      <c r="N531" s="48"/>
      <c r="O531" s="48"/>
      <c r="P531" s="48"/>
      <c r="Q531" s="48"/>
      <c r="R531" s="48"/>
      <c r="S531" s="48"/>
      <c r="T531" s="48"/>
      <c r="U531" s="48"/>
      <c r="V531" s="48"/>
      <c r="W531" s="48"/>
      <c r="X531" s="48"/>
      <c r="Y531" s="48"/>
      <c r="Z531" s="48"/>
      <c r="AA531" s="48"/>
      <c r="AB531" s="48"/>
      <c r="AC531" s="1397" t="s">
        <v>600</v>
      </c>
      <c r="AD531" s="1398"/>
      <c r="AE531" s="1398"/>
      <c r="AF531" s="1398"/>
      <c r="AG531" s="38" t="s">
        <v>404</v>
      </c>
      <c r="AH531" s="1395"/>
      <c r="AI531" s="1395"/>
      <c r="AJ531" s="1395"/>
      <c r="AK531" s="1396"/>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372"/>
      <c r="C532" s="1373"/>
      <c r="D532" s="1373"/>
      <c r="E532" s="1373"/>
      <c r="F532" s="1373"/>
      <c r="G532" s="1373"/>
      <c r="H532" s="1374"/>
      <c r="I532" s="42" t="s">
        <v>424</v>
      </c>
      <c r="J532" s="42"/>
      <c r="K532" s="42"/>
      <c r="L532" s="42"/>
      <c r="M532" s="42"/>
      <c r="N532" s="42"/>
      <c r="O532" s="1426" t="s">
        <v>335</v>
      </c>
      <c r="P532" s="1427"/>
      <c r="Q532" s="1427"/>
      <c r="R532" s="1427"/>
      <c r="S532" s="1427"/>
      <c r="T532" s="1427"/>
      <c r="U532" s="1427"/>
      <c r="V532" s="1427"/>
      <c r="W532" s="1427"/>
      <c r="X532" s="1427"/>
      <c r="Y532" s="1427"/>
      <c r="Z532" s="1427"/>
      <c r="AA532" s="1427"/>
      <c r="AC532" s="1397" t="s">
        <v>600</v>
      </c>
      <c r="AD532" s="1398"/>
      <c r="AE532" s="1398"/>
      <c r="AF532" s="1398"/>
      <c r="AG532" s="13" t="s">
        <v>404</v>
      </c>
      <c r="AH532" s="1395"/>
      <c r="AI532" s="1395"/>
      <c r="AJ532" s="1395"/>
      <c r="AK532" s="1396"/>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372"/>
      <c r="C533" s="1373"/>
      <c r="D533" s="1373"/>
      <c r="E533" s="1373"/>
      <c r="F533" s="1373"/>
      <c r="G533" s="1373"/>
      <c r="H533" s="1374"/>
      <c r="I533" t="s">
        <v>422</v>
      </c>
      <c r="AC533" s="1397" t="s">
        <v>600</v>
      </c>
      <c r="AD533" s="1398"/>
      <c r="AE533" s="1398"/>
      <c r="AF533" s="1398"/>
      <c r="AG533" s="38" t="s">
        <v>404</v>
      </c>
      <c r="AH533" s="1395"/>
      <c r="AI533" s="1395"/>
      <c r="AJ533" s="1395"/>
      <c r="AK533" s="1396"/>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372"/>
      <c r="C534" s="1373"/>
      <c r="D534" s="1373"/>
      <c r="E534" s="1373"/>
      <c r="F534" s="1373"/>
      <c r="G534" s="1373"/>
      <c r="H534" s="1374"/>
      <c r="I534" s="48" t="s">
        <v>423</v>
      </c>
      <c r="J534" s="48"/>
      <c r="K534" s="48"/>
      <c r="L534" s="48"/>
      <c r="M534" s="48"/>
      <c r="N534" s="48"/>
      <c r="O534" s="48"/>
      <c r="P534" s="48"/>
      <c r="Q534" s="48"/>
      <c r="R534" s="48"/>
      <c r="S534" s="48"/>
      <c r="T534" s="48"/>
      <c r="U534" s="48"/>
      <c r="V534" s="48"/>
      <c r="W534" s="48"/>
      <c r="X534" s="48"/>
      <c r="Y534" s="48"/>
      <c r="Z534" s="48"/>
      <c r="AA534" s="48"/>
      <c r="AB534" s="48"/>
      <c r="AC534" s="1397" t="s">
        <v>600</v>
      </c>
      <c r="AD534" s="1398"/>
      <c r="AE534" s="1398"/>
      <c r="AF534" s="1398"/>
      <c r="AG534" s="13" t="s">
        <v>404</v>
      </c>
      <c r="AH534" s="1395"/>
      <c r="AI534" s="1395"/>
      <c r="AJ534" s="1395"/>
      <c r="AK534" s="1396"/>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372"/>
      <c r="C535" s="1373"/>
      <c r="D535" s="1373"/>
      <c r="E535" s="1373"/>
      <c r="F535" s="1373"/>
      <c r="G535" s="1373"/>
      <c r="H535" s="1374"/>
      <c r="I535" s="42" t="s">
        <v>424</v>
      </c>
      <c r="J535" s="42"/>
      <c r="K535" s="42"/>
      <c r="L535" s="42"/>
      <c r="M535" s="42"/>
      <c r="N535" s="42"/>
      <c r="O535" s="1426" t="s">
        <v>335</v>
      </c>
      <c r="P535" s="1427"/>
      <c r="Q535" s="1427"/>
      <c r="R535" s="1427"/>
      <c r="S535" s="1427"/>
      <c r="T535" s="1427"/>
      <c r="U535" s="1427"/>
      <c r="V535" s="1427"/>
      <c r="W535" s="1427"/>
      <c r="X535" s="1427"/>
      <c r="Y535" s="1427"/>
      <c r="Z535" s="1427"/>
      <c r="AA535" s="1427"/>
      <c r="AC535" s="1397" t="s">
        <v>600</v>
      </c>
      <c r="AD535" s="1398"/>
      <c r="AE535" s="1398"/>
      <c r="AF535" s="1398"/>
      <c r="AG535" s="38" t="s">
        <v>404</v>
      </c>
      <c r="AH535" s="1395"/>
      <c r="AI535" s="1395"/>
      <c r="AJ535" s="1395"/>
      <c r="AK535" s="1396"/>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372"/>
      <c r="C536" s="1373"/>
      <c r="D536" s="1373"/>
      <c r="E536" s="1373"/>
      <c r="F536" s="1373"/>
      <c r="G536" s="1373"/>
      <c r="H536" s="1374"/>
      <c r="I536" t="s">
        <v>422</v>
      </c>
      <c r="AC536" s="1397" t="s">
        <v>600</v>
      </c>
      <c r="AD536" s="1398"/>
      <c r="AE536" s="1398"/>
      <c r="AF536" s="1398"/>
      <c r="AG536" s="13" t="s">
        <v>404</v>
      </c>
      <c r="AH536" s="1395"/>
      <c r="AI536" s="1395"/>
      <c r="AJ536" s="1395"/>
      <c r="AK536" s="1396"/>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372"/>
      <c r="C537" s="1373"/>
      <c r="D537" s="1373"/>
      <c r="E537" s="1373"/>
      <c r="F537" s="1373"/>
      <c r="G537" s="1373"/>
      <c r="H537" s="1374"/>
      <c r="I537" s="48" t="s">
        <v>423</v>
      </c>
      <c r="J537" s="48"/>
      <c r="K537" s="48"/>
      <c r="L537" s="48"/>
      <c r="M537" s="48"/>
      <c r="N537" s="48"/>
      <c r="O537" s="48"/>
      <c r="P537" s="48"/>
      <c r="Q537" s="48"/>
      <c r="R537" s="48"/>
      <c r="S537" s="48"/>
      <c r="T537" s="48"/>
      <c r="U537" s="48"/>
      <c r="V537" s="48"/>
      <c r="W537" s="48"/>
      <c r="X537" s="48"/>
      <c r="Y537" s="48"/>
      <c r="Z537" s="48"/>
      <c r="AA537" s="48"/>
      <c r="AB537" s="48"/>
      <c r="AC537" s="1397" t="s">
        <v>600</v>
      </c>
      <c r="AD537" s="1398"/>
      <c r="AE537" s="1398"/>
      <c r="AF537" s="1398"/>
      <c r="AG537" s="38" t="s">
        <v>404</v>
      </c>
      <c r="AH537" s="1395"/>
      <c r="AI537" s="1395"/>
      <c r="AJ537" s="1395"/>
      <c r="AK537" s="1396"/>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372"/>
      <c r="C538" s="1373"/>
      <c r="D538" s="1373"/>
      <c r="E538" s="1373"/>
      <c r="F538" s="1373"/>
      <c r="G538" s="1373"/>
      <c r="H538" s="1374"/>
      <c r="I538" s="42" t="s">
        <v>571</v>
      </c>
      <c r="J538" s="42"/>
      <c r="K538" s="42"/>
      <c r="L538" s="42"/>
      <c r="M538" s="42"/>
      <c r="N538" s="42"/>
      <c r="O538" s="42"/>
      <c r="P538" s="42"/>
      <c r="Q538" s="42"/>
      <c r="R538" s="42"/>
      <c r="S538" s="42"/>
      <c r="T538" s="42"/>
      <c r="U538" s="42"/>
      <c r="V538" s="42"/>
      <c r="W538" s="42"/>
      <c r="AC538" s="1397" t="s">
        <v>600</v>
      </c>
      <c r="AD538" s="1398"/>
      <c r="AE538" s="1398"/>
      <c r="AF538" s="1398"/>
      <c r="AG538" s="38" t="s">
        <v>404</v>
      </c>
      <c r="AH538" s="1395"/>
      <c r="AI538" s="1395"/>
      <c r="AJ538" s="1395"/>
      <c r="AK538" s="1396"/>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372"/>
      <c r="C539" s="1373"/>
      <c r="D539" s="1373"/>
      <c r="E539" s="1373"/>
      <c r="F539" s="1373"/>
      <c r="G539" s="1373"/>
      <c r="H539" s="1374"/>
      <c r="I539" t="s">
        <v>572</v>
      </c>
      <c r="AC539" s="1397">
        <v>5</v>
      </c>
      <c r="AD539" s="1398"/>
      <c r="AE539" s="1398"/>
      <c r="AF539" s="1398"/>
      <c r="AG539" s="13" t="s">
        <v>404</v>
      </c>
      <c r="AH539" s="1395">
        <v>2025</v>
      </c>
      <c r="AI539" s="1395"/>
      <c r="AJ539" s="1395"/>
      <c r="AK539" s="1396"/>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372"/>
      <c r="C540" s="1373"/>
      <c r="D540" s="1373"/>
      <c r="E540" s="1373"/>
      <c r="F540" s="1373"/>
      <c r="G540" s="1373"/>
      <c r="H540" s="1374"/>
      <c r="I540" t="s">
        <v>573</v>
      </c>
      <c r="AC540" s="1397">
        <v>3</v>
      </c>
      <c r="AD540" s="1398"/>
      <c r="AE540" s="1398"/>
      <c r="AF540" s="1398"/>
      <c r="AG540" s="38" t="s">
        <v>404</v>
      </c>
      <c r="AH540" s="1395">
        <v>2026</v>
      </c>
      <c r="AI540" s="1395"/>
      <c r="AJ540" s="1395"/>
      <c r="AK540" s="1396"/>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372"/>
      <c r="C541" s="1373"/>
      <c r="D541" s="1373"/>
      <c r="E541" s="1373"/>
      <c r="F541" s="1373"/>
      <c r="G541" s="1373"/>
      <c r="H541" s="1374"/>
      <c r="I541" t="s">
        <v>574</v>
      </c>
      <c r="AC541" s="1397">
        <v>4</v>
      </c>
      <c r="AD541" s="1398"/>
      <c r="AE541" s="1398"/>
      <c r="AF541" s="1398"/>
      <c r="AG541" s="38" t="s">
        <v>404</v>
      </c>
      <c r="AH541" s="1395">
        <v>2026</v>
      </c>
      <c r="AI541" s="1395"/>
      <c r="AJ541" s="1395"/>
      <c r="AK541" s="1396"/>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375"/>
      <c r="C542" s="1376"/>
      <c r="D542" s="1376"/>
      <c r="E542" s="1376"/>
      <c r="F542" s="1376"/>
      <c r="G542" s="1376"/>
      <c r="H542" s="1377"/>
      <c r="I542" s="48" t="s">
        <v>460</v>
      </c>
      <c r="J542" s="48"/>
      <c r="K542" s="48"/>
      <c r="L542" s="48"/>
      <c r="M542" s="48"/>
      <c r="N542" s="48"/>
      <c r="O542" s="48"/>
      <c r="P542" s="48"/>
      <c r="Q542" s="48"/>
      <c r="R542" s="48"/>
      <c r="S542" s="48"/>
      <c r="T542" s="48"/>
      <c r="U542" s="48"/>
      <c r="V542" s="48"/>
      <c r="W542" s="48"/>
      <c r="X542" s="48"/>
      <c r="Y542" s="48"/>
      <c r="Z542" s="48"/>
      <c r="AA542" s="48"/>
      <c r="AB542" s="48"/>
      <c r="AC542" s="1397">
        <v>4</v>
      </c>
      <c r="AD542" s="1398"/>
      <c r="AE542" s="1398"/>
      <c r="AF542" s="1398"/>
      <c r="AG542" s="38" t="s">
        <v>404</v>
      </c>
      <c r="AH542" s="1395">
        <v>2026</v>
      </c>
      <c r="AI542" s="1395"/>
      <c r="AJ542" s="1395"/>
      <c r="AK542" s="1396"/>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369" t="s">
        <v>2421</v>
      </c>
      <c r="C551" s="1370"/>
      <c r="D551" s="1370"/>
      <c r="E551" s="1370"/>
      <c r="F551" s="1370"/>
      <c r="G551" s="1370"/>
      <c r="H551" s="1370"/>
      <c r="I551" s="1370"/>
      <c r="J551" s="1370"/>
      <c r="K551" s="1370"/>
      <c r="L551" s="1371"/>
      <c r="M551" s="1369" t="s">
        <v>2422</v>
      </c>
      <c r="N551" s="1370"/>
      <c r="O551" s="1370"/>
      <c r="P551" s="1371"/>
      <c r="Q551" s="1369" t="s">
        <v>2448</v>
      </c>
      <c r="R551" s="1370"/>
      <c r="S551" s="1371"/>
      <c r="T551" s="1369" t="s">
        <v>2449</v>
      </c>
      <c r="U551" s="1370"/>
      <c r="V551" s="1371"/>
      <c r="W551" s="1369" t="s">
        <v>462</v>
      </c>
      <c r="X551" s="1370"/>
      <c r="Y551" s="1371"/>
      <c r="Z551" s="1369" t="s">
        <v>2042</v>
      </c>
      <c r="AA551" s="1370"/>
      <c r="AB551" s="1370"/>
      <c r="AC551" s="1370"/>
      <c r="AD551" s="1371"/>
      <c r="AE551" s="1369" t="s">
        <v>1864</v>
      </c>
      <c r="AF551" s="1370"/>
      <c r="AG551" s="1370"/>
      <c r="AH551" s="1371"/>
      <c r="AI551" s="1369" t="s">
        <v>1865</v>
      </c>
      <c r="AJ551" s="1370"/>
      <c r="AK551" s="1370"/>
      <c r="AL551" s="1371"/>
      <c r="AM551" s="1369" t="s">
        <v>463</v>
      </c>
      <c r="AN551" s="1370"/>
      <c r="AO551" s="1370"/>
      <c r="AP551" s="1370"/>
      <c r="AQ551" s="1370"/>
      <c r="AR551" s="1370"/>
      <c r="AS551" s="1371"/>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372"/>
      <c r="C552" s="1373"/>
      <c r="D552" s="1373"/>
      <c r="E552" s="1373"/>
      <c r="F552" s="1373"/>
      <c r="G552" s="1373"/>
      <c r="H552" s="1373"/>
      <c r="I552" s="1373"/>
      <c r="J552" s="1373"/>
      <c r="K552" s="1373"/>
      <c r="L552" s="1374"/>
      <c r="M552" s="1372"/>
      <c r="N552" s="1373"/>
      <c r="O552" s="1373"/>
      <c r="P552" s="1374"/>
      <c r="Q552" s="1372"/>
      <c r="R552" s="1373"/>
      <c r="S552" s="1374"/>
      <c r="T552" s="1372"/>
      <c r="U552" s="1373"/>
      <c r="V552" s="1374"/>
      <c r="W552" s="1372"/>
      <c r="X552" s="1373"/>
      <c r="Y552" s="1374"/>
      <c r="Z552" s="1372"/>
      <c r="AA552" s="1373"/>
      <c r="AB552" s="1373"/>
      <c r="AC552" s="1373"/>
      <c r="AD552" s="1374"/>
      <c r="AE552" s="1372"/>
      <c r="AF552" s="1373"/>
      <c r="AG552" s="1373"/>
      <c r="AH552" s="1374"/>
      <c r="AI552" s="1372"/>
      <c r="AJ552" s="1373"/>
      <c r="AK552" s="1373"/>
      <c r="AL552" s="1374"/>
      <c r="AM552" s="1372"/>
      <c r="AN552" s="1373"/>
      <c r="AO552" s="1373"/>
      <c r="AP552" s="1373"/>
      <c r="AQ552" s="1373"/>
      <c r="AR552" s="1373"/>
      <c r="AS552" s="1374"/>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375"/>
      <c r="C553" s="1376"/>
      <c r="D553" s="1376"/>
      <c r="E553" s="1376"/>
      <c r="F553" s="1376"/>
      <c r="G553" s="1376"/>
      <c r="H553" s="1376"/>
      <c r="I553" s="1376"/>
      <c r="J553" s="1376"/>
      <c r="K553" s="1376"/>
      <c r="L553" s="1377"/>
      <c r="M553" s="1375"/>
      <c r="N553" s="1376"/>
      <c r="O553" s="1376"/>
      <c r="P553" s="1377"/>
      <c r="Q553" s="1375"/>
      <c r="R553" s="1376"/>
      <c r="S553" s="1377"/>
      <c r="T553" s="1375"/>
      <c r="U553" s="1376"/>
      <c r="V553" s="1377"/>
      <c r="W553" s="1375"/>
      <c r="X553" s="1376"/>
      <c r="Y553" s="1377"/>
      <c r="Z553" s="1375"/>
      <c r="AA553" s="1376"/>
      <c r="AB553" s="1376"/>
      <c r="AC553" s="1376"/>
      <c r="AD553" s="1377"/>
      <c r="AE553" s="1375"/>
      <c r="AF553" s="1376"/>
      <c r="AG553" s="1376"/>
      <c r="AH553" s="1377"/>
      <c r="AI553" s="1375"/>
      <c r="AJ553" s="1376"/>
      <c r="AK553" s="1376"/>
      <c r="AL553" s="1377"/>
      <c r="AM553" s="1375"/>
      <c r="AN553" s="1376"/>
      <c r="AO553" s="1376"/>
      <c r="AP553" s="1376"/>
      <c r="AQ553" s="1376"/>
      <c r="AR553" s="1376"/>
      <c r="AS553" s="1377"/>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1" t="s">
        <v>2763</v>
      </c>
      <c r="D554" s="1511"/>
      <c r="E554" s="1511"/>
      <c r="F554" s="1511"/>
      <c r="G554" s="1511"/>
      <c r="H554" s="1511"/>
      <c r="I554" s="1511"/>
      <c r="J554" s="1511"/>
      <c r="K554" s="1511"/>
      <c r="L554" s="1511"/>
      <c r="M554" s="1511" t="s">
        <v>2438</v>
      </c>
      <c r="N554" s="1511"/>
      <c r="O554" s="1511"/>
      <c r="P554" s="1511"/>
      <c r="Q554" s="1401">
        <v>10</v>
      </c>
      <c r="R554" s="1401"/>
      <c r="S554" s="1402"/>
      <c r="T554" s="1400"/>
      <c r="U554" s="1401"/>
      <c r="V554" s="1402"/>
      <c r="W554" s="1506">
        <v>7.5300000000000006E-2</v>
      </c>
      <c r="X554" s="1507"/>
      <c r="Y554" s="1508"/>
      <c r="Z554" s="1512" t="s">
        <v>2741</v>
      </c>
      <c r="AA554" s="1512"/>
      <c r="AB554" s="1512"/>
      <c r="AC554" s="1512"/>
      <c r="AD554" s="1512"/>
      <c r="AE554" s="1419"/>
      <c r="AF554" s="1420"/>
      <c r="AG554" s="1420"/>
      <c r="AH554" s="1421"/>
      <c r="AI554" s="1444"/>
      <c r="AJ554" s="1445"/>
      <c r="AK554" s="1445"/>
      <c r="AL554" s="1446"/>
      <c r="AM554" s="1502">
        <v>22831177</v>
      </c>
      <c r="AN554" s="1503"/>
      <c r="AO554" s="1503"/>
      <c r="AP554" s="1503"/>
      <c r="AQ554" s="1503"/>
      <c r="AR554" s="1503"/>
      <c r="AS554" s="1504"/>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09" t="s">
        <v>2762</v>
      </c>
      <c r="D555" s="1509"/>
      <c r="E555" s="1509"/>
      <c r="F555" s="1509"/>
      <c r="G555" s="1509"/>
      <c r="H555" s="1509"/>
      <c r="I555" s="1509"/>
      <c r="J555" s="1509"/>
      <c r="K555" s="1509"/>
      <c r="L555" s="1509"/>
      <c r="M555" s="1511" t="s">
        <v>2437</v>
      </c>
      <c r="N555" s="1511"/>
      <c r="O555" s="1511"/>
      <c r="P555" s="1511"/>
      <c r="Q555" s="1400">
        <v>10</v>
      </c>
      <c r="R555" s="1401"/>
      <c r="S555" s="1402"/>
      <c r="T555" s="1400"/>
      <c r="U555" s="1401"/>
      <c r="V555" s="1402"/>
      <c r="W555" s="1506">
        <v>7.2800000000000004E-2</v>
      </c>
      <c r="X555" s="1507"/>
      <c r="Y555" s="1508"/>
      <c r="Z555" s="1512" t="s">
        <v>2741</v>
      </c>
      <c r="AA555" s="1512"/>
      <c r="AB555" s="1512"/>
      <c r="AC555" s="1512"/>
      <c r="AD555" s="1512"/>
      <c r="AE555" s="1419"/>
      <c r="AF555" s="1420"/>
      <c r="AG555" s="1420"/>
      <c r="AH555" s="1421"/>
      <c r="AI555" s="1444"/>
      <c r="AJ555" s="1445"/>
      <c r="AK555" s="1445"/>
      <c r="AL555" s="1446"/>
      <c r="AM555" s="1502">
        <v>12647963.505000001</v>
      </c>
      <c r="AN555" s="1503"/>
      <c r="AO555" s="1503"/>
      <c r="AP555" s="1503"/>
      <c r="AQ555" s="1503"/>
      <c r="AR555" s="1503"/>
      <c r="AS555" s="1504"/>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09" t="s">
        <v>2715</v>
      </c>
      <c r="D556" s="1509"/>
      <c r="E556" s="1509"/>
      <c r="F556" s="1509"/>
      <c r="G556" s="1509"/>
      <c r="H556" s="1509"/>
      <c r="I556" s="1509"/>
      <c r="J556" s="1509"/>
      <c r="K556" s="1509"/>
      <c r="L556" s="1509"/>
      <c r="M556" s="1511" t="s">
        <v>2435</v>
      </c>
      <c r="N556" s="1511"/>
      <c r="O556" s="1511"/>
      <c r="P556" s="1511"/>
      <c r="Q556" s="1400"/>
      <c r="R556" s="1401"/>
      <c r="S556" s="1402"/>
      <c r="T556" s="1400"/>
      <c r="U556" s="1401"/>
      <c r="V556" s="1402"/>
      <c r="W556" s="1506"/>
      <c r="X556" s="1507"/>
      <c r="Y556" s="1508"/>
      <c r="Z556" s="1512" t="s">
        <v>2741</v>
      </c>
      <c r="AA556" s="1512"/>
      <c r="AB556" s="1512"/>
      <c r="AC556" s="1512"/>
      <c r="AD556" s="1512"/>
      <c r="AE556" s="1419"/>
      <c r="AF556" s="1420"/>
      <c r="AG556" s="1420"/>
      <c r="AH556" s="1421"/>
      <c r="AI556" s="1444"/>
      <c r="AJ556" s="1445"/>
      <c r="AK556" s="1445"/>
      <c r="AL556" s="1446"/>
      <c r="AM556" s="1502">
        <v>2110000</v>
      </c>
      <c r="AN556" s="1503"/>
      <c r="AO556" s="1503"/>
      <c r="AP556" s="1503"/>
      <c r="AQ556" s="1503"/>
      <c r="AR556" s="1503"/>
      <c r="AS556" s="1504"/>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509" t="s">
        <v>2716</v>
      </c>
      <c r="D557" s="1509"/>
      <c r="E557" s="1509"/>
      <c r="F557" s="1509"/>
      <c r="G557" s="1509"/>
      <c r="H557" s="1509"/>
      <c r="I557" s="1509"/>
      <c r="J557" s="1509"/>
      <c r="K557" s="1509"/>
      <c r="L557" s="1509"/>
      <c r="M557" s="1511" t="s">
        <v>2441</v>
      </c>
      <c r="N557" s="1511"/>
      <c r="O557" s="1511"/>
      <c r="P557" s="1511"/>
      <c r="Q557" s="1400"/>
      <c r="R557" s="1401"/>
      <c r="S557" s="1402"/>
      <c r="T557" s="1400"/>
      <c r="U557" s="1401"/>
      <c r="V557" s="1402"/>
      <c r="W557" s="1506"/>
      <c r="X557" s="1507"/>
      <c r="Y557" s="1508"/>
      <c r="Z557" s="1512" t="s">
        <v>600</v>
      </c>
      <c r="AA557" s="1512"/>
      <c r="AB557" s="1512"/>
      <c r="AC557" s="1512"/>
      <c r="AD557" s="1512"/>
      <c r="AE557" s="1419"/>
      <c r="AF557" s="1420"/>
      <c r="AG557" s="1420"/>
      <c r="AH557" s="1421"/>
      <c r="AI557" s="1444"/>
      <c r="AJ557" s="1445"/>
      <c r="AK557" s="1445"/>
      <c r="AL557" s="1446"/>
      <c r="AM557" s="1502">
        <v>530599</v>
      </c>
      <c r="AN557" s="1503"/>
      <c r="AO557" s="1503"/>
      <c r="AP557" s="1503"/>
      <c r="AQ557" s="1503"/>
      <c r="AR557" s="1503"/>
      <c r="AS557" s="1504"/>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509" t="s">
        <v>2738</v>
      </c>
      <c r="D558" s="1509"/>
      <c r="E558" s="1509"/>
      <c r="F558" s="1509"/>
      <c r="G558" s="1509"/>
      <c r="H558" s="1509"/>
      <c r="I558" s="1509"/>
      <c r="J558" s="1509"/>
      <c r="K558" s="1509"/>
      <c r="L558" s="1509"/>
      <c r="M558" s="1511" t="s">
        <v>2440</v>
      </c>
      <c r="N558" s="1511"/>
      <c r="O558" s="1511"/>
      <c r="P558" s="1511"/>
      <c r="Q558" s="1400"/>
      <c r="R558" s="1401"/>
      <c r="S558" s="1402"/>
      <c r="T558" s="1400"/>
      <c r="U558" s="1401"/>
      <c r="V558" s="1402"/>
      <c r="W558" s="1506"/>
      <c r="X558" s="1507"/>
      <c r="Y558" s="1508"/>
      <c r="Z558" s="1512" t="s">
        <v>600</v>
      </c>
      <c r="AA558" s="1512"/>
      <c r="AB558" s="1512"/>
      <c r="AC558" s="1512"/>
      <c r="AD558" s="1512"/>
      <c r="AE558" s="1419"/>
      <c r="AF558" s="1420"/>
      <c r="AG558" s="1420"/>
      <c r="AH558" s="1421"/>
      <c r="AI558" s="1444"/>
      <c r="AJ558" s="1445"/>
      <c r="AK558" s="1445"/>
      <c r="AL558" s="1446"/>
      <c r="AM558" s="1502">
        <v>1100911.594</v>
      </c>
      <c r="AN558" s="1503"/>
      <c r="AO558" s="1503"/>
      <c r="AP558" s="1503"/>
      <c r="AQ558" s="1503"/>
      <c r="AR558" s="1503"/>
      <c r="AS558" s="1504"/>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509" t="s">
        <v>2761</v>
      </c>
      <c r="D559" s="1509"/>
      <c r="E559" s="1509"/>
      <c r="F559" s="1509"/>
      <c r="G559" s="1509"/>
      <c r="H559" s="1509"/>
      <c r="I559" s="1509"/>
      <c r="J559" s="1509"/>
      <c r="K559" s="1509"/>
      <c r="L559" s="1509"/>
      <c r="M559" s="1511" t="s">
        <v>2429</v>
      </c>
      <c r="N559" s="1511"/>
      <c r="O559" s="1511"/>
      <c r="P559" s="1511"/>
      <c r="Q559" s="1400"/>
      <c r="R559" s="1401"/>
      <c r="S559" s="1402"/>
      <c r="T559" s="1400"/>
      <c r="U559" s="1401"/>
      <c r="V559" s="1402"/>
      <c r="W559" s="1506"/>
      <c r="X559" s="1507"/>
      <c r="Y559" s="1508"/>
      <c r="Z559" s="1512" t="s">
        <v>600</v>
      </c>
      <c r="AA559" s="1512"/>
      <c r="AB559" s="1512"/>
      <c r="AC559" s="1512"/>
      <c r="AD559" s="1512"/>
      <c r="AE559" s="1419"/>
      <c r="AF559" s="1420"/>
      <c r="AG559" s="1420"/>
      <c r="AH559" s="1421"/>
      <c r="AI559" s="1444"/>
      <c r="AJ559" s="1445"/>
      <c r="AK559" s="1445"/>
      <c r="AL559" s="1446"/>
      <c r="AM559" s="1502">
        <v>2538754.5639999998</v>
      </c>
      <c r="AN559" s="1503"/>
      <c r="AO559" s="1503"/>
      <c r="AP559" s="1503"/>
      <c r="AQ559" s="1503"/>
      <c r="AR559" s="1503"/>
      <c r="AS559" s="1504"/>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509" t="s">
        <v>2717</v>
      </c>
      <c r="D560" s="1509"/>
      <c r="E560" s="1509"/>
      <c r="F560" s="1509"/>
      <c r="G560" s="1509"/>
      <c r="H560" s="1509"/>
      <c r="I560" s="1509"/>
      <c r="J560" s="1509"/>
      <c r="K560" s="1509"/>
      <c r="L560" s="1509"/>
      <c r="M560" s="1511" t="s">
        <v>2424</v>
      </c>
      <c r="N560" s="1511"/>
      <c r="O560" s="1511"/>
      <c r="P560" s="1511"/>
      <c r="Q560" s="1400"/>
      <c r="R560" s="1401"/>
      <c r="S560" s="1402"/>
      <c r="T560" s="1400"/>
      <c r="U560" s="1401"/>
      <c r="V560" s="1402"/>
      <c r="W560" s="1506"/>
      <c r="X560" s="1507"/>
      <c r="Y560" s="1508"/>
      <c r="Z560" s="1512" t="s">
        <v>600</v>
      </c>
      <c r="AA560" s="1512"/>
      <c r="AB560" s="1512"/>
      <c r="AC560" s="1512"/>
      <c r="AD560" s="1512"/>
      <c r="AE560" s="1419"/>
      <c r="AF560" s="1420"/>
      <c r="AG560" s="1420"/>
      <c r="AH560" s="1421"/>
      <c r="AI560" s="1444"/>
      <c r="AJ560" s="1445"/>
      <c r="AK560" s="1445"/>
      <c r="AL560" s="1446"/>
      <c r="AM560" s="1502">
        <v>5176654.55</v>
      </c>
      <c r="AN560" s="1503"/>
      <c r="AO560" s="1503"/>
      <c r="AP560" s="1503"/>
      <c r="AQ560" s="1503"/>
      <c r="AR560" s="1503"/>
      <c r="AS560" s="1504"/>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509"/>
      <c r="D561" s="1509"/>
      <c r="E561" s="1509"/>
      <c r="F561" s="1509"/>
      <c r="G561" s="1509"/>
      <c r="H561" s="1509"/>
      <c r="I561" s="1509"/>
      <c r="J561" s="1509"/>
      <c r="K561" s="1509"/>
      <c r="L561" s="1509"/>
      <c r="M561" s="1511" t="s">
        <v>1291</v>
      </c>
      <c r="N561" s="1511"/>
      <c r="O561" s="1511"/>
      <c r="P561" s="1511"/>
      <c r="Q561" s="1400"/>
      <c r="R561" s="1401"/>
      <c r="S561" s="1402"/>
      <c r="T561" s="1400"/>
      <c r="U561" s="1401"/>
      <c r="V561" s="1402"/>
      <c r="W561" s="1506"/>
      <c r="X561" s="1507"/>
      <c r="Y561" s="1508"/>
      <c r="Z561" s="1512" t="s">
        <v>1291</v>
      </c>
      <c r="AA561" s="1512"/>
      <c r="AB561" s="1512"/>
      <c r="AC561" s="1512"/>
      <c r="AD561" s="1512"/>
      <c r="AE561" s="1419"/>
      <c r="AF561" s="1420"/>
      <c r="AG561" s="1420"/>
      <c r="AH561" s="1421"/>
      <c r="AI561" s="1444"/>
      <c r="AJ561" s="1445"/>
      <c r="AK561" s="1445"/>
      <c r="AL561" s="1446"/>
      <c r="AM561" s="1502"/>
      <c r="AN561" s="1503"/>
      <c r="AO561" s="1503"/>
      <c r="AP561" s="1503"/>
      <c r="AQ561" s="1503"/>
      <c r="AR561" s="1503"/>
      <c r="AS561" s="1504"/>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509"/>
      <c r="D562" s="1509"/>
      <c r="E562" s="1509"/>
      <c r="F562" s="1509"/>
      <c r="G562" s="1509"/>
      <c r="H562" s="1509"/>
      <c r="I562" s="1509"/>
      <c r="J562" s="1509"/>
      <c r="K562" s="1509"/>
      <c r="L562" s="1509"/>
      <c r="M562" s="1511" t="s">
        <v>1291</v>
      </c>
      <c r="N562" s="1511"/>
      <c r="O562" s="1511"/>
      <c r="P562" s="1511"/>
      <c r="Q562" s="1400"/>
      <c r="R562" s="1401"/>
      <c r="S562" s="1402"/>
      <c r="T562" s="1400"/>
      <c r="U562" s="1401"/>
      <c r="V562" s="1402"/>
      <c r="W562" s="1506"/>
      <c r="X562" s="1507"/>
      <c r="Y562" s="1508"/>
      <c r="Z562" s="1512" t="s">
        <v>1291</v>
      </c>
      <c r="AA562" s="1512"/>
      <c r="AB562" s="1512"/>
      <c r="AC562" s="1512"/>
      <c r="AD562" s="1512"/>
      <c r="AE562" s="1419"/>
      <c r="AF562" s="1420"/>
      <c r="AG562" s="1420"/>
      <c r="AH562" s="1421"/>
      <c r="AI562" s="1444"/>
      <c r="AJ562" s="1445"/>
      <c r="AK562" s="1445"/>
      <c r="AL562" s="1446"/>
      <c r="AM562" s="1502"/>
      <c r="AN562" s="1503"/>
      <c r="AO562" s="1503"/>
      <c r="AP562" s="1503"/>
      <c r="AQ562" s="1503"/>
      <c r="AR562" s="1503"/>
      <c r="AS562" s="1504"/>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509"/>
      <c r="D563" s="1509"/>
      <c r="E563" s="1509"/>
      <c r="F563" s="1509"/>
      <c r="G563" s="1509"/>
      <c r="H563" s="1509"/>
      <c r="I563" s="1509"/>
      <c r="J563" s="1509"/>
      <c r="K563" s="1509"/>
      <c r="L563" s="1509"/>
      <c r="M563" s="1511" t="s">
        <v>1291</v>
      </c>
      <c r="N563" s="1511"/>
      <c r="O563" s="1511"/>
      <c r="P563" s="1511"/>
      <c r="Q563" s="1400"/>
      <c r="R563" s="1401"/>
      <c r="S563" s="1402"/>
      <c r="T563" s="1400"/>
      <c r="U563" s="1401"/>
      <c r="V563" s="1402"/>
      <c r="W563" s="1506"/>
      <c r="X563" s="1507"/>
      <c r="Y563" s="1508"/>
      <c r="Z563" s="1512" t="s">
        <v>1291</v>
      </c>
      <c r="AA563" s="1512"/>
      <c r="AB563" s="1512"/>
      <c r="AC563" s="1512"/>
      <c r="AD563" s="1512"/>
      <c r="AE563" s="1419"/>
      <c r="AF563" s="1420"/>
      <c r="AG563" s="1420"/>
      <c r="AH563" s="1421"/>
      <c r="AI563" s="1444"/>
      <c r="AJ563" s="1445"/>
      <c r="AK563" s="1445"/>
      <c r="AL563" s="1446"/>
      <c r="AM563" s="1502"/>
      <c r="AN563" s="1503"/>
      <c r="AO563" s="1503"/>
      <c r="AP563" s="1503"/>
      <c r="AQ563" s="1503"/>
      <c r="AR563" s="1503"/>
      <c r="AS563" s="1504"/>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509"/>
      <c r="D564" s="1509"/>
      <c r="E564" s="1509"/>
      <c r="F564" s="1509"/>
      <c r="G564" s="1509"/>
      <c r="H564" s="1509"/>
      <c r="I564" s="1509"/>
      <c r="J564" s="1509"/>
      <c r="K564" s="1509"/>
      <c r="L564" s="1509"/>
      <c r="M564" s="1511" t="s">
        <v>1291</v>
      </c>
      <c r="N564" s="1511"/>
      <c r="O564" s="1511"/>
      <c r="P564" s="1511"/>
      <c r="Q564" s="1400"/>
      <c r="R564" s="1401"/>
      <c r="S564" s="1402"/>
      <c r="T564" s="1400"/>
      <c r="U564" s="1401"/>
      <c r="V564" s="1402"/>
      <c r="W564" s="1506"/>
      <c r="X564" s="1507"/>
      <c r="Y564" s="1508"/>
      <c r="Z564" s="1512" t="s">
        <v>1291</v>
      </c>
      <c r="AA564" s="1512"/>
      <c r="AB564" s="1512"/>
      <c r="AC564" s="1512"/>
      <c r="AD564" s="1512"/>
      <c r="AE564" s="1419"/>
      <c r="AF564" s="1420"/>
      <c r="AG564" s="1420"/>
      <c r="AH564" s="1421"/>
      <c r="AI564" s="1444"/>
      <c r="AJ564" s="1445"/>
      <c r="AK564" s="1445"/>
      <c r="AL564" s="1446"/>
      <c r="AM564" s="1502"/>
      <c r="AN564" s="1503"/>
      <c r="AO564" s="1503"/>
      <c r="AP564" s="1503"/>
      <c r="AQ564" s="1503"/>
      <c r="AR564" s="1503"/>
      <c r="AS564" s="1504"/>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509"/>
      <c r="D565" s="1509"/>
      <c r="E565" s="1509"/>
      <c r="F565" s="1509"/>
      <c r="G565" s="1509"/>
      <c r="H565" s="1509"/>
      <c r="I565" s="1509"/>
      <c r="J565" s="1509"/>
      <c r="K565" s="1509"/>
      <c r="L565" s="1509"/>
      <c r="M565" s="1511" t="s">
        <v>1291</v>
      </c>
      <c r="N565" s="1511"/>
      <c r="O565" s="1511"/>
      <c r="P565" s="1511"/>
      <c r="Q565" s="1400"/>
      <c r="R565" s="1401"/>
      <c r="S565" s="1402"/>
      <c r="T565" s="1400"/>
      <c r="U565" s="1401"/>
      <c r="V565" s="1402"/>
      <c r="W565" s="1506"/>
      <c r="X565" s="1507"/>
      <c r="Y565" s="1508"/>
      <c r="Z565" s="1512" t="s">
        <v>1291</v>
      </c>
      <c r="AA565" s="1512"/>
      <c r="AB565" s="1512"/>
      <c r="AC565" s="1512"/>
      <c r="AD565" s="1512"/>
      <c r="AE565" s="1419"/>
      <c r="AF565" s="1420"/>
      <c r="AG565" s="1420"/>
      <c r="AH565" s="1421"/>
      <c r="AI565" s="1444"/>
      <c r="AJ565" s="1445"/>
      <c r="AK565" s="1445"/>
      <c r="AL565" s="1446"/>
      <c r="AM565" s="1502"/>
      <c r="AN565" s="1503"/>
      <c r="AO565" s="1503"/>
      <c r="AP565" s="1503"/>
      <c r="AQ565" s="1503"/>
      <c r="AR565" s="1503"/>
      <c r="AS565" s="1504"/>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98" t="s">
        <v>127</v>
      </c>
      <c r="C566" s="1499"/>
      <c r="D566" s="1499"/>
      <c r="E566" s="1499"/>
      <c r="F566" s="1499"/>
      <c r="G566" s="1499"/>
      <c r="H566" s="1499"/>
      <c r="I566" s="1499"/>
      <c r="J566" s="1499"/>
      <c r="K566" s="1499"/>
      <c r="L566" s="1499"/>
      <c r="M566" s="1499"/>
      <c r="N566" s="1499"/>
      <c r="O566" s="1499"/>
      <c r="P566" s="1499"/>
      <c r="Q566" s="1499"/>
      <c r="R566" s="1499"/>
      <c r="S566" s="1499"/>
      <c r="T566" s="1499"/>
      <c r="U566" s="1500"/>
      <c r="V566" s="1499"/>
      <c r="W566" s="1499"/>
      <c r="X566" s="1499"/>
      <c r="Y566" s="1499"/>
      <c r="Z566" s="1499"/>
      <c r="AA566" s="1499"/>
      <c r="AB566" s="1499"/>
      <c r="AC566" s="1499"/>
      <c r="AD566" s="1499"/>
      <c r="AE566" s="1499"/>
      <c r="AF566" s="1499"/>
      <c r="AG566" s="1499"/>
      <c r="AH566" s="1499"/>
      <c r="AI566" s="1499"/>
      <c r="AJ566" s="1499"/>
      <c r="AK566" s="1499"/>
      <c r="AL566" s="1501"/>
      <c r="AM566" s="1616">
        <f>SUM(AM554:AS565)</f>
        <v>46936060.213</v>
      </c>
      <c r="AN566" s="1617"/>
      <c r="AO566" s="1617"/>
      <c r="AP566" s="1617"/>
      <c r="AQ566" s="1617"/>
      <c r="AR566" s="1617"/>
      <c r="AS566" s="1618"/>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517" t="str">
        <f>C554</f>
        <v>Ready Capital - Tax Exempt Bonds</v>
      </c>
      <c r="H568" s="1517"/>
      <c r="I568" s="1517"/>
      <c r="J568" s="1517"/>
      <c r="K568" s="1517"/>
      <c r="L568" s="1517"/>
      <c r="M568" s="1517"/>
      <c r="N568" s="1517"/>
      <c r="O568" s="1517"/>
      <c r="P568" s="1517"/>
      <c r="Q568" s="1517"/>
      <c r="R568" s="1517"/>
      <c r="S568" s="8"/>
      <c r="T568" s="55" t="s">
        <v>113</v>
      </c>
      <c r="U568" t="s">
        <v>472</v>
      </c>
      <c r="Z568" s="1517" t="str">
        <f>C555</f>
        <v xml:space="preserve">PNC-Equity Bridge Loan </v>
      </c>
      <c r="AA568" s="1517"/>
      <c r="AB568" s="1517"/>
      <c r="AC568" s="1517"/>
      <c r="AD568" s="1517"/>
      <c r="AE568" s="1517"/>
      <c r="AF568" s="1517"/>
      <c r="AG568" s="1517"/>
      <c r="AH568" s="1517"/>
      <c r="AI568" s="1517"/>
      <c r="AJ568" s="1517"/>
      <c r="AK568" s="1517"/>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67" t="s">
        <v>2742</v>
      </c>
      <c r="H569" s="1467"/>
      <c r="I569" s="1467"/>
      <c r="J569" s="1467"/>
      <c r="K569" s="1467"/>
      <c r="L569" s="1467"/>
      <c r="M569" s="1467"/>
      <c r="N569" s="1467"/>
      <c r="O569" s="1467"/>
      <c r="P569" s="1467"/>
      <c r="Q569" s="1467"/>
      <c r="R569" s="1467"/>
      <c r="S569" s="8"/>
      <c r="T569" s="22"/>
      <c r="U569" t="s">
        <v>85</v>
      </c>
      <c r="Z569" s="1467" t="s">
        <v>2747</v>
      </c>
      <c r="AA569" s="1467"/>
      <c r="AB569" s="1467"/>
      <c r="AC569" s="1467"/>
      <c r="AD569" s="1467"/>
      <c r="AE569" s="1467"/>
      <c r="AF569" s="1467"/>
      <c r="AG569" s="1467"/>
      <c r="AH569" s="1467"/>
      <c r="AI569" s="1467"/>
      <c r="AJ569" s="1467"/>
      <c r="AK569" s="146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467" t="s">
        <v>2743</v>
      </c>
      <c r="H570" s="1467"/>
      <c r="I570" s="1467"/>
      <c r="J570" s="1467"/>
      <c r="K570" s="1467"/>
      <c r="L570" s="1467"/>
      <c r="M570" s="1467"/>
      <c r="N570" s="1467"/>
      <c r="O570" s="1467"/>
      <c r="P570" s="1467"/>
      <c r="Q570" s="1467"/>
      <c r="R570" s="1467"/>
      <c r="T570" s="22"/>
      <c r="U570" t="s">
        <v>589</v>
      </c>
      <c r="Z570" s="1417" t="s">
        <v>2748</v>
      </c>
      <c r="AA570" s="1417"/>
      <c r="AB570" s="1417"/>
      <c r="AC570" s="1417"/>
      <c r="AD570" s="1417"/>
      <c r="AE570" s="1417"/>
      <c r="AF570" s="1417"/>
      <c r="AG570" s="1417"/>
      <c r="AH570" s="1417"/>
      <c r="AI570" s="1417"/>
      <c r="AJ570" s="1417"/>
      <c r="AK570" s="1417"/>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67" t="s">
        <v>2764</v>
      </c>
      <c r="H571" s="1467"/>
      <c r="I571" s="1467"/>
      <c r="J571" s="1467"/>
      <c r="K571" s="1467"/>
      <c r="L571" s="1467"/>
      <c r="M571" s="1467"/>
      <c r="N571" s="1467"/>
      <c r="O571" s="1467"/>
      <c r="P571" s="1467"/>
      <c r="Q571" s="1467"/>
      <c r="R571" s="1467"/>
      <c r="S571" s="8"/>
      <c r="T571" s="22"/>
      <c r="U571" t="s">
        <v>17</v>
      </c>
      <c r="Z571" s="1417" t="s">
        <v>2749</v>
      </c>
      <c r="AA571" s="1417"/>
      <c r="AB571" s="1417"/>
      <c r="AC571" s="1417"/>
      <c r="AD571" s="1417"/>
      <c r="AE571" s="1417"/>
      <c r="AF571" s="1417"/>
      <c r="AG571" s="1417"/>
      <c r="AH571" s="1417"/>
      <c r="AI571" s="1417"/>
      <c r="AJ571" s="1417"/>
      <c r="AK571" s="1417"/>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551" t="s">
        <v>2744</v>
      </c>
      <c r="H572" s="1466"/>
      <c r="I572" s="1466"/>
      <c r="J572" s="1466"/>
      <c r="K572" s="1466"/>
      <c r="L572" s="1466"/>
      <c r="O572" s="33" t="s">
        <v>207</v>
      </c>
      <c r="P572" s="1406"/>
      <c r="Q572" s="1406"/>
      <c r="R572" s="1406"/>
      <c r="S572" s="10"/>
      <c r="T572" s="22"/>
      <c r="U572" t="s">
        <v>317</v>
      </c>
      <c r="Z572" s="1466" t="s">
        <v>2750</v>
      </c>
      <c r="AA572" s="1466"/>
      <c r="AB572" s="1466"/>
      <c r="AC572" s="1466"/>
      <c r="AD572" s="1466"/>
      <c r="AE572" s="1466"/>
      <c r="AH572" s="33" t="s">
        <v>207</v>
      </c>
      <c r="AI572" s="1406"/>
      <c r="AJ572" s="1406"/>
      <c r="AK572" s="140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67" t="s">
        <v>2779</v>
      </c>
      <c r="I573" s="1467"/>
      <c r="J573" s="1467"/>
      <c r="K573" s="1467"/>
      <c r="L573" s="1467"/>
      <c r="M573" s="1467"/>
      <c r="N573" s="1467"/>
      <c r="O573" s="1467"/>
      <c r="P573" s="1467"/>
      <c r="Q573" s="1467"/>
      <c r="R573" s="1467"/>
      <c r="S573" s="8"/>
      <c r="T573" s="22"/>
      <c r="U573" t="s">
        <v>18</v>
      </c>
      <c r="AA573" s="1467" t="s">
        <v>2780</v>
      </c>
      <c r="AB573" s="1467"/>
      <c r="AC573" s="1467"/>
      <c r="AD573" s="1467"/>
      <c r="AE573" s="1467"/>
      <c r="AF573" s="1467"/>
      <c r="AG573" s="1467"/>
      <c r="AH573" s="1467"/>
      <c r="AI573" s="1467"/>
      <c r="AJ573" s="1467"/>
      <c r="AK573" s="146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590"/>
      <c r="N574" s="1590"/>
      <c r="O574" s="1590"/>
      <c r="P574" s="1590"/>
      <c r="Q574" s="1590"/>
      <c r="R574" s="1590"/>
      <c r="S574" s="8"/>
      <c r="T574" s="22"/>
      <c r="U574" s="348" t="s">
        <v>1292</v>
      </c>
      <c r="AA574" s="8"/>
      <c r="AB574" s="8"/>
      <c r="AC574" s="8"/>
      <c r="AD574" s="8"/>
      <c r="AE574" s="8"/>
      <c r="AF574" s="1590"/>
      <c r="AG574" s="1590"/>
      <c r="AH574" s="1590"/>
      <c r="AI574" s="1590"/>
      <c r="AJ574" s="1590"/>
      <c r="AK574" s="159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28" t="s">
        <v>554</v>
      </c>
      <c r="O575" s="1428"/>
      <c r="T575" s="22"/>
      <c r="U575" t="s">
        <v>20</v>
      </c>
      <c r="AG575" s="1428" t="s">
        <v>554</v>
      </c>
      <c r="AH575" s="142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517" t="str">
        <f>C556</f>
        <v>Seller Note</v>
      </c>
      <c r="H577" s="1517"/>
      <c r="I577" s="1517"/>
      <c r="J577" s="1517"/>
      <c r="K577" s="1517"/>
      <c r="L577" s="1517"/>
      <c r="M577" s="1517"/>
      <c r="N577" s="1517"/>
      <c r="O577" s="1517"/>
      <c r="P577" s="1517"/>
      <c r="Q577" s="1517"/>
      <c r="R577" s="1517"/>
      <c r="T577" s="55" t="s">
        <v>590</v>
      </c>
      <c r="U577" t="s">
        <v>472</v>
      </c>
      <c r="Z577" s="1517" t="str">
        <f>C557</f>
        <v xml:space="preserve">Seller Credit </v>
      </c>
      <c r="AA577" s="1517"/>
      <c r="AB577" s="1517"/>
      <c r="AC577" s="1517"/>
      <c r="AD577" s="1517"/>
      <c r="AE577" s="1517"/>
      <c r="AF577" s="1517"/>
      <c r="AG577" s="1517"/>
      <c r="AH577" s="1517"/>
      <c r="AI577" s="1517"/>
      <c r="AJ577" s="1517"/>
      <c r="AK577" s="1517"/>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67" t="s">
        <v>2662</v>
      </c>
      <c r="H578" s="1467"/>
      <c r="I578" s="1467"/>
      <c r="J578" s="1467"/>
      <c r="K578" s="1467"/>
      <c r="L578" s="1467"/>
      <c r="M578" s="1467"/>
      <c r="N578" s="1467"/>
      <c r="O578" s="1467"/>
      <c r="P578" s="1467"/>
      <c r="Q578" s="1467"/>
      <c r="R578" s="1467"/>
      <c r="T578" s="22"/>
      <c r="U578" t="s">
        <v>85</v>
      </c>
      <c r="Z578" s="1467" t="s">
        <v>2662</v>
      </c>
      <c r="AA578" s="1467"/>
      <c r="AB578" s="1467"/>
      <c r="AC578" s="1467"/>
      <c r="AD578" s="1467"/>
      <c r="AE578" s="1467"/>
      <c r="AF578" s="1467"/>
      <c r="AG578" s="1467"/>
      <c r="AH578" s="1467"/>
      <c r="AI578" s="1467"/>
      <c r="AJ578" s="1467"/>
      <c r="AK578" s="146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17" t="s">
        <v>2745</v>
      </c>
      <c r="H579" s="1417"/>
      <c r="I579" s="1417"/>
      <c r="J579" s="1417"/>
      <c r="K579" s="1417"/>
      <c r="L579" s="1417"/>
      <c r="M579" s="1417"/>
      <c r="N579" s="1417"/>
      <c r="O579" s="1417"/>
      <c r="P579" s="1417"/>
      <c r="Q579" s="1417"/>
      <c r="R579" s="1417"/>
      <c r="T579" s="22"/>
      <c r="U579" t="s">
        <v>589</v>
      </c>
      <c r="Z579" s="1417" t="s">
        <v>2745</v>
      </c>
      <c r="AA579" s="1417"/>
      <c r="AB579" s="1417"/>
      <c r="AC579" s="1417"/>
      <c r="AD579" s="1417"/>
      <c r="AE579" s="1417"/>
      <c r="AF579" s="1417"/>
      <c r="AG579" s="1417"/>
      <c r="AH579" s="1417"/>
      <c r="AI579" s="1417"/>
      <c r="AJ579" s="1417"/>
      <c r="AK579" s="1417"/>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17" t="s">
        <v>2746</v>
      </c>
      <c r="H580" s="1417"/>
      <c r="I580" s="1417"/>
      <c r="J580" s="1417"/>
      <c r="K580" s="1417"/>
      <c r="L580" s="1417"/>
      <c r="M580" s="1417"/>
      <c r="N580" s="1417"/>
      <c r="O580" s="1417"/>
      <c r="P580" s="1417"/>
      <c r="Q580" s="1417"/>
      <c r="R580" s="1417"/>
      <c r="T580" s="22"/>
      <c r="U580" t="s">
        <v>17</v>
      </c>
      <c r="Z580" s="1417" t="s">
        <v>2746</v>
      </c>
      <c r="AA580" s="1417"/>
      <c r="AB580" s="1417"/>
      <c r="AC580" s="1417"/>
      <c r="AD580" s="1417"/>
      <c r="AE580" s="1417"/>
      <c r="AF580" s="1417"/>
      <c r="AG580" s="1417"/>
      <c r="AH580" s="1417"/>
      <c r="AI580" s="1417"/>
      <c r="AJ580" s="1417"/>
      <c r="AK580" s="1417"/>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66" t="s">
        <v>2665</v>
      </c>
      <c r="H581" s="1466"/>
      <c r="I581" s="1466"/>
      <c r="J581" s="1466"/>
      <c r="K581" s="1466"/>
      <c r="L581" s="1466"/>
      <c r="O581" s="33" t="s">
        <v>207</v>
      </c>
      <c r="P581" s="1406"/>
      <c r="Q581" s="1406"/>
      <c r="R581" s="1406"/>
      <c r="T581" s="22"/>
      <c r="U581" t="s">
        <v>317</v>
      </c>
      <c r="Z581" s="1466" t="s">
        <v>2665</v>
      </c>
      <c r="AA581" s="1466"/>
      <c r="AB581" s="1466"/>
      <c r="AC581" s="1466"/>
      <c r="AD581" s="1466"/>
      <c r="AE581" s="1466"/>
      <c r="AH581" s="33" t="s">
        <v>207</v>
      </c>
      <c r="AI581" s="1406"/>
      <c r="AJ581" s="1406"/>
      <c r="AK581" s="140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67" t="s">
        <v>2715</v>
      </c>
      <c r="I582" s="1467"/>
      <c r="J582" s="1467"/>
      <c r="K582" s="1467"/>
      <c r="L582" s="1467"/>
      <c r="M582" s="1467"/>
      <c r="N582" s="1467"/>
      <c r="O582" s="1467"/>
      <c r="P582" s="1467"/>
      <c r="Q582" s="1467"/>
      <c r="R582" s="1467"/>
      <c r="T582" s="22"/>
      <c r="U582" t="s">
        <v>18</v>
      </c>
      <c r="AA582" s="1467" t="s">
        <v>2778</v>
      </c>
      <c r="AB582" s="1467"/>
      <c r="AC582" s="1467"/>
      <c r="AD582" s="1467"/>
      <c r="AE582" s="1467"/>
      <c r="AF582" s="1467"/>
      <c r="AG582" s="1467"/>
      <c r="AH582" s="1467"/>
      <c r="AI582" s="1467"/>
      <c r="AJ582" s="1467"/>
      <c r="AK582" s="146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28" t="s">
        <v>554</v>
      </c>
      <c r="O583" s="1428"/>
      <c r="T583" s="22"/>
      <c r="U583" t="s">
        <v>20</v>
      </c>
      <c r="AG583" s="1428" t="s">
        <v>554</v>
      </c>
      <c r="AH583" s="142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517" t="str">
        <f>C558</f>
        <v xml:space="preserve">Operating Income </v>
      </c>
      <c r="H585" s="1517"/>
      <c r="I585" s="1517"/>
      <c r="J585" s="1517"/>
      <c r="K585" s="1517"/>
      <c r="L585" s="1517"/>
      <c r="M585" s="1517"/>
      <c r="N585" s="1517"/>
      <c r="O585" s="1517"/>
      <c r="P585" s="1517"/>
      <c r="Q585" s="1517"/>
      <c r="R585" s="1517"/>
      <c r="T585" s="55" t="s">
        <v>593</v>
      </c>
      <c r="U585" t="s">
        <v>472</v>
      </c>
      <c r="Z585" s="1517" t="str">
        <f>C559</f>
        <v xml:space="preserve">PNC - Tax Credit Proceeds </v>
      </c>
      <c r="AA585" s="1517"/>
      <c r="AB585" s="1517"/>
      <c r="AC585" s="1517"/>
      <c r="AD585" s="1517"/>
      <c r="AE585" s="1517"/>
      <c r="AF585" s="1517"/>
      <c r="AG585" s="1517"/>
      <c r="AH585" s="1517"/>
      <c r="AI585" s="1517"/>
      <c r="AJ585" s="1517"/>
      <c r="AK585" s="151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67" t="s">
        <v>2662</v>
      </c>
      <c r="H586" s="1467"/>
      <c r="I586" s="1467"/>
      <c r="J586" s="1467"/>
      <c r="K586" s="1467"/>
      <c r="L586" s="1467"/>
      <c r="M586" s="1467"/>
      <c r="N586" s="1467"/>
      <c r="O586" s="1467"/>
      <c r="P586" s="1467"/>
      <c r="Q586" s="1467"/>
      <c r="R586" s="1467"/>
      <c r="T586" s="22"/>
      <c r="U586" t="s">
        <v>85</v>
      </c>
      <c r="Z586" s="1467" t="s">
        <v>2747</v>
      </c>
      <c r="AA586" s="1467"/>
      <c r="AB586" s="1467"/>
      <c r="AC586" s="1467"/>
      <c r="AD586" s="1467"/>
      <c r="AE586" s="1467"/>
      <c r="AF586" s="1467"/>
      <c r="AG586" s="1467"/>
      <c r="AH586" s="1467"/>
      <c r="AI586" s="1467"/>
      <c r="AJ586" s="1467"/>
      <c r="AK586" s="146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467" t="s">
        <v>2745</v>
      </c>
      <c r="H587" s="1467"/>
      <c r="I587" s="1467"/>
      <c r="J587" s="1467"/>
      <c r="K587" s="1467"/>
      <c r="L587" s="1467"/>
      <c r="M587" s="1467"/>
      <c r="N587" s="1467"/>
      <c r="O587" s="1467"/>
      <c r="P587" s="1467"/>
      <c r="Q587" s="1467"/>
      <c r="R587" s="1467"/>
      <c r="T587" s="22"/>
      <c r="U587" t="s">
        <v>589</v>
      </c>
      <c r="Z587" s="1417" t="s">
        <v>2748</v>
      </c>
      <c r="AA587" s="1417"/>
      <c r="AB587" s="1417"/>
      <c r="AC587" s="1417"/>
      <c r="AD587" s="1417"/>
      <c r="AE587" s="1417"/>
      <c r="AF587" s="1417"/>
      <c r="AG587" s="1417"/>
      <c r="AH587" s="1417"/>
      <c r="AI587" s="1417"/>
      <c r="AJ587" s="1417"/>
      <c r="AK587" s="1417"/>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67" t="s">
        <v>2746</v>
      </c>
      <c r="H588" s="1467"/>
      <c r="I588" s="1467"/>
      <c r="J588" s="1467"/>
      <c r="K588" s="1467"/>
      <c r="L588" s="1467"/>
      <c r="M588" s="1467"/>
      <c r="N588" s="1467"/>
      <c r="O588" s="1467"/>
      <c r="P588" s="1467"/>
      <c r="Q588" s="1467"/>
      <c r="R588" s="1467"/>
      <c r="T588" s="22"/>
      <c r="U588" t="s">
        <v>17</v>
      </c>
      <c r="Z588" s="1417" t="s">
        <v>2749</v>
      </c>
      <c r="AA588" s="1417"/>
      <c r="AB588" s="1417"/>
      <c r="AC588" s="1417"/>
      <c r="AD588" s="1417"/>
      <c r="AE588" s="1417"/>
      <c r="AF588" s="1417"/>
      <c r="AG588" s="1417"/>
      <c r="AH588" s="1417"/>
      <c r="AI588" s="1417"/>
      <c r="AJ588" s="1417"/>
      <c r="AK588" s="1417"/>
    </row>
    <row r="589" spans="1:110" ht="12.95" customHeight="1">
      <c r="A589" s="22"/>
      <c r="B589" t="s">
        <v>317</v>
      </c>
      <c r="G589" s="1466" t="s">
        <v>2665</v>
      </c>
      <c r="H589" s="1466"/>
      <c r="I589" s="1466"/>
      <c r="J589" s="1466"/>
      <c r="K589" s="1466"/>
      <c r="L589" s="1466"/>
      <c r="O589" s="33" t="s">
        <v>207</v>
      </c>
      <c r="P589" s="1406"/>
      <c r="Q589" s="1406"/>
      <c r="R589" s="1406"/>
      <c r="T589" s="22"/>
      <c r="U589" t="s">
        <v>317</v>
      </c>
      <c r="Z589" s="1551" t="s">
        <v>2750</v>
      </c>
      <c r="AA589" s="1466"/>
      <c r="AB589" s="1466"/>
      <c r="AC589" s="1466"/>
      <c r="AD589" s="1466"/>
      <c r="AE589" s="1466"/>
      <c r="AH589" s="33" t="s">
        <v>207</v>
      </c>
      <c r="AI589" s="1406"/>
      <c r="AJ589" s="1406"/>
      <c r="AK589" s="140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67" t="s">
        <v>2440</v>
      </c>
      <c r="I590" s="1467"/>
      <c r="J590" s="1467"/>
      <c r="K590" s="1467"/>
      <c r="L590" s="1467"/>
      <c r="M590" s="1467"/>
      <c r="N590" s="1467"/>
      <c r="O590" s="1467"/>
      <c r="P590" s="1467"/>
      <c r="Q590" s="1467"/>
      <c r="R590" s="1467"/>
      <c r="T590" s="22"/>
      <c r="U590" t="s">
        <v>18</v>
      </c>
      <c r="AA590" s="1467" t="s">
        <v>2781</v>
      </c>
      <c r="AB590" s="1467"/>
      <c r="AC590" s="1467"/>
      <c r="AD590" s="1467"/>
      <c r="AE590" s="1467"/>
      <c r="AF590" s="1467"/>
      <c r="AG590" s="1467"/>
      <c r="AH590" s="1467"/>
      <c r="AI590" s="1467"/>
      <c r="AJ590" s="1467"/>
      <c r="AK590" s="146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28" t="s">
        <v>554</v>
      </c>
      <c r="O591" s="1428"/>
      <c r="T591" s="22"/>
      <c r="U591" t="s">
        <v>20</v>
      </c>
      <c r="AG591" s="1428" t="s">
        <v>554</v>
      </c>
      <c r="AH591" s="142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517" t="str">
        <f>C560</f>
        <v xml:space="preserve">Deferred Costs </v>
      </c>
      <c r="H593" s="1517"/>
      <c r="I593" s="1517"/>
      <c r="J593" s="1517"/>
      <c r="K593" s="1517"/>
      <c r="L593" s="1517"/>
      <c r="M593" s="1517"/>
      <c r="N593" s="1517"/>
      <c r="O593" s="1517"/>
      <c r="P593" s="1517"/>
      <c r="Q593" s="1517"/>
      <c r="R593" s="1517"/>
      <c r="T593" s="55" t="s">
        <v>465</v>
      </c>
      <c r="U593" t="s">
        <v>472</v>
      </c>
      <c r="Z593" s="1517">
        <f>C561</f>
        <v>0</v>
      </c>
      <c r="AA593" s="1517"/>
      <c r="AB593" s="1517"/>
      <c r="AC593" s="1517"/>
      <c r="AD593" s="1517"/>
      <c r="AE593" s="1517"/>
      <c r="AF593" s="1517"/>
      <c r="AG593" s="1517"/>
      <c r="AH593" s="1517"/>
      <c r="AI593" s="1517"/>
      <c r="AJ593" s="1517"/>
      <c r="AK593" s="1517"/>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67" t="s">
        <v>2662</v>
      </c>
      <c r="H594" s="1467"/>
      <c r="I594" s="1467"/>
      <c r="J594" s="1467"/>
      <c r="K594" s="1467"/>
      <c r="L594" s="1467"/>
      <c r="M594" s="1467"/>
      <c r="N594" s="1467"/>
      <c r="O594" s="1467"/>
      <c r="P594" s="1467"/>
      <c r="Q594" s="1467"/>
      <c r="R594" s="1467"/>
      <c r="S594"/>
      <c r="T594" s="22"/>
      <c r="U594" t="s">
        <v>85</v>
      </c>
      <c r="V594"/>
      <c r="W594"/>
      <c r="X594"/>
      <c r="Y594"/>
      <c r="Z594" s="1467"/>
      <c r="AA594" s="1467"/>
      <c r="AB594" s="1467"/>
      <c r="AC594" s="1467"/>
      <c r="AD594" s="1467"/>
      <c r="AE594" s="1467"/>
      <c r="AF594" s="1467"/>
      <c r="AG594" s="1467"/>
      <c r="AH594" s="1467"/>
      <c r="AI594" s="1467"/>
      <c r="AJ594" s="1467"/>
      <c r="AK594" s="146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467" t="s">
        <v>2745</v>
      </c>
      <c r="H595" s="1467"/>
      <c r="I595" s="1467"/>
      <c r="J595" s="1467"/>
      <c r="K595" s="1467"/>
      <c r="L595" s="1467"/>
      <c r="M595" s="1467"/>
      <c r="N595" s="1467"/>
      <c r="O595" s="1467"/>
      <c r="P595" s="1467"/>
      <c r="Q595" s="1467"/>
      <c r="R595" s="1467"/>
      <c r="S595"/>
      <c r="T595" s="22"/>
      <c r="U595" t="s">
        <v>589</v>
      </c>
      <c r="V595"/>
      <c r="W595"/>
      <c r="X595"/>
      <c r="Y595"/>
      <c r="Z595" s="1417"/>
      <c r="AA595" s="1417"/>
      <c r="AB595" s="1417"/>
      <c r="AC595" s="1417"/>
      <c r="AD595" s="1417"/>
      <c r="AE595" s="1417"/>
      <c r="AF595" s="1417"/>
      <c r="AG595" s="1417"/>
      <c r="AH595" s="1417"/>
      <c r="AI595" s="1417"/>
      <c r="AJ595" s="1417"/>
      <c r="AK595" s="1417"/>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67" t="s">
        <v>2746</v>
      </c>
      <c r="H596" s="1467"/>
      <c r="I596" s="1467"/>
      <c r="J596" s="1467"/>
      <c r="K596" s="1467"/>
      <c r="L596" s="1467"/>
      <c r="M596" s="1467"/>
      <c r="N596" s="1467"/>
      <c r="O596" s="1467"/>
      <c r="P596" s="1467"/>
      <c r="Q596" s="1467"/>
      <c r="R596" s="1467"/>
      <c r="S596"/>
      <c r="T596" s="22"/>
      <c r="U596" t="s">
        <v>17</v>
      </c>
      <c r="V596"/>
      <c r="W596"/>
      <c r="X596"/>
      <c r="Y596"/>
      <c r="Z596" s="1417"/>
      <c r="AA596" s="1417"/>
      <c r="AB596" s="1417"/>
      <c r="AC596" s="1417"/>
      <c r="AD596" s="1417"/>
      <c r="AE596" s="1417"/>
      <c r="AF596" s="1417"/>
      <c r="AG596" s="1417"/>
      <c r="AH596" s="1417"/>
      <c r="AI596" s="1417"/>
      <c r="AJ596" s="1417"/>
      <c r="AK596" s="1417"/>
      <c r="AL596"/>
      <c r="AM596"/>
      <c r="AN596"/>
      <c r="AO596"/>
      <c r="AP596"/>
      <c r="AQ596"/>
      <c r="AR596"/>
      <c r="AS596"/>
      <c r="AT596"/>
      <c r="AU596"/>
      <c r="AV596"/>
      <c r="AW596"/>
      <c r="AX596"/>
      <c r="AY596"/>
      <c r="BA596" s="4" t="s">
        <v>325</v>
      </c>
      <c r="BB596" s="3"/>
      <c r="BC596" s="3"/>
      <c r="BD596" s="3"/>
      <c r="BE596" s="121" t="s">
        <v>483</v>
      </c>
      <c r="BF596" s="122"/>
      <c r="BG596" s="1367"/>
      <c r="BH596" s="1368"/>
      <c r="BI596" s="121" t="s">
        <v>484</v>
      </c>
      <c r="BJ596" s="122"/>
      <c r="BK596" s="1367"/>
      <c r="BL596" s="1368"/>
      <c r="BM596" s="3"/>
      <c r="BN596" s="1529" t="s">
        <v>642</v>
      </c>
      <c r="BO596" s="1530"/>
      <c r="BP596" s="1530"/>
      <c r="BQ596" s="1530"/>
      <c r="BR596" s="1531"/>
      <c r="BS596" s="1378" t="s">
        <v>326</v>
      </c>
      <c r="BT596" s="1378"/>
      <c r="BU596" s="1378"/>
      <c r="BV596" s="1378"/>
      <c r="BW596" s="1378"/>
      <c r="BX596" s="1378" t="s">
        <v>163</v>
      </c>
      <c r="BY596" s="1378"/>
      <c r="BZ596" s="1378"/>
      <c r="CA596" s="1378"/>
      <c r="CB596" s="1378"/>
      <c r="CC596" s="1378" t="s">
        <v>164</v>
      </c>
      <c r="CD596" s="1378"/>
      <c r="CE596" s="1378"/>
      <c r="CF596" s="1378"/>
      <c r="CG596" s="1378"/>
      <c r="CH596" s="1378" t="s">
        <v>469</v>
      </c>
      <c r="CI596" s="1378"/>
      <c r="CJ596" s="1378"/>
      <c r="CK596" s="1378"/>
      <c r="CL596" s="1378"/>
      <c r="CM596" s="1378" t="s">
        <v>30</v>
      </c>
      <c r="CN596" s="1378"/>
      <c r="CO596" s="1378"/>
      <c r="CP596" s="1378"/>
      <c r="CQ596" s="1378"/>
      <c r="CR596" s="89"/>
      <c r="CS596" s="1378" t="s">
        <v>642</v>
      </c>
      <c r="CT596" s="1378"/>
      <c r="CU596" s="1378"/>
      <c r="CV596" s="1378"/>
      <c r="CW596" s="1378"/>
      <c r="CX596" s="1378" t="s">
        <v>326</v>
      </c>
      <c r="CY596" s="1378"/>
      <c r="CZ596" s="1378"/>
      <c r="DA596" s="1378"/>
      <c r="DB596" s="1378"/>
      <c r="DC596" s="1378" t="s">
        <v>163</v>
      </c>
      <c r="DD596" s="1378"/>
      <c r="DE596" s="1378"/>
      <c r="DF596" s="1378"/>
      <c r="DG596" s="1378"/>
      <c r="DH596" s="1378" t="s">
        <v>164</v>
      </c>
      <c r="DI596" s="1378"/>
      <c r="DJ596" s="1378"/>
      <c r="DK596" s="1378"/>
      <c r="DL596" s="1378"/>
      <c r="DM596" s="1378" t="s">
        <v>469</v>
      </c>
      <c r="DN596" s="1378"/>
      <c r="DO596" s="1378"/>
      <c r="DP596" s="1378"/>
      <c r="DQ596" s="1378"/>
      <c r="DR596" s="1378" t="s">
        <v>30</v>
      </c>
      <c r="DS596" s="1378"/>
      <c r="DT596" s="1378"/>
      <c r="DU596" s="1378"/>
      <c r="DV596" s="1378"/>
      <c r="DX596" s="1378" t="s">
        <v>642</v>
      </c>
      <c r="DY596" s="1378"/>
      <c r="DZ596" s="1378"/>
      <c r="EA596" s="1378"/>
      <c r="EB596" s="1378"/>
      <c r="EC596" s="1378" t="s">
        <v>326</v>
      </c>
      <c r="ED596" s="1378"/>
      <c r="EE596" s="1378"/>
      <c r="EF596" s="1378"/>
      <c r="EG596" s="1378"/>
      <c r="EH596" s="1378" t="s">
        <v>163</v>
      </c>
      <c r="EI596" s="1378"/>
      <c r="EJ596" s="1378"/>
      <c r="EK596" s="1378"/>
      <c r="EL596" s="1378"/>
      <c r="EM596" s="1378" t="s">
        <v>164</v>
      </c>
      <c r="EN596" s="1378"/>
      <c r="EO596" s="1378"/>
      <c r="EP596" s="1378"/>
      <c r="EQ596" s="1378"/>
      <c r="ER596" s="1378" t="s">
        <v>469</v>
      </c>
      <c r="ES596" s="1378"/>
      <c r="ET596" s="1378"/>
      <c r="EU596" s="1378"/>
      <c r="EV596" s="1378"/>
      <c r="EW596" s="1378" t="s">
        <v>30</v>
      </c>
      <c r="EX596" s="1378"/>
      <c r="EY596" s="1378"/>
      <c r="EZ596" s="1378"/>
      <c r="FA596" s="1378"/>
    </row>
    <row r="597" spans="1:157" s="4" customFormat="1" ht="12.95" customHeight="1">
      <c r="A597" s="22"/>
      <c r="B597" t="s">
        <v>317</v>
      </c>
      <c r="C597"/>
      <c r="D597"/>
      <c r="E597"/>
      <c r="F597"/>
      <c r="G597" s="1551" t="s">
        <v>2665</v>
      </c>
      <c r="H597" s="1466"/>
      <c r="I597" s="1466"/>
      <c r="J597" s="1466"/>
      <c r="K597" s="1466"/>
      <c r="L597" s="1466"/>
      <c r="M597"/>
      <c r="N597"/>
      <c r="O597" s="33" t="s">
        <v>207</v>
      </c>
      <c r="P597" s="1406"/>
      <c r="Q597" s="1406"/>
      <c r="R597" s="1406"/>
      <c r="S597"/>
      <c r="T597" s="22"/>
      <c r="U597" t="s">
        <v>317</v>
      </c>
      <c r="V597"/>
      <c r="W597"/>
      <c r="X597"/>
      <c r="Y597"/>
      <c r="Z597" s="1466"/>
      <c r="AA597" s="1466"/>
      <c r="AB597" s="1466"/>
      <c r="AC597" s="1466"/>
      <c r="AD597" s="1466"/>
      <c r="AE597" s="1466"/>
      <c r="AF597"/>
      <c r="AG597"/>
      <c r="AH597" s="33" t="s">
        <v>207</v>
      </c>
      <c r="AI597" s="1406"/>
      <c r="AJ597" s="1406"/>
      <c r="AK597" s="1406"/>
      <c r="AL597"/>
      <c r="AM597"/>
      <c r="AN597"/>
      <c r="AO597"/>
      <c r="AP597"/>
      <c r="AQ597"/>
      <c r="AR597"/>
      <c r="AS597"/>
      <c r="AT597"/>
      <c r="AU597"/>
      <c r="AV597"/>
      <c r="AW597"/>
      <c r="AX597"/>
      <c r="AY597"/>
      <c r="BA597" s="4" t="s">
        <v>326</v>
      </c>
      <c r="BB597" s="3"/>
      <c r="BC597" s="3"/>
      <c r="BD597" s="3"/>
      <c r="BE597" s="1357">
        <f t="shared" ref="BE597:BE631" si="1">IF(AND(AC718&lt;=0.5,AC718&gt;=0.36),1,0)</f>
        <v>0</v>
      </c>
      <c r="BF597" s="1359"/>
      <c r="BG597" s="1367">
        <f t="shared" ref="BG597:BG631" si="2">IF(BE597=1,G718,0)</f>
        <v>0</v>
      </c>
      <c r="BH597" s="1368"/>
      <c r="BI597" s="1357">
        <f t="shared" ref="BI597:BI631" si="3">IF(AND(AC718&lt;=0.35,AC718&gt;0),1,0)</f>
        <v>1</v>
      </c>
      <c r="BJ597" s="1359"/>
      <c r="BK597" s="1367">
        <f t="shared" ref="BK597:BK631" si="4">IF(BI597=1,G718,0)</f>
        <v>1</v>
      </c>
      <c r="BL597" s="1368"/>
      <c r="BM597" s="3"/>
      <c r="BN597" s="1364">
        <f t="shared" ref="BN597:BN631" si="5">IF(B718="SRO/Studio",G718,0)</f>
        <v>1</v>
      </c>
      <c r="BO597" s="1365"/>
      <c r="BP597" s="1365"/>
      <c r="BQ597" s="1365"/>
      <c r="BR597" s="1366"/>
      <c r="BS597" s="1363">
        <f t="shared" ref="BS597:BS631" si="6">IF(B718="1 Bedroom",G718,0)</f>
        <v>0</v>
      </c>
      <c r="BT597" s="1363"/>
      <c r="BU597" s="1363"/>
      <c r="BV597" s="1363"/>
      <c r="BW597" s="1363"/>
      <c r="BX597" s="1363">
        <f t="shared" ref="BX597:BX631" si="7">IF(B718="2 Bedrooms",G718,0)</f>
        <v>0</v>
      </c>
      <c r="BY597" s="1363"/>
      <c r="BZ597" s="1363"/>
      <c r="CA597" s="1363"/>
      <c r="CB597" s="1363"/>
      <c r="CC597" s="1363">
        <f t="shared" ref="CC597:CC631" si="8">IF(B718="3 Bedrooms",G718,0)</f>
        <v>0</v>
      </c>
      <c r="CD597" s="1363"/>
      <c r="CE597" s="1363"/>
      <c r="CF597" s="1363"/>
      <c r="CG597" s="1363"/>
      <c r="CH597" s="1363">
        <f t="shared" ref="CH597:CH631" si="9">IF(B718="4 Bedrooms",G718,0)</f>
        <v>0</v>
      </c>
      <c r="CI597" s="1363"/>
      <c r="CJ597" s="1363"/>
      <c r="CK597" s="1363"/>
      <c r="CL597" s="1363"/>
      <c r="CM597" s="1363">
        <f t="shared" ref="CM597:CM631" si="10">IF(B718="5 Bedrooms",G718,0)</f>
        <v>0</v>
      </c>
      <c r="CN597" s="1363"/>
      <c r="CO597" s="1363"/>
      <c r="CP597" s="1363"/>
      <c r="CQ597" s="1363"/>
      <c r="CR597" s="6"/>
      <c r="CS597" s="1362">
        <f t="shared" ref="CS597:CS631" si="11">IF(AND(B718="SRO/Studio",AC718&lt;=0.3),G718,0)</f>
        <v>1</v>
      </c>
      <c r="CT597" s="1362"/>
      <c r="CU597" s="1362"/>
      <c r="CV597" s="1362"/>
      <c r="CW597" s="1362"/>
      <c r="CX597" s="1362">
        <f t="shared" ref="CX597:CX631" si="12">IF(AND(B718="1 Bedroom",AC718&lt;=0.3),G718,0)</f>
        <v>0</v>
      </c>
      <c r="CY597" s="1362"/>
      <c r="CZ597" s="1362"/>
      <c r="DA597" s="1362"/>
      <c r="DB597" s="1362"/>
      <c r="DC597" s="1362">
        <f t="shared" ref="DC597:DC631" si="13">IF(AND(B718="2 Bedrooms",AC718&lt;=0.3),G718,0)</f>
        <v>0</v>
      </c>
      <c r="DD597" s="1362"/>
      <c r="DE597" s="1362"/>
      <c r="DF597" s="1362"/>
      <c r="DG597" s="1362"/>
      <c r="DH597" s="1362">
        <f t="shared" ref="DH597:DH631" si="14">IF(AND(B718="3 Bedrooms",AC718&lt;=0.3),G718,0)</f>
        <v>0</v>
      </c>
      <c r="DI597" s="1362"/>
      <c r="DJ597" s="1362"/>
      <c r="DK597" s="1362"/>
      <c r="DL597" s="1362"/>
      <c r="DM597" s="1362">
        <f t="shared" ref="DM597:DM631" si="15">IF(AND(B718="4 Bedrooms",AC718&lt;=0.3),G718,0)</f>
        <v>0</v>
      </c>
      <c r="DN597" s="1362"/>
      <c r="DO597" s="1362"/>
      <c r="DP597" s="1362"/>
      <c r="DQ597" s="1362"/>
      <c r="DR597" s="1362">
        <f t="shared" ref="DR597:DR631" si="16">IF(AND(B718="5 Bedrooms",AC718&lt;=0.3),G718,0)</f>
        <v>0</v>
      </c>
      <c r="DS597" s="1362"/>
      <c r="DT597" s="1362"/>
      <c r="DU597" s="1362"/>
      <c r="DV597" s="1362"/>
      <c r="DX597" s="1357">
        <f t="shared" ref="DX597:DX631" si="17">IF(BN597&gt;0,O718,"")</f>
        <v>550.20000000000005</v>
      </c>
      <c r="DY597" s="1358"/>
      <c r="DZ597" s="1358"/>
      <c r="EA597" s="1358"/>
      <c r="EB597" s="1359"/>
      <c r="EC597" s="1357" t="str">
        <f t="shared" ref="EC597:EC631" si="18">IF(BS597&gt;0,O718,"")</f>
        <v/>
      </c>
      <c r="ED597" s="1358"/>
      <c r="EE597" s="1358"/>
      <c r="EF597" s="1358"/>
      <c r="EG597" s="1359"/>
      <c r="EH597" s="1357" t="str">
        <f t="shared" ref="EH597:EH631" si="19">IF(BX597&gt;0,O718,"")</f>
        <v/>
      </c>
      <c r="EI597" s="1358"/>
      <c r="EJ597" s="1358"/>
      <c r="EK597" s="1358"/>
      <c r="EL597" s="1359"/>
      <c r="EM597" s="1357" t="str">
        <f t="shared" ref="EM597:EM631" si="20">IF(CC597&gt;0,O718,"")</f>
        <v/>
      </c>
      <c r="EN597" s="1358"/>
      <c r="EO597" s="1358"/>
      <c r="EP597" s="1358"/>
      <c r="EQ597" s="1359"/>
      <c r="ER597" s="1357" t="str">
        <f t="shared" ref="ER597:ER631" si="21">IF(CH597&gt;0,O718,"")</f>
        <v/>
      </c>
      <c r="ES597" s="1358"/>
      <c r="ET597" s="1358"/>
      <c r="EU597" s="1358"/>
      <c r="EV597" s="1359"/>
      <c r="EW597" s="1357" t="str">
        <f t="shared" ref="EW597:EW631" si="22">IF(CM597&gt;0,O718,"")</f>
        <v/>
      </c>
      <c r="EX597" s="1358"/>
      <c r="EY597" s="1358"/>
      <c r="EZ597" s="1358"/>
      <c r="FA597" s="1359"/>
    </row>
    <row r="598" spans="1:157" s="4" customFormat="1" ht="12.95" customHeight="1">
      <c r="A598" s="22"/>
      <c r="B598" t="s">
        <v>18</v>
      </c>
      <c r="C598"/>
      <c r="D598"/>
      <c r="E598"/>
      <c r="F598"/>
      <c r="G598"/>
      <c r="H598" s="1467" t="s">
        <v>2782</v>
      </c>
      <c r="I598" s="1467"/>
      <c r="J598" s="1467"/>
      <c r="K598" s="1467"/>
      <c r="L598" s="1467"/>
      <c r="M598" s="1467"/>
      <c r="N598" s="1467"/>
      <c r="O598" s="1467"/>
      <c r="P598" s="1467"/>
      <c r="Q598" s="1467"/>
      <c r="R598" s="1467"/>
      <c r="S598"/>
      <c r="T598" s="22"/>
      <c r="U598" t="s">
        <v>18</v>
      </c>
      <c r="V598"/>
      <c r="W598"/>
      <c r="X598"/>
      <c r="Y598"/>
      <c r="Z598"/>
      <c r="AA598" s="1467"/>
      <c r="AB598" s="1467"/>
      <c r="AC598" s="1467"/>
      <c r="AD598" s="1467"/>
      <c r="AE598" s="1467"/>
      <c r="AF598" s="1467"/>
      <c r="AG598" s="1467"/>
      <c r="AH598" s="1467"/>
      <c r="AI598" s="1467"/>
      <c r="AJ598" s="1467"/>
      <c r="AK598" s="1467"/>
      <c r="AL598"/>
      <c r="AM598"/>
      <c r="AN598"/>
      <c r="AO598"/>
      <c r="AP598"/>
      <c r="AQ598"/>
      <c r="AR598"/>
      <c r="AS598"/>
      <c r="AT598"/>
      <c r="AU598"/>
      <c r="AV598"/>
      <c r="AW598"/>
      <c r="AX598"/>
      <c r="AY598"/>
      <c r="BA598" s="4" t="s">
        <v>163</v>
      </c>
      <c r="BB598" s="3"/>
      <c r="BC598" s="3"/>
      <c r="BD598" s="3"/>
      <c r="BE598" s="1357">
        <f t="shared" si="1"/>
        <v>1</v>
      </c>
      <c r="BF598" s="1359"/>
      <c r="BG598" s="1367">
        <f t="shared" si="2"/>
        <v>3</v>
      </c>
      <c r="BH598" s="1368"/>
      <c r="BI598" s="1357">
        <f t="shared" si="3"/>
        <v>0</v>
      </c>
      <c r="BJ598" s="1359"/>
      <c r="BK598" s="1367">
        <f t="shared" si="4"/>
        <v>0</v>
      </c>
      <c r="BL598" s="1368"/>
      <c r="BM598" s="3"/>
      <c r="BN598" s="1364">
        <f t="shared" si="5"/>
        <v>3</v>
      </c>
      <c r="BO598" s="1365"/>
      <c r="BP598" s="1365"/>
      <c r="BQ598" s="1365"/>
      <c r="BR598" s="1366"/>
      <c r="BS598" s="1363">
        <f t="shared" si="6"/>
        <v>0</v>
      </c>
      <c r="BT598" s="1363"/>
      <c r="BU598" s="1363"/>
      <c r="BV598" s="1363"/>
      <c r="BW598" s="1363"/>
      <c r="BX598" s="1363">
        <f t="shared" si="7"/>
        <v>0</v>
      </c>
      <c r="BY598" s="1363"/>
      <c r="BZ598" s="1363"/>
      <c r="CA598" s="1363"/>
      <c r="CB598" s="1363"/>
      <c r="CC598" s="1363">
        <f t="shared" si="8"/>
        <v>0</v>
      </c>
      <c r="CD598" s="1363"/>
      <c r="CE598" s="1363"/>
      <c r="CF598" s="1363"/>
      <c r="CG598" s="1363"/>
      <c r="CH598" s="1363">
        <f t="shared" si="9"/>
        <v>0</v>
      </c>
      <c r="CI598" s="1363"/>
      <c r="CJ598" s="1363"/>
      <c r="CK598" s="1363"/>
      <c r="CL598" s="1363"/>
      <c r="CM598" s="1363">
        <f t="shared" si="10"/>
        <v>0</v>
      </c>
      <c r="CN598" s="1363"/>
      <c r="CO598" s="1363"/>
      <c r="CP598" s="1363"/>
      <c r="CQ598" s="1363"/>
      <c r="CR598" s="6"/>
      <c r="CS598" s="1362">
        <f t="shared" si="11"/>
        <v>0</v>
      </c>
      <c r="CT598" s="1362"/>
      <c r="CU598" s="1362"/>
      <c r="CV598" s="1362"/>
      <c r="CW598" s="1362"/>
      <c r="CX598" s="1362">
        <f t="shared" si="12"/>
        <v>0</v>
      </c>
      <c r="CY598" s="1362"/>
      <c r="CZ598" s="1362"/>
      <c r="DA598" s="1362"/>
      <c r="DB598" s="1362"/>
      <c r="DC598" s="1362">
        <f t="shared" si="13"/>
        <v>0</v>
      </c>
      <c r="DD598" s="1362"/>
      <c r="DE598" s="1362"/>
      <c r="DF598" s="1362"/>
      <c r="DG598" s="1362"/>
      <c r="DH598" s="1362">
        <f t="shared" si="14"/>
        <v>0</v>
      </c>
      <c r="DI598" s="1362"/>
      <c r="DJ598" s="1362"/>
      <c r="DK598" s="1362"/>
      <c r="DL598" s="1362"/>
      <c r="DM598" s="1362">
        <f t="shared" si="15"/>
        <v>0</v>
      </c>
      <c r="DN598" s="1362"/>
      <c r="DO598" s="1362"/>
      <c r="DP598" s="1362"/>
      <c r="DQ598" s="1362"/>
      <c r="DR598" s="1362">
        <f t="shared" si="16"/>
        <v>0</v>
      </c>
      <c r="DS598" s="1362"/>
      <c r="DT598" s="1362"/>
      <c r="DU598" s="1362"/>
      <c r="DV598" s="1362"/>
      <c r="DX598" s="1357">
        <f t="shared" si="17"/>
        <v>963</v>
      </c>
      <c r="DY598" s="1358"/>
      <c r="DZ598" s="1358"/>
      <c r="EA598" s="1358"/>
      <c r="EB598" s="1359"/>
      <c r="EC598" s="1357" t="str">
        <f t="shared" si="18"/>
        <v/>
      </c>
      <c r="ED598" s="1358"/>
      <c r="EE598" s="1358"/>
      <c r="EF598" s="1358"/>
      <c r="EG598" s="1359"/>
      <c r="EH598" s="1357" t="str">
        <f t="shared" si="19"/>
        <v/>
      </c>
      <c r="EI598" s="1358"/>
      <c r="EJ598" s="1358"/>
      <c r="EK598" s="1358"/>
      <c r="EL598" s="1359"/>
      <c r="EM598" s="1357" t="str">
        <f t="shared" si="20"/>
        <v/>
      </c>
      <c r="EN598" s="1358"/>
      <c r="EO598" s="1358"/>
      <c r="EP598" s="1358"/>
      <c r="EQ598" s="1359"/>
      <c r="ER598" s="1357" t="str">
        <f t="shared" si="21"/>
        <v/>
      </c>
      <c r="ES598" s="1358"/>
      <c r="ET598" s="1358"/>
      <c r="EU598" s="1358"/>
      <c r="EV598" s="1359"/>
      <c r="EW598" s="1357" t="str">
        <f t="shared" si="22"/>
        <v/>
      </c>
      <c r="EX598" s="1358"/>
      <c r="EY598" s="1358"/>
      <c r="EZ598" s="1358"/>
      <c r="FA598" s="1359"/>
    </row>
    <row r="599" spans="1:157" ht="12.95" customHeight="1">
      <c r="A599" s="22"/>
      <c r="B599" t="s">
        <v>20</v>
      </c>
      <c r="N599" s="1428" t="s">
        <v>554</v>
      </c>
      <c r="O599" s="1428"/>
      <c r="T599" s="22"/>
      <c r="U599" t="s">
        <v>20</v>
      </c>
      <c r="AG599" s="1428" t="s">
        <v>678</v>
      </c>
      <c r="AH599" s="1428"/>
      <c r="BA599" s="4" t="s">
        <v>164</v>
      </c>
      <c r="BB599" s="3"/>
      <c r="BC599" s="3"/>
      <c r="BD599" s="3"/>
      <c r="BE599" s="1357">
        <f t="shared" si="1"/>
        <v>0</v>
      </c>
      <c r="BF599" s="1359"/>
      <c r="BG599" s="1367">
        <f t="shared" si="2"/>
        <v>0</v>
      </c>
      <c r="BH599" s="1368"/>
      <c r="BI599" s="1357">
        <f t="shared" si="3"/>
        <v>0</v>
      </c>
      <c r="BJ599" s="1359"/>
      <c r="BK599" s="1367">
        <f t="shared" si="4"/>
        <v>0</v>
      </c>
      <c r="BL599" s="1368"/>
      <c r="BM599" s="3"/>
      <c r="BN599" s="1364">
        <f t="shared" si="5"/>
        <v>6</v>
      </c>
      <c r="BO599" s="1365"/>
      <c r="BP599" s="1365"/>
      <c r="BQ599" s="1365"/>
      <c r="BR599" s="1366"/>
      <c r="BS599" s="1363">
        <f t="shared" si="6"/>
        <v>0</v>
      </c>
      <c r="BT599" s="1363"/>
      <c r="BU599" s="1363"/>
      <c r="BV599" s="1363"/>
      <c r="BW599" s="1363"/>
      <c r="BX599" s="1363">
        <f t="shared" si="7"/>
        <v>0</v>
      </c>
      <c r="BY599" s="1363"/>
      <c r="BZ599" s="1363"/>
      <c r="CA599" s="1363"/>
      <c r="CB599" s="1363"/>
      <c r="CC599" s="1363">
        <f t="shared" si="8"/>
        <v>0</v>
      </c>
      <c r="CD599" s="1363"/>
      <c r="CE599" s="1363"/>
      <c r="CF599" s="1363"/>
      <c r="CG599" s="1363"/>
      <c r="CH599" s="1363">
        <f t="shared" si="9"/>
        <v>0</v>
      </c>
      <c r="CI599" s="1363"/>
      <c r="CJ599" s="1363"/>
      <c r="CK599" s="1363"/>
      <c r="CL599" s="1363"/>
      <c r="CM599" s="1363">
        <f t="shared" si="10"/>
        <v>0</v>
      </c>
      <c r="CN599" s="1363"/>
      <c r="CO599" s="1363"/>
      <c r="CP599" s="1363"/>
      <c r="CQ599" s="1363"/>
      <c r="CR599" s="6"/>
      <c r="CS599" s="1362">
        <f t="shared" si="11"/>
        <v>0</v>
      </c>
      <c r="CT599" s="1362"/>
      <c r="CU599" s="1362"/>
      <c r="CV599" s="1362"/>
      <c r="CW599" s="1362"/>
      <c r="CX599" s="1362">
        <f t="shared" si="12"/>
        <v>0</v>
      </c>
      <c r="CY599" s="1362"/>
      <c r="CZ599" s="1362"/>
      <c r="DA599" s="1362"/>
      <c r="DB599" s="1362"/>
      <c r="DC599" s="1362">
        <f t="shared" si="13"/>
        <v>0</v>
      </c>
      <c r="DD599" s="1362"/>
      <c r="DE599" s="1362"/>
      <c r="DF599" s="1362"/>
      <c r="DG599" s="1362"/>
      <c r="DH599" s="1362">
        <f t="shared" si="14"/>
        <v>0</v>
      </c>
      <c r="DI599" s="1362"/>
      <c r="DJ599" s="1362"/>
      <c r="DK599" s="1362"/>
      <c r="DL599" s="1362"/>
      <c r="DM599" s="1362">
        <f t="shared" si="15"/>
        <v>0</v>
      </c>
      <c r="DN599" s="1362"/>
      <c r="DO599" s="1362"/>
      <c r="DP599" s="1362"/>
      <c r="DQ599" s="1362"/>
      <c r="DR599" s="1362">
        <f t="shared" si="16"/>
        <v>0</v>
      </c>
      <c r="DS599" s="1362"/>
      <c r="DT599" s="1362"/>
      <c r="DU599" s="1362"/>
      <c r="DV599" s="1362"/>
      <c r="DX599" s="1357">
        <f t="shared" si="17"/>
        <v>1169.8</v>
      </c>
      <c r="DY599" s="1358"/>
      <c r="DZ599" s="1358"/>
      <c r="EA599" s="1358"/>
      <c r="EB599" s="1359"/>
      <c r="EC599" s="1357" t="str">
        <f t="shared" si="18"/>
        <v/>
      </c>
      <c r="ED599" s="1358"/>
      <c r="EE599" s="1358"/>
      <c r="EF599" s="1358"/>
      <c r="EG599" s="1359"/>
      <c r="EH599" s="1357" t="str">
        <f t="shared" si="19"/>
        <v/>
      </c>
      <c r="EI599" s="1358"/>
      <c r="EJ599" s="1358"/>
      <c r="EK599" s="1358"/>
      <c r="EL599" s="1359"/>
      <c r="EM599" s="1357" t="str">
        <f t="shared" si="20"/>
        <v/>
      </c>
      <c r="EN599" s="1358"/>
      <c r="EO599" s="1358"/>
      <c r="EP599" s="1358"/>
      <c r="EQ599" s="1359"/>
      <c r="ER599" s="1357" t="str">
        <f t="shared" si="21"/>
        <v/>
      </c>
      <c r="ES599" s="1358"/>
      <c r="ET599" s="1358"/>
      <c r="EU599" s="1358"/>
      <c r="EV599" s="1359"/>
      <c r="EW599" s="1357" t="str">
        <f t="shared" si="22"/>
        <v/>
      </c>
      <c r="EX599" s="1358"/>
      <c r="EY599" s="1358"/>
      <c r="EZ599" s="1358"/>
      <c r="FA599" s="1359"/>
    </row>
    <row r="600" spans="1:157" ht="12.95" customHeight="1">
      <c r="A600" s="22"/>
      <c r="T600" s="22"/>
      <c r="BA600" s="4" t="s">
        <v>165</v>
      </c>
      <c r="BB600" s="3"/>
      <c r="BC600" s="3"/>
      <c r="BD600" s="3"/>
      <c r="BE600" s="1357">
        <f t="shared" si="1"/>
        <v>0</v>
      </c>
      <c r="BF600" s="1359"/>
      <c r="BG600" s="1367">
        <f t="shared" si="2"/>
        <v>0</v>
      </c>
      <c r="BH600" s="1368"/>
      <c r="BI600" s="1357">
        <f t="shared" si="3"/>
        <v>1</v>
      </c>
      <c r="BJ600" s="1359"/>
      <c r="BK600" s="1367">
        <f t="shared" si="4"/>
        <v>3</v>
      </c>
      <c r="BL600" s="1368"/>
      <c r="BM600" s="3"/>
      <c r="BN600" s="1364">
        <f t="shared" si="5"/>
        <v>0</v>
      </c>
      <c r="BO600" s="1365"/>
      <c r="BP600" s="1365"/>
      <c r="BQ600" s="1365"/>
      <c r="BR600" s="1366"/>
      <c r="BS600" s="1363">
        <f t="shared" si="6"/>
        <v>3</v>
      </c>
      <c r="BT600" s="1363"/>
      <c r="BU600" s="1363"/>
      <c r="BV600" s="1363"/>
      <c r="BW600" s="1363"/>
      <c r="BX600" s="1363">
        <f t="shared" si="7"/>
        <v>0</v>
      </c>
      <c r="BY600" s="1363"/>
      <c r="BZ600" s="1363"/>
      <c r="CA600" s="1363"/>
      <c r="CB600" s="1363"/>
      <c r="CC600" s="1363">
        <f t="shared" si="8"/>
        <v>0</v>
      </c>
      <c r="CD600" s="1363"/>
      <c r="CE600" s="1363"/>
      <c r="CF600" s="1363"/>
      <c r="CG600" s="1363"/>
      <c r="CH600" s="1363">
        <f t="shared" si="9"/>
        <v>0</v>
      </c>
      <c r="CI600" s="1363"/>
      <c r="CJ600" s="1363"/>
      <c r="CK600" s="1363"/>
      <c r="CL600" s="1363"/>
      <c r="CM600" s="1363">
        <f t="shared" si="10"/>
        <v>0</v>
      </c>
      <c r="CN600" s="1363"/>
      <c r="CO600" s="1363"/>
      <c r="CP600" s="1363"/>
      <c r="CQ600" s="1363"/>
      <c r="CR600" s="6"/>
      <c r="CS600" s="1362">
        <f t="shared" si="11"/>
        <v>0</v>
      </c>
      <c r="CT600" s="1362"/>
      <c r="CU600" s="1362"/>
      <c r="CV600" s="1362"/>
      <c r="CW600" s="1362"/>
      <c r="CX600" s="1362">
        <f t="shared" si="12"/>
        <v>3</v>
      </c>
      <c r="CY600" s="1362"/>
      <c r="CZ600" s="1362"/>
      <c r="DA600" s="1362"/>
      <c r="DB600" s="1362"/>
      <c r="DC600" s="1362">
        <f t="shared" si="13"/>
        <v>0</v>
      </c>
      <c r="DD600" s="1362"/>
      <c r="DE600" s="1362"/>
      <c r="DF600" s="1362"/>
      <c r="DG600" s="1362"/>
      <c r="DH600" s="1362">
        <f t="shared" si="14"/>
        <v>0</v>
      </c>
      <c r="DI600" s="1362"/>
      <c r="DJ600" s="1362"/>
      <c r="DK600" s="1362"/>
      <c r="DL600" s="1362"/>
      <c r="DM600" s="1362">
        <f t="shared" si="15"/>
        <v>0</v>
      </c>
      <c r="DN600" s="1362"/>
      <c r="DO600" s="1362"/>
      <c r="DP600" s="1362"/>
      <c r="DQ600" s="1362"/>
      <c r="DR600" s="1362">
        <f t="shared" si="16"/>
        <v>0</v>
      </c>
      <c r="DS600" s="1362"/>
      <c r="DT600" s="1362"/>
      <c r="DU600" s="1362"/>
      <c r="DV600" s="1362"/>
      <c r="DX600" s="1357" t="str">
        <f t="shared" si="17"/>
        <v/>
      </c>
      <c r="DY600" s="1358"/>
      <c r="DZ600" s="1358"/>
      <c r="EA600" s="1358"/>
      <c r="EB600" s="1359"/>
      <c r="EC600" s="1357">
        <f t="shared" si="18"/>
        <v>606</v>
      </c>
      <c r="ED600" s="1358"/>
      <c r="EE600" s="1358"/>
      <c r="EF600" s="1358"/>
      <c r="EG600" s="1359"/>
      <c r="EH600" s="1357" t="str">
        <f t="shared" si="19"/>
        <v/>
      </c>
      <c r="EI600" s="1358"/>
      <c r="EJ600" s="1358"/>
      <c r="EK600" s="1358"/>
      <c r="EL600" s="1359"/>
      <c r="EM600" s="1357" t="str">
        <f t="shared" si="20"/>
        <v/>
      </c>
      <c r="EN600" s="1358"/>
      <c r="EO600" s="1358"/>
      <c r="EP600" s="1358"/>
      <c r="EQ600" s="1359"/>
      <c r="ER600" s="1357" t="str">
        <f t="shared" si="21"/>
        <v/>
      </c>
      <c r="ES600" s="1358"/>
      <c r="ET600" s="1358"/>
      <c r="EU600" s="1358"/>
      <c r="EV600" s="1359"/>
      <c r="EW600" s="1357" t="str">
        <f t="shared" si="22"/>
        <v/>
      </c>
      <c r="EX600" s="1358"/>
      <c r="EY600" s="1358"/>
      <c r="EZ600" s="1358"/>
      <c r="FA600" s="1359"/>
    </row>
    <row r="601" spans="1:157" ht="12.95" customHeight="1">
      <c r="A601" s="55" t="s">
        <v>470</v>
      </c>
      <c r="B601" t="s">
        <v>472</v>
      </c>
      <c r="G601" s="1517">
        <f>C562</f>
        <v>0</v>
      </c>
      <c r="H601" s="1517"/>
      <c r="I601" s="1517"/>
      <c r="J601" s="1517"/>
      <c r="K601" s="1517"/>
      <c r="L601" s="1517"/>
      <c r="M601" s="1517"/>
      <c r="N601" s="1517"/>
      <c r="O601" s="1517"/>
      <c r="P601" s="1517"/>
      <c r="Q601" s="1517"/>
      <c r="R601" s="1517"/>
      <c r="T601" s="55" t="s">
        <v>655</v>
      </c>
      <c r="U601" t="s">
        <v>472</v>
      </c>
      <c r="Z601" s="1517">
        <f>C563</f>
        <v>0</v>
      </c>
      <c r="AA601" s="1517"/>
      <c r="AB601" s="1517"/>
      <c r="AC601" s="1517"/>
      <c r="AD601" s="1517"/>
      <c r="AE601" s="1517"/>
      <c r="AF601" s="1517"/>
      <c r="AG601" s="1517"/>
      <c r="AH601" s="1517"/>
      <c r="AI601" s="1517"/>
      <c r="AJ601" s="1517"/>
      <c r="AK601" s="1517"/>
      <c r="BA601" s="4" t="s">
        <v>30</v>
      </c>
      <c r="BB601" s="3"/>
      <c r="BC601" s="3"/>
      <c r="BD601" s="3"/>
      <c r="BE601" s="1357">
        <f t="shared" si="1"/>
        <v>1</v>
      </c>
      <c r="BF601" s="1359"/>
      <c r="BG601" s="1367">
        <f t="shared" si="2"/>
        <v>2</v>
      </c>
      <c r="BH601" s="1368"/>
      <c r="BI601" s="1357">
        <f t="shared" si="3"/>
        <v>0</v>
      </c>
      <c r="BJ601" s="1359"/>
      <c r="BK601" s="1367">
        <f t="shared" si="4"/>
        <v>0</v>
      </c>
      <c r="BL601" s="1368"/>
      <c r="BM601" s="3"/>
      <c r="BN601" s="1364">
        <f t="shared" si="5"/>
        <v>0</v>
      </c>
      <c r="BO601" s="1365"/>
      <c r="BP601" s="1365"/>
      <c r="BQ601" s="1365"/>
      <c r="BR601" s="1366"/>
      <c r="BS601" s="1363">
        <f t="shared" si="6"/>
        <v>2</v>
      </c>
      <c r="BT601" s="1363"/>
      <c r="BU601" s="1363"/>
      <c r="BV601" s="1363"/>
      <c r="BW601" s="1363"/>
      <c r="BX601" s="1363">
        <f t="shared" si="7"/>
        <v>0</v>
      </c>
      <c r="BY601" s="1363"/>
      <c r="BZ601" s="1363"/>
      <c r="CA601" s="1363"/>
      <c r="CB601" s="1363"/>
      <c r="CC601" s="1363">
        <f t="shared" si="8"/>
        <v>0</v>
      </c>
      <c r="CD601" s="1363"/>
      <c r="CE601" s="1363"/>
      <c r="CF601" s="1363"/>
      <c r="CG601" s="1363"/>
      <c r="CH601" s="1363">
        <f t="shared" si="9"/>
        <v>0</v>
      </c>
      <c r="CI601" s="1363"/>
      <c r="CJ601" s="1363"/>
      <c r="CK601" s="1363"/>
      <c r="CL601" s="1363"/>
      <c r="CM601" s="1363">
        <f t="shared" si="10"/>
        <v>0</v>
      </c>
      <c r="CN601" s="1363"/>
      <c r="CO601" s="1363"/>
      <c r="CP601" s="1363"/>
      <c r="CQ601" s="1363"/>
      <c r="CR601" s="6"/>
      <c r="CS601" s="1362">
        <f t="shared" si="11"/>
        <v>0</v>
      </c>
      <c r="CT601" s="1362"/>
      <c r="CU601" s="1362"/>
      <c r="CV601" s="1362"/>
      <c r="CW601" s="1362"/>
      <c r="CX601" s="1362">
        <f t="shared" si="12"/>
        <v>0</v>
      </c>
      <c r="CY601" s="1362"/>
      <c r="CZ601" s="1362"/>
      <c r="DA601" s="1362"/>
      <c r="DB601" s="1362"/>
      <c r="DC601" s="1362">
        <f t="shared" si="13"/>
        <v>0</v>
      </c>
      <c r="DD601" s="1362"/>
      <c r="DE601" s="1362"/>
      <c r="DF601" s="1362"/>
      <c r="DG601" s="1362"/>
      <c r="DH601" s="1362">
        <f t="shared" si="14"/>
        <v>0</v>
      </c>
      <c r="DI601" s="1362"/>
      <c r="DJ601" s="1362"/>
      <c r="DK601" s="1362"/>
      <c r="DL601" s="1362"/>
      <c r="DM601" s="1362">
        <f t="shared" si="15"/>
        <v>0</v>
      </c>
      <c r="DN601" s="1362"/>
      <c r="DO601" s="1362"/>
      <c r="DP601" s="1362"/>
      <c r="DQ601" s="1362"/>
      <c r="DR601" s="1362">
        <f t="shared" si="16"/>
        <v>0</v>
      </c>
      <c r="DS601" s="1362"/>
      <c r="DT601" s="1362"/>
      <c r="DU601" s="1362"/>
      <c r="DV601" s="1362"/>
      <c r="DX601" s="1357" t="str">
        <f t="shared" si="17"/>
        <v/>
      </c>
      <c r="DY601" s="1358"/>
      <c r="DZ601" s="1358"/>
      <c r="EA601" s="1358"/>
      <c r="EB601" s="1359"/>
      <c r="EC601" s="1357">
        <f t="shared" si="18"/>
        <v>1048</v>
      </c>
      <c r="ED601" s="1358"/>
      <c r="EE601" s="1358"/>
      <c r="EF601" s="1358"/>
      <c r="EG601" s="1359"/>
      <c r="EH601" s="1357" t="str">
        <f t="shared" si="19"/>
        <v/>
      </c>
      <c r="EI601" s="1358"/>
      <c r="EJ601" s="1358"/>
      <c r="EK601" s="1358"/>
      <c r="EL601" s="1359"/>
      <c r="EM601" s="1357" t="str">
        <f t="shared" si="20"/>
        <v/>
      </c>
      <c r="EN601" s="1358"/>
      <c r="EO601" s="1358"/>
      <c r="EP601" s="1358"/>
      <c r="EQ601" s="1359"/>
      <c r="ER601" s="1357" t="str">
        <f t="shared" si="21"/>
        <v/>
      </c>
      <c r="ES601" s="1358"/>
      <c r="ET601" s="1358"/>
      <c r="EU601" s="1358"/>
      <c r="EV601" s="1359"/>
      <c r="EW601" s="1357" t="str">
        <f t="shared" si="22"/>
        <v/>
      </c>
      <c r="EX601" s="1358"/>
      <c r="EY601" s="1358"/>
      <c r="EZ601" s="1358"/>
      <c r="FA601" s="1359"/>
    </row>
    <row r="602" spans="1:157" ht="12.95" customHeight="1">
      <c r="A602" s="22"/>
      <c r="B602" t="s">
        <v>85</v>
      </c>
      <c r="G602" s="1467"/>
      <c r="H602" s="1467"/>
      <c r="I602" s="1467"/>
      <c r="J602" s="1467"/>
      <c r="K602" s="1467"/>
      <c r="L602" s="1467"/>
      <c r="M602" s="1467"/>
      <c r="N602" s="1467"/>
      <c r="O602" s="1467"/>
      <c r="P602" s="1467"/>
      <c r="Q602" s="1467"/>
      <c r="R602" s="1467"/>
      <c r="T602" s="22"/>
      <c r="U602" t="s">
        <v>85</v>
      </c>
      <c r="Z602" s="1467"/>
      <c r="AA602" s="1467"/>
      <c r="AB602" s="1467"/>
      <c r="AC602" s="1467"/>
      <c r="AD602" s="1467"/>
      <c r="AE602" s="1467"/>
      <c r="AF602" s="1467"/>
      <c r="AG602" s="1467"/>
      <c r="AH602" s="1467"/>
      <c r="AI602" s="1467"/>
      <c r="AJ602" s="1467"/>
      <c r="AK602" s="1467"/>
      <c r="AZ602" s="3"/>
      <c r="BA602" s="3"/>
      <c r="BB602" s="3"/>
      <c r="BC602" s="3"/>
      <c r="BD602" s="3"/>
      <c r="BE602" s="1357">
        <f t="shared" si="1"/>
        <v>0</v>
      </c>
      <c r="BF602" s="1359"/>
      <c r="BG602" s="1367">
        <f t="shared" si="2"/>
        <v>0</v>
      </c>
      <c r="BH602" s="1368"/>
      <c r="BI602" s="1357">
        <f t="shared" si="3"/>
        <v>0</v>
      </c>
      <c r="BJ602" s="1359"/>
      <c r="BK602" s="1367">
        <f t="shared" si="4"/>
        <v>0</v>
      </c>
      <c r="BL602" s="1368"/>
      <c r="BM602" s="3"/>
      <c r="BN602" s="1364">
        <f t="shared" si="5"/>
        <v>0</v>
      </c>
      <c r="BO602" s="1365"/>
      <c r="BP602" s="1365"/>
      <c r="BQ602" s="1365"/>
      <c r="BR602" s="1366"/>
      <c r="BS602" s="1363">
        <f t="shared" si="6"/>
        <v>13</v>
      </c>
      <c r="BT602" s="1363"/>
      <c r="BU602" s="1363"/>
      <c r="BV602" s="1363"/>
      <c r="BW602" s="1363"/>
      <c r="BX602" s="1363">
        <f t="shared" si="7"/>
        <v>0</v>
      </c>
      <c r="BY602" s="1363"/>
      <c r="BZ602" s="1363"/>
      <c r="CA602" s="1363"/>
      <c r="CB602" s="1363"/>
      <c r="CC602" s="1363">
        <f t="shared" si="8"/>
        <v>0</v>
      </c>
      <c r="CD602" s="1363"/>
      <c r="CE602" s="1363"/>
      <c r="CF602" s="1363"/>
      <c r="CG602" s="1363"/>
      <c r="CH602" s="1363">
        <f t="shared" si="9"/>
        <v>0</v>
      </c>
      <c r="CI602" s="1363"/>
      <c r="CJ602" s="1363"/>
      <c r="CK602" s="1363"/>
      <c r="CL602" s="1363"/>
      <c r="CM602" s="1363">
        <f t="shared" si="10"/>
        <v>0</v>
      </c>
      <c r="CN602" s="1363"/>
      <c r="CO602" s="1363"/>
      <c r="CP602" s="1363"/>
      <c r="CQ602" s="1363"/>
      <c r="CR602" s="6"/>
      <c r="CS602" s="1362">
        <f t="shared" si="11"/>
        <v>0</v>
      </c>
      <c r="CT602" s="1362"/>
      <c r="CU602" s="1362"/>
      <c r="CV602" s="1362"/>
      <c r="CW602" s="1362"/>
      <c r="CX602" s="1362">
        <f t="shared" si="12"/>
        <v>0</v>
      </c>
      <c r="CY602" s="1362"/>
      <c r="CZ602" s="1362"/>
      <c r="DA602" s="1362"/>
      <c r="DB602" s="1362"/>
      <c r="DC602" s="1362">
        <f t="shared" si="13"/>
        <v>0</v>
      </c>
      <c r="DD602" s="1362"/>
      <c r="DE602" s="1362"/>
      <c r="DF602" s="1362"/>
      <c r="DG602" s="1362"/>
      <c r="DH602" s="1362">
        <f t="shared" si="14"/>
        <v>0</v>
      </c>
      <c r="DI602" s="1362"/>
      <c r="DJ602" s="1362"/>
      <c r="DK602" s="1362"/>
      <c r="DL602" s="1362"/>
      <c r="DM602" s="1362">
        <f t="shared" si="15"/>
        <v>0</v>
      </c>
      <c r="DN602" s="1362"/>
      <c r="DO602" s="1362"/>
      <c r="DP602" s="1362"/>
      <c r="DQ602" s="1362"/>
      <c r="DR602" s="1362">
        <f t="shared" si="16"/>
        <v>0</v>
      </c>
      <c r="DS602" s="1362"/>
      <c r="DT602" s="1362"/>
      <c r="DU602" s="1362"/>
      <c r="DV602" s="1362"/>
      <c r="DX602" s="1357" t="str">
        <f t="shared" si="17"/>
        <v/>
      </c>
      <c r="DY602" s="1358"/>
      <c r="DZ602" s="1358"/>
      <c r="EA602" s="1358"/>
      <c r="EB602" s="1359"/>
      <c r="EC602" s="1357">
        <f t="shared" si="18"/>
        <v>1269</v>
      </c>
      <c r="ED602" s="1358"/>
      <c r="EE602" s="1358"/>
      <c r="EF602" s="1358"/>
      <c r="EG602" s="1359"/>
      <c r="EH602" s="1357" t="str">
        <f t="shared" si="19"/>
        <v/>
      </c>
      <c r="EI602" s="1358"/>
      <c r="EJ602" s="1358"/>
      <c r="EK602" s="1358"/>
      <c r="EL602" s="1359"/>
      <c r="EM602" s="1357" t="str">
        <f t="shared" si="20"/>
        <v/>
      </c>
      <c r="EN602" s="1358"/>
      <c r="EO602" s="1358"/>
      <c r="EP602" s="1358"/>
      <c r="EQ602" s="1359"/>
      <c r="ER602" s="1357" t="str">
        <f t="shared" si="21"/>
        <v/>
      </c>
      <c r="ES602" s="1358"/>
      <c r="ET602" s="1358"/>
      <c r="EU602" s="1358"/>
      <c r="EV602" s="1359"/>
      <c r="EW602" s="1357" t="str">
        <f t="shared" si="22"/>
        <v/>
      </c>
      <c r="EX602" s="1358"/>
      <c r="EY602" s="1358"/>
      <c r="EZ602" s="1358"/>
      <c r="FA602" s="1359"/>
    </row>
    <row r="603" spans="1:157" ht="12.95" customHeight="1">
      <c r="A603" s="22"/>
      <c r="B603" t="s">
        <v>589</v>
      </c>
      <c r="G603" s="1467"/>
      <c r="H603" s="1467"/>
      <c r="I603" s="1467"/>
      <c r="J603" s="1467"/>
      <c r="K603" s="1467"/>
      <c r="L603" s="1467"/>
      <c r="M603" s="1467"/>
      <c r="N603" s="1467"/>
      <c r="O603" s="1467"/>
      <c r="P603" s="1467"/>
      <c r="Q603" s="1467"/>
      <c r="R603" s="1467"/>
      <c r="T603" s="22"/>
      <c r="U603" t="s">
        <v>589</v>
      </c>
      <c r="Z603" s="1417"/>
      <c r="AA603" s="1417"/>
      <c r="AB603" s="1417"/>
      <c r="AC603" s="1417"/>
      <c r="AD603" s="1417"/>
      <c r="AE603" s="1417"/>
      <c r="AF603" s="1417"/>
      <c r="AG603" s="1417"/>
      <c r="AH603" s="1417"/>
      <c r="AI603" s="1417"/>
      <c r="AJ603" s="1417"/>
      <c r="AK603" s="1417"/>
      <c r="AZ603" s="3"/>
      <c r="BA603" s="3"/>
      <c r="BB603" s="3"/>
      <c r="BC603" s="3"/>
      <c r="BD603" s="3"/>
      <c r="BE603" s="1357">
        <f t="shared" si="1"/>
        <v>0</v>
      </c>
      <c r="BF603" s="1359"/>
      <c r="BG603" s="1367">
        <f t="shared" si="2"/>
        <v>0</v>
      </c>
      <c r="BH603" s="1368"/>
      <c r="BI603" s="1357">
        <f t="shared" si="3"/>
        <v>1</v>
      </c>
      <c r="BJ603" s="1359"/>
      <c r="BK603" s="1367">
        <f t="shared" si="4"/>
        <v>3</v>
      </c>
      <c r="BL603" s="1368"/>
      <c r="BM603" s="3"/>
      <c r="BN603" s="1364">
        <f t="shared" si="5"/>
        <v>0</v>
      </c>
      <c r="BO603" s="1365"/>
      <c r="BP603" s="1365"/>
      <c r="BQ603" s="1365"/>
      <c r="BR603" s="1366"/>
      <c r="BS603" s="1363">
        <f t="shared" si="6"/>
        <v>0</v>
      </c>
      <c r="BT603" s="1363"/>
      <c r="BU603" s="1363"/>
      <c r="BV603" s="1363"/>
      <c r="BW603" s="1363"/>
      <c r="BX603" s="1363">
        <f t="shared" si="7"/>
        <v>3</v>
      </c>
      <c r="BY603" s="1363"/>
      <c r="BZ603" s="1363"/>
      <c r="CA603" s="1363"/>
      <c r="CB603" s="1363"/>
      <c r="CC603" s="1363">
        <f t="shared" si="8"/>
        <v>0</v>
      </c>
      <c r="CD603" s="1363"/>
      <c r="CE603" s="1363"/>
      <c r="CF603" s="1363"/>
      <c r="CG603" s="1363"/>
      <c r="CH603" s="1363">
        <f t="shared" si="9"/>
        <v>0</v>
      </c>
      <c r="CI603" s="1363"/>
      <c r="CJ603" s="1363"/>
      <c r="CK603" s="1363"/>
      <c r="CL603" s="1363"/>
      <c r="CM603" s="1363">
        <f t="shared" si="10"/>
        <v>0</v>
      </c>
      <c r="CN603" s="1363"/>
      <c r="CO603" s="1363"/>
      <c r="CP603" s="1363"/>
      <c r="CQ603" s="1363"/>
      <c r="CR603" s="6"/>
      <c r="CS603" s="1362">
        <f t="shared" si="11"/>
        <v>0</v>
      </c>
      <c r="CT603" s="1362"/>
      <c r="CU603" s="1362"/>
      <c r="CV603" s="1362"/>
      <c r="CW603" s="1362"/>
      <c r="CX603" s="1362">
        <f t="shared" si="12"/>
        <v>0</v>
      </c>
      <c r="CY603" s="1362"/>
      <c r="CZ603" s="1362"/>
      <c r="DA603" s="1362"/>
      <c r="DB603" s="1362"/>
      <c r="DC603" s="1362">
        <f t="shared" si="13"/>
        <v>3</v>
      </c>
      <c r="DD603" s="1362"/>
      <c r="DE603" s="1362"/>
      <c r="DF603" s="1362"/>
      <c r="DG603" s="1362"/>
      <c r="DH603" s="1362">
        <f t="shared" si="14"/>
        <v>0</v>
      </c>
      <c r="DI603" s="1362"/>
      <c r="DJ603" s="1362"/>
      <c r="DK603" s="1362"/>
      <c r="DL603" s="1362"/>
      <c r="DM603" s="1362">
        <f t="shared" si="15"/>
        <v>0</v>
      </c>
      <c r="DN603" s="1362"/>
      <c r="DO603" s="1362"/>
      <c r="DP603" s="1362"/>
      <c r="DQ603" s="1362"/>
      <c r="DR603" s="1362">
        <f t="shared" si="16"/>
        <v>0</v>
      </c>
      <c r="DS603" s="1362"/>
      <c r="DT603" s="1362"/>
      <c r="DU603" s="1362"/>
      <c r="DV603" s="1362"/>
      <c r="DX603" s="1357" t="str">
        <f t="shared" si="17"/>
        <v/>
      </c>
      <c r="DY603" s="1358"/>
      <c r="DZ603" s="1358"/>
      <c r="EA603" s="1358"/>
      <c r="EB603" s="1359"/>
      <c r="EC603" s="1357" t="str">
        <f t="shared" si="18"/>
        <v/>
      </c>
      <c r="ED603" s="1358"/>
      <c r="EE603" s="1358"/>
      <c r="EF603" s="1358"/>
      <c r="EG603" s="1359"/>
      <c r="EH603" s="1357">
        <f t="shared" si="19"/>
        <v>721.2</v>
      </c>
      <c r="EI603" s="1358"/>
      <c r="EJ603" s="1358"/>
      <c r="EK603" s="1358"/>
      <c r="EL603" s="1359"/>
      <c r="EM603" s="1357" t="str">
        <f t="shared" si="20"/>
        <v/>
      </c>
      <c r="EN603" s="1358"/>
      <c r="EO603" s="1358"/>
      <c r="EP603" s="1358"/>
      <c r="EQ603" s="1359"/>
      <c r="ER603" s="1357" t="str">
        <f t="shared" si="21"/>
        <v/>
      </c>
      <c r="ES603" s="1358"/>
      <c r="ET603" s="1358"/>
      <c r="EU603" s="1358"/>
      <c r="EV603" s="1359"/>
      <c r="EW603" s="1357" t="str">
        <f t="shared" si="22"/>
        <v/>
      </c>
      <c r="EX603" s="1358"/>
      <c r="EY603" s="1358"/>
      <c r="EZ603" s="1358"/>
      <c r="FA603" s="1359"/>
    </row>
    <row r="604" spans="1:157" ht="12.95" customHeight="1">
      <c r="A604" s="22"/>
      <c r="B604" t="s">
        <v>17</v>
      </c>
      <c r="G604" s="1467"/>
      <c r="H604" s="1467"/>
      <c r="I604" s="1467"/>
      <c r="J604" s="1467"/>
      <c r="K604" s="1467"/>
      <c r="L604" s="1467"/>
      <c r="M604" s="1467"/>
      <c r="N604" s="1467"/>
      <c r="O604" s="1467"/>
      <c r="P604" s="1467"/>
      <c r="Q604" s="1467"/>
      <c r="R604" s="1467"/>
      <c r="T604" s="22"/>
      <c r="U604" t="s">
        <v>17</v>
      </c>
      <c r="Z604" s="1417"/>
      <c r="AA604" s="1417"/>
      <c r="AB604" s="1417"/>
      <c r="AC604" s="1417"/>
      <c r="AD604" s="1417"/>
      <c r="AE604" s="1417"/>
      <c r="AF604" s="1417"/>
      <c r="AG604" s="1417"/>
      <c r="AH604" s="1417"/>
      <c r="AI604" s="1417"/>
      <c r="AJ604" s="1417"/>
      <c r="AK604" s="1417"/>
      <c r="AZ604" s="3"/>
      <c r="BA604" s="3"/>
      <c r="BB604" s="3"/>
      <c r="BC604" s="3"/>
      <c r="BD604" s="3"/>
      <c r="BE604" s="1357">
        <f t="shared" si="1"/>
        <v>1</v>
      </c>
      <c r="BF604" s="1359"/>
      <c r="BG604" s="1367">
        <f t="shared" si="2"/>
        <v>3</v>
      </c>
      <c r="BH604" s="1368"/>
      <c r="BI604" s="1357">
        <f t="shared" si="3"/>
        <v>0</v>
      </c>
      <c r="BJ604" s="1359"/>
      <c r="BK604" s="1367">
        <f t="shared" si="4"/>
        <v>0</v>
      </c>
      <c r="BL604" s="1368"/>
      <c r="BM604" s="3"/>
      <c r="BN604" s="1364">
        <f t="shared" si="5"/>
        <v>0</v>
      </c>
      <c r="BO604" s="1365"/>
      <c r="BP604" s="1365"/>
      <c r="BQ604" s="1365"/>
      <c r="BR604" s="1366"/>
      <c r="BS604" s="1363">
        <f t="shared" si="6"/>
        <v>0</v>
      </c>
      <c r="BT604" s="1363"/>
      <c r="BU604" s="1363"/>
      <c r="BV604" s="1363"/>
      <c r="BW604" s="1363"/>
      <c r="BX604" s="1363">
        <f t="shared" si="7"/>
        <v>3</v>
      </c>
      <c r="BY604" s="1363"/>
      <c r="BZ604" s="1363"/>
      <c r="CA604" s="1363"/>
      <c r="CB604" s="1363"/>
      <c r="CC604" s="1363">
        <f t="shared" si="8"/>
        <v>0</v>
      </c>
      <c r="CD604" s="1363"/>
      <c r="CE604" s="1363"/>
      <c r="CF604" s="1363"/>
      <c r="CG604" s="1363"/>
      <c r="CH604" s="1363">
        <f t="shared" si="9"/>
        <v>0</v>
      </c>
      <c r="CI604" s="1363"/>
      <c r="CJ604" s="1363"/>
      <c r="CK604" s="1363"/>
      <c r="CL604" s="1363"/>
      <c r="CM604" s="1363">
        <f t="shared" si="10"/>
        <v>0</v>
      </c>
      <c r="CN604" s="1363"/>
      <c r="CO604" s="1363"/>
      <c r="CP604" s="1363"/>
      <c r="CQ604" s="1363"/>
      <c r="CR604" s="6"/>
      <c r="CS604" s="1362">
        <f t="shared" si="11"/>
        <v>0</v>
      </c>
      <c r="CT604" s="1362"/>
      <c r="CU604" s="1362"/>
      <c r="CV604" s="1362"/>
      <c r="CW604" s="1362"/>
      <c r="CX604" s="1362">
        <f t="shared" si="12"/>
        <v>0</v>
      </c>
      <c r="CY604" s="1362"/>
      <c r="CZ604" s="1362"/>
      <c r="DA604" s="1362"/>
      <c r="DB604" s="1362"/>
      <c r="DC604" s="1362">
        <f t="shared" si="13"/>
        <v>0</v>
      </c>
      <c r="DD604" s="1362"/>
      <c r="DE604" s="1362"/>
      <c r="DF604" s="1362"/>
      <c r="DG604" s="1362"/>
      <c r="DH604" s="1362">
        <f t="shared" si="14"/>
        <v>0</v>
      </c>
      <c r="DI604" s="1362"/>
      <c r="DJ604" s="1362"/>
      <c r="DK604" s="1362"/>
      <c r="DL604" s="1362"/>
      <c r="DM604" s="1362">
        <f t="shared" si="15"/>
        <v>0</v>
      </c>
      <c r="DN604" s="1362"/>
      <c r="DO604" s="1362"/>
      <c r="DP604" s="1362"/>
      <c r="DQ604" s="1362"/>
      <c r="DR604" s="1362">
        <f t="shared" si="16"/>
        <v>0</v>
      </c>
      <c r="DS604" s="1362"/>
      <c r="DT604" s="1362"/>
      <c r="DU604" s="1362"/>
      <c r="DV604" s="1362"/>
      <c r="DX604" s="1357" t="str">
        <f t="shared" si="17"/>
        <v/>
      </c>
      <c r="DY604" s="1358"/>
      <c r="DZ604" s="1358"/>
      <c r="EA604" s="1358"/>
      <c r="EB604" s="1359"/>
      <c r="EC604" s="1357" t="str">
        <f t="shared" si="18"/>
        <v/>
      </c>
      <c r="ED604" s="1358"/>
      <c r="EE604" s="1358"/>
      <c r="EF604" s="1358"/>
      <c r="EG604" s="1359"/>
      <c r="EH604" s="1357">
        <f t="shared" si="19"/>
        <v>1252.2</v>
      </c>
      <c r="EI604" s="1358"/>
      <c r="EJ604" s="1358"/>
      <c r="EK604" s="1358"/>
      <c r="EL604" s="1359"/>
      <c r="EM604" s="1357" t="str">
        <f t="shared" si="20"/>
        <v/>
      </c>
      <c r="EN604" s="1358"/>
      <c r="EO604" s="1358"/>
      <c r="EP604" s="1358"/>
      <c r="EQ604" s="1359"/>
      <c r="ER604" s="1357" t="str">
        <f t="shared" si="21"/>
        <v/>
      </c>
      <c r="ES604" s="1358"/>
      <c r="ET604" s="1358"/>
      <c r="EU604" s="1358"/>
      <c r="EV604" s="1359"/>
      <c r="EW604" s="1357" t="str">
        <f t="shared" si="22"/>
        <v/>
      </c>
      <c r="EX604" s="1358"/>
      <c r="EY604" s="1358"/>
      <c r="EZ604" s="1358"/>
      <c r="FA604" s="1359"/>
    </row>
    <row r="605" spans="1:157" s="4" customFormat="1" ht="12.95" customHeight="1">
      <c r="A605" s="22"/>
      <c r="B605" t="s">
        <v>317</v>
      </c>
      <c r="C605"/>
      <c r="D605"/>
      <c r="E605"/>
      <c r="F605"/>
      <c r="G605" s="1466"/>
      <c r="H605" s="1466"/>
      <c r="I605" s="1466"/>
      <c r="J605" s="1466"/>
      <c r="K605" s="1466"/>
      <c r="L605" s="1466"/>
      <c r="M605"/>
      <c r="N605"/>
      <c r="O605" s="33" t="s">
        <v>207</v>
      </c>
      <c r="P605" s="1406"/>
      <c r="Q605" s="1406"/>
      <c r="R605" s="1406"/>
      <c r="S605"/>
      <c r="T605" s="22"/>
      <c r="U605" t="s">
        <v>317</v>
      </c>
      <c r="V605"/>
      <c r="W605"/>
      <c r="X605"/>
      <c r="Y605"/>
      <c r="Z605" s="1466"/>
      <c r="AA605" s="1466"/>
      <c r="AB605" s="1466"/>
      <c r="AC605" s="1466"/>
      <c r="AD605" s="1466"/>
      <c r="AE605" s="1466"/>
      <c r="AF605"/>
      <c r="AG605"/>
      <c r="AH605" s="33" t="s">
        <v>207</v>
      </c>
      <c r="AI605" s="1406"/>
      <c r="AJ605" s="1406"/>
      <c r="AK605" s="1406"/>
      <c r="AL605"/>
      <c r="AM605"/>
      <c r="AN605"/>
      <c r="AO605"/>
      <c r="AP605"/>
      <c r="AQ605"/>
      <c r="AR605"/>
      <c r="AS605"/>
      <c r="AT605"/>
      <c r="AU605"/>
      <c r="AV605"/>
      <c r="AW605"/>
      <c r="AX605"/>
      <c r="AY605"/>
      <c r="AZ605" s="3"/>
      <c r="BA605" s="3"/>
      <c r="BB605" s="3"/>
      <c r="BC605" s="3"/>
      <c r="BD605" s="3"/>
      <c r="BE605" s="1357">
        <f t="shared" si="1"/>
        <v>0</v>
      </c>
      <c r="BF605" s="1359"/>
      <c r="BG605" s="1367">
        <f t="shared" si="2"/>
        <v>0</v>
      </c>
      <c r="BH605" s="1368"/>
      <c r="BI605" s="1357">
        <f t="shared" si="3"/>
        <v>0</v>
      </c>
      <c r="BJ605" s="1359"/>
      <c r="BK605" s="1367">
        <f t="shared" si="4"/>
        <v>0</v>
      </c>
      <c r="BL605" s="1368"/>
      <c r="BM605" s="3"/>
      <c r="BN605" s="1364">
        <f t="shared" si="5"/>
        <v>0</v>
      </c>
      <c r="BO605" s="1365"/>
      <c r="BP605" s="1365"/>
      <c r="BQ605" s="1365"/>
      <c r="BR605" s="1366"/>
      <c r="BS605" s="1363">
        <f t="shared" si="6"/>
        <v>0</v>
      </c>
      <c r="BT605" s="1363"/>
      <c r="BU605" s="1363"/>
      <c r="BV605" s="1363"/>
      <c r="BW605" s="1363"/>
      <c r="BX605" s="1363">
        <f t="shared" si="7"/>
        <v>21</v>
      </c>
      <c r="BY605" s="1363"/>
      <c r="BZ605" s="1363"/>
      <c r="CA605" s="1363"/>
      <c r="CB605" s="1363"/>
      <c r="CC605" s="1363">
        <f t="shared" si="8"/>
        <v>0</v>
      </c>
      <c r="CD605" s="1363"/>
      <c r="CE605" s="1363"/>
      <c r="CF605" s="1363"/>
      <c r="CG605" s="1363"/>
      <c r="CH605" s="1363">
        <f t="shared" si="9"/>
        <v>0</v>
      </c>
      <c r="CI605" s="1363"/>
      <c r="CJ605" s="1363"/>
      <c r="CK605" s="1363"/>
      <c r="CL605" s="1363"/>
      <c r="CM605" s="1363">
        <f t="shared" si="10"/>
        <v>0</v>
      </c>
      <c r="CN605" s="1363"/>
      <c r="CO605" s="1363"/>
      <c r="CP605" s="1363"/>
      <c r="CQ605" s="1363"/>
      <c r="CR605" s="6"/>
      <c r="CS605" s="1362">
        <f t="shared" si="11"/>
        <v>0</v>
      </c>
      <c r="CT605" s="1362"/>
      <c r="CU605" s="1362"/>
      <c r="CV605" s="1362"/>
      <c r="CW605" s="1362"/>
      <c r="CX605" s="1362">
        <f t="shared" si="12"/>
        <v>0</v>
      </c>
      <c r="CY605" s="1362"/>
      <c r="CZ605" s="1362"/>
      <c r="DA605" s="1362"/>
      <c r="DB605" s="1362"/>
      <c r="DC605" s="1362">
        <f t="shared" si="13"/>
        <v>0</v>
      </c>
      <c r="DD605" s="1362"/>
      <c r="DE605" s="1362"/>
      <c r="DF605" s="1362"/>
      <c r="DG605" s="1362"/>
      <c r="DH605" s="1362">
        <f t="shared" si="14"/>
        <v>0</v>
      </c>
      <c r="DI605" s="1362"/>
      <c r="DJ605" s="1362"/>
      <c r="DK605" s="1362"/>
      <c r="DL605" s="1362"/>
      <c r="DM605" s="1362">
        <f t="shared" si="15"/>
        <v>0</v>
      </c>
      <c r="DN605" s="1362"/>
      <c r="DO605" s="1362"/>
      <c r="DP605" s="1362"/>
      <c r="DQ605" s="1362"/>
      <c r="DR605" s="1362">
        <f t="shared" si="16"/>
        <v>0</v>
      </c>
      <c r="DS605" s="1362"/>
      <c r="DT605" s="1362"/>
      <c r="DU605" s="1362"/>
      <c r="DV605" s="1362"/>
      <c r="DX605" s="1357" t="str">
        <f t="shared" si="17"/>
        <v/>
      </c>
      <c r="DY605" s="1358"/>
      <c r="DZ605" s="1358"/>
      <c r="EA605" s="1358"/>
      <c r="EB605" s="1359"/>
      <c r="EC605" s="1357" t="str">
        <f t="shared" si="18"/>
        <v/>
      </c>
      <c r="ED605" s="1358"/>
      <c r="EE605" s="1358"/>
      <c r="EF605" s="1358"/>
      <c r="EG605" s="1359"/>
      <c r="EH605" s="1357">
        <f t="shared" si="19"/>
        <v>1517.2</v>
      </c>
      <c r="EI605" s="1358"/>
      <c r="EJ605" s="1358"/>
      <c r="EK605" s="1358"/>
      <c r="EL605" s="1359"/>
      <c r="EM605" s="1357" t="str">
        <f t="shared" si="20"/>
        <v/>
      </c>
      <c r="EN605" s="1358"/>
      <c r="EO605" s="1358"/>
      <c r="EP605" s="1358"/>
      <c r="EQ605" s="1359"/>
      <c r="ER605" s="1357" t="str">
        <f t="shared" si="21"/>
        <v/>
      </c>
      <c r="ES605" s="1358"/>
      <c r="ET605" s="1358"/>
      <c r="EU605" s="1358"/>
      <c r="EV605" s="1359"/>
      <c r="EW605" s="1357" t="str">
        <f t="shared" si="22"/>
        <v/>
      </c>
      <c r="EX605" s="1358"/>
      <c r="EY605" s="1358"/>
      <c r="EZ605" s="1358"/>
      <c r="FA605" s="1359"/>
    </row>
    <row r="606" spans="1:157" s="4" customFormat="1" ht="12.95" customHeight="1">
      <c r="A606" s="22"/>
      <c r="B606" t="s">
        <v>18</v>
      </c>
      <c r="C606"/>
      <c r="D606"/>
      <c r="E606"/>
      <c r="F606"/>
      <c r="G606"/>
      <c r="H606" s="1467"/>
      <c r="I606" s="1467"/>
      <c r="J606" s="1467"/>
      <c r="K606" s="1467"/>
      <c r="L606" s="1467"/>
      <c r="M606" s="1467"/>
      <c r="N606" s="1467"/>
      <c r="O606" s="1467"/>
      <c r="P606" s="1467"/>
      <c r="Q606" s="1467"/>
      <c r="R606" s="1467"/>
      <c r="S606"/>
      <c r="T606" s="22"/>
      <c r="U606" t="s">
        <v>18</v>
      </c>
      <c r="V606"/>
      <c r="W606"/>
      <c r="X606"/>
      <c r="Y606"/>
      <c r="Z606"/>
      <c r="AA606" s="1467"/>
      <c r="AB606" s="1467"/>
      <c r="AC606" s="1467"/>
      <c r="AD606" s="1467"/>
      <c r="AE606" s="1467"/>
      <c r="AF606" s="1467"/>
      <c r="AG606" s="1467"/>
      <c r="AH606" s="1467"/>
      <c r="AI606" s="1467"/>
      <c r="AJ606" s="1467"/>
      <c r="AK606" s="1467"/>
      <c r="AL606"/>
      <c r="AM606"/>
      <c r="AN606"/>
      <c r="AO606"/>
      <c r="AP606"/>
      <c r="AQ606"/>
      <c r="AR606"/>
      <c r="AS606"/>
      <c r="AT606"/>
      <c r="AU606"/>
      <c r="AV606"/>
      <c r="AW606"/>
      <c r="AX606"/>
      <c r="AY606"/>
      <c r="AZ606" s="3"/>
      <c r="BA606" s="3"/>
      <c r="BB606" s="3"/>
      <c r="BC606" s="3"/>
      <c r="BD606" s="3"/>
      <c r="BE606" s="1357">
        <f t="shared" si="1"/>
        <v>0</v>
      </c>
      <c r="BF606" s="1359"/>
      <c r="BG606" s="1367">
        <f t="shared" si="2"/>
        <v>0</v>
      </c>
      <c r="BH606" s="1368"/>
      <c r="BI606" s="1357">
        <f t="shared" si="3"/>
        <v>1</v>
      </c>
      <c r="BJ606" s="1359"/>
      <c r="BK606" s="1367">
        <f t="shared" si="4"/>
        <v>3</v>
      </c>
      <c r="BL606" s="1368"/>
      <c r="BM606" s="3"/>
      <c r="BN606" s="1364">
        <f t="shared" si="5"/>
        <v>0</v>
      </c>
      <c r="BO606" s="1365"/>
      <c r="BP606" s="1365"/>
      <c r="BQ606" s="1365"/>
      <c r="BR606" s="1366"/>
      <c r="BS606" s="1363">
        <f t="shared" si="6"/>
        <v>0</v>
      </c>
      <c r="BT606" s="1363"/>
      <c r="BU606" s="1363"/>
      <c r="BV606" s="1363"/>
      <c r="BW606" s="1363"/>
      <c r="BX606" s="1363">
        <f t="shared" si="7"/>
        <v>0</v>
      </c>
      <c r="BY606" s="1363"/>
      <c r="BZ606" s="1363"/>
      <c r="CA606" s="1363"/>
      <c r="CB606" s="1363"/>
      <c r="CC606" s="1363">
        <f t="shared" si="8"/>
        <v>3</v>
      </c>
      <c r="CD606" s="1363"/>
      <c r="CE606" s="1363"/>
      <c r="CF606" s="1363"/>
      <c r="CG606" s="1363"/>
      <c r="CH606" s="1363">
        <f t="shared" si="9"/>
        <v>0</v>
      </c>
      <c r="CI606" s="1363"/>
      <c r="CJ606" s="1363"/>
      <c r="CK606" s="1363"/>
      <c r="CL606" s="1363"/>
      <c r="CM606" s="1363">
        <f t="shared" si="10"/>
        <v>0</v>
      </c>
      <c r="CN606" s="1363"/>
      <c r="CO606" s="1363"/>
      <c r="CP606" s="1363"/>
      <c r="CQ606" s="1363"/>
      <c r="CR606" s="6"/>
      <c r="CS606" s="1362">
        <f t="shared" si="11"/>
        <v>0</v>
      </c>
      <c r="CT606" s="1362"/>
      <c r="CU606" s="1362"/>
      <c r="CV606" s="1362"/>
      <c r="CW606" s="1362"/>
      <c r="CX606" s="1362">
        <f t="shared" si="12"/>
        <v>0</v>
      </c>
      <c r="CY606" s="1362"/>
      <c r="CZ606" s="1362"/>
      <c r="DA606" s="1362"/>
      <c r="DB606" s="1362"/>
      <c r="DC606" s="1362">
        <f t="shared" si="13"/>
        <v>0</v>
      </c>
      <c r="DD606" s="1362"/>
      <c r="DE606" s="1362"/>
      <c r="DF606" s="1362"/>
      <c r="DG606" s="1362"/>
      <c r="DH606" s="1362">
        <f t="shared" si="14"/>
        <v>3</v>
      </c>
      <c r="DI606" s="1362"/>
      <c r="DJ606" s="1362"/>
      <c r="DK606" s="1362"/>
      <c r="DL606" s="1362"/>
      <c r="DM606" s="1362">
        <f t="shared" si="15"/>
        <v>0</v>
      </c>
      <c r="DN606" s="1362"/>
      <c r="DO606" s="1362"/>
      <c r="DP606" s="1362"/>
      <c r="DQ606" s="1362"/>
      <c r="DR606" s="1362">
        <f t="shared" si="16"/>
        <v>0</v>
      </c>
      <c r="DS606" s="1362"/>
      <c r="DT606" s="1362"/>
      <c r="DU606" s="1362"/>
      <c r="DV606" s="1362"/>
      <c r="DX606" s="1357" t="str">
        <f t="shared" si="17"/>
        <v/>
      </c>
      <c r="DY606" s="1358"/>
      <c r="DZ606" s="1358"/>
      <c r="EA606" s="1358"/>
      <c r="EB606" s="1359"/>
      <c r="EC606" s="1357" t="str">
        <f t="shared" si="18"/>
        <v/>
      </c>
      <c r="ED606" s="1358"/>
      <c r="EE606" s="1358"/>
      <c r="EF606" s="1358"/>
      <c r="EG606" s="1359"/>
      <c r="EH606" s="1357" t="str">
        <f t="shared" si="19"/>
        <v/>
      </c>
      <c r="EI606" s="1358"/>
      <c r="EJ606" s="1358"/>
      <c r="EK606" s="1358"/>
      <c r="EL606" s="1359"/>
      <c r="EM606" s="1357">
        <f t="shared" si="20"/>
        <v>808.2</v>
      </c>
      <c r="EN606" s="1358"/>
      <c r="EO606" s="1358"/>
      <c r="EP606" s="1358"/>
      <c r="EQ606" s="1359"/>
      <c r="ER606" s="1357" t="str">
        <f t="shared" si="21"/>
        <v/>
      </c>
      <c r="ES606" s="1358"/>
      <c r="ET606" s="1358"/>
      <c r="EU606" s="1358"/>
      <c r="EV606" s="1359"/>
      <c r="EW606" s="1357" t="str">
        <f t="shared" si="22"/>
        <v/>
      </c>
      <c r="EX606" s="1358"/>
      <c r="EY606" s="1358"/>
      <c r="EZ606" s="1358"/>
      <c r="FA606" s="1359"/>
    </row>
    <row r="607" spans="1:157" s="4" customFormat="1" ht="12.95" customHeight="1">
      <c r="A607" s="22"/>
      <c r="B607" t="s">
        <v>20</v>
      </c>
      <c r="C607"/>
      <c r="D607"/>
      <c r="E607"/>
      <c r="F607"/>
      <c r="G607"/>
      <c r="H607"/>
      <c r="I607"/>
      <c r="J607"/>
      <c r="K607"/>
      <c r="L607"/>
      <c r="M607"/>
      <c r="N607" s="1428" t="s">
        <v>678</v>
      </c>
      <c r="O607" s="1428"/>
      <c r="P607"/>
      <c r="Q607"/>
      <c r="R607"/>
      <c r="S607"/>
      <c r="T607" s="22"/>
      <c r="U607" t="s">
        <v>20</v>
      </c>
      <c r="V607"/>
      <c r="W607"/>
      <c r="X607"/>
      <c r="Y607"/>
      <c r="Z607"/>
      <c r="AA607"/>
      <c r="AB607"/>
      <c r="AC607"/>
      <c r="AD607"/>
      <c r="AE607"/>
      <c r="AF607"/>
      <c r="AG607" s="1428" t="s">
        <v>678</v>
      </c>
      <c r="AH607" s="1428"/>
      <c r="AI607"/>
      <c r="AJ607"/>
      <c r="AK607"/>
      <c r="AL607"/>
      <c r="AM607"/>
      <c r="AN607"/>
      <c r="AO607"/>
      <c r="AP607"/>
      <c r="AQ607"/>
      <c r="AR607"/>
      <c r="AS607"/>
      <c r="AT607"/>
      <c r="AU607"/>
      <c r="AV607"/>
      <c r="AW607"/>
      <c r="AX607"/>
      <c r="AY607"/>
      <c r="AZ607" s="3"/>
      <c r="BA607" s="3"/>
      <c r="BB607" s="3"/>
      <c r="BC607" s="3"/>
      <c r="BD607" s="3"/>
      <c r="BE607" s="1357">
        <f t="shared" si="1"/>
        <v>1</v>
      </c>
      <c r="BF607" s="1359"/>
      <c r="BG607" s="1367">
        <f t="shared" si="2"/>
        <v>2</v>
      </c>
      <c r="BH607" s="1368"/>
      <c r="BI607" s="1357">
        <f t="shared" si="3"/>
        <v>0</v>
      </c>
      <c r="BJ607" s="1359"/>
      <c r="BK607" s="1367">
        <f t="shared" si="4"/>
        <v>0</v>
      </c>
      <c r="BL607" s="1368"/>
      <c r="BM607" s="3"/>
      <c r="BN607" s="1364">
        <f t="shared" si="5"/>
        <v>0</v>
      </c>
      <c r="BO607" s="1365"/>
      <c r="BP607" s="1365"/>
      <c r="BQ607" s="1365"/>
      <c r="BR607" s="1366"/>
      <c r="BS607" s="1363">
        <f t="shared" si="6"/>
        <v>0</v>
      </c>
      <c r="BT607" s="1363"/>
      <c r="BU607" s="1363"/>
      <c r="BV607" s="1363"/>
      <c r="BW607" s="1363"/>
      <c r="BX607" s="1363">
        <f t="shared" si="7"/>
        <v>0</v>
      </c>
      <c r="BY607" s="1363"/>
      <c r="BZ607" s="1363"/>
      <c r="CA607" s="1363"/>
      <c r="CB607" s="1363"/>
      <c r="CC607" s="1363">
        <f t="shared" si="8"/>
        <v>2</v>
      </c>
      <c r="CD607" s="1363"/>
      <c r="CE607" s="1363"/>
      <c r="CF607" s="1363"/>
      <c r="CG607" s="1363"/>
      <c r="CH607" s="1363">
        <f t="shared" si="9"/>
        <v>0</v>
      </c>
      <c r="CI607" s="1363"/>
      <c r="CJ607" s="1363"/>
      <c r="CK607" s="1363"/>
      <c r="CL607" s="1363"/>
      <c r="CM607" s="1363">
        <f t="shared" si="10"/>
        <v>0</v>
      </c>
      <c r="CN607" s="1363"/>
      <c r="CO607" s="1363"/>
      <c r="CP607" s="1363"/>
      <c r="CQ607" s="1363"/>
      <c r="CR607" s="6"/>
      <c r="CS607" s="1362">
        <f t="shared" si="11"/>
        <v>0</v>
      </c>
      <c r="CT607" s="1362"/>
      <c r="CU607" s="1362"/>
      <c r="CV607" s="1362"/>
      <c r="CW607" s="1362"/>
      <c r="CX607" s="1362">
        <f t="shared" si="12"/>
        <v>0</v>
      </c>
      <c r="CY607" s="1362"/>
      <c r="CZ607" s="1362"/>
      <c r="DA607" s="1362"/>
      <c r="DB607" s="1362"/>
      <c r="DC607" s="1362">
        <f t="shared" si="13"/>
        <v>0</v>
      </c>
      <c r="DD607" s="1362"/>
      <c r="DE607" s="1362"/>
      <c r="DF607" s="1362"/>
      <c r="DG607" s="1362"/>
      <c r="DH607" s="1362">
        <f t="shared" si="14"/>
        <v>0</v>
      </c>
      <c r="DI607" s="1362"/>
      <c r="DJ607" s="1362"/>
      <c r="DK607" s="1362"/>
      <c r="DL607" s="1362"/>
      <c r="DM607" s="1362">
        <f t="shared" si="15"/>
        <v>0</v>
      </c>
      <c r="DN607" s="1362"/>
      <c r="DO607" s="1362"/>
      <c r="DP607" s="1362"/>
      <c r="DQ607" s="1362"/>
      <c r="DR607" s="1362">
        <f t="shared" si="16"/>
        <v>0</v>
      </c>
      <c r="DS607" s="1362"/>
      <c r="DT607" s="1362"/>
      <c r="DU607" s="1362"/>
      <c r="DV607" s="1362"/>
      <c r="DX607" s="1357" t="str">
        <f t="shared" si="17"/>
        <v/>
      </c>
      <c r="DY607" s="1358"/>
      <c r="DZ607" s="1358"/>
      <c r="EA607" s="1358"/>
      <c r="EB607" s="1359"/>
      <c r="EC607" s="1357" t="str">
        <f t="shared" si="18"/>
        <v/>
      </c>
      <c r="ED607" s="1358"/>
      <c r="EE607" s="1358"/>
      <c r="EF607" s="1358"/>
      <c r="EG607" s="1359"/>
      <c r="EH607" s="1357" t="str">
        <f t="shared" si="19"/>
        <v/>
      </c>
      <c r="EI607" s="1358"/>
      <c r="EJ607" s="1358"/>
      <c r="EK607" s="1358"/>
      <c r="EL607" s="1359"/>
      <c r="EM607" s="1357">
        <f t="shared" si="20"/>
        <v>1421</v>
      </c>
      <c r="EN607" s="1358"/>
      <c r="EO607" s="1358"/>
      <c r="EP607" s="1358"/>
      <c r="EQ607" s="1359"/>
      <c r="ER607" s="1357" t="str">
        <f t="shared" si="21"/>
        <v/>
      </c>
      <c r="ES607" s="1358"/>
      <c r="ET607" s="1358"/>
      <c r="EU607" s="1358"/>
      <c r="EV607" s="1359"/>
      <c r="EW607" s="1357" t="str">
        <f t="shared" si="22"/>
        <v/>
      </c>
      <c r="EX607" s="1358"/>
      <c r="EY607" s="1358"/>
      <c r="EZ607" s="1358"/>
      <c r="FA607" s="1359"/>
    </row>
    <row r="608" spans="1:157" ht="12.95" customHeight="1">
      <c r="A608" s="22"/>
      <c r="T608" s="22"/>
      <c r="AZ608" s="3"/>
      <c r="BA608" s="3"/>
      <c r="BB608" s="3"/>
      <c r="BC608" s="3"/>
      <c r="BD608" s="3"/>
      <c r="BE608" s="1357">
        <f t="shared" si="1"/>
        <v>0</v>
      </c>
      <c r="BF608" s="1359"/>
      <c r="BG608" s="1367">
        <f t="shared" si="2"/>
        <v>0</v>
      </c>
      <c r="BH608" s="1368"/>
      <c r="BI608" s="1357">
        <f t="shared" si="3"/>
        <v>0</v>
      </c>
      <c r="BJ608" s="1359"/>
      <c r="BK608" s="1367">
        <f t="shared" si="4"/>
        <v>0</v>
      </c>
      <c r="BL608" s="1368"/>
      <c r="BM608" s="3"/>
      <c r="BN608" s="1364">
        <f t="shared" si="5"/>
        <v>0</v>
      </c>
      <c r="BO608" s="1365"/>
      <c r="BP608" s="1365"/>
      <c r="BQ608" s="1365"/>
      <c r="BR608" s="1366"/>
      <c r="BS608" s="1363">
        <f t="shared" si="6"/>
        <v>0</v>
      </c>
      <c r="BT608" s="1363"/>
      <c r="BU608" s="1363"/>
      <c r="BV608" s="1363"/>
      <c r="BW608" s="1363"/>
      <c r="BX608" s="1363">
        <f t="shared" si="7"/>
        <v>0</v>
      </c>
      <c r="BY608" s="1363"/>
      <c r="BZ608" s="1363"/>
      <c r="CA608" s="1363"/>
      <c r="CB608" s="1363"/>
      <c r="CC608" s="1363">
        <f t="shared" si="8"/>
        <v>37</v>
      </c>
      <c r="CD608" s="1363"/>
      <c r="CE608" s="1363"/>
      <c r="CF608" s="1363"/>
      <c r="CG608" s="1363"/>
      <c r="CH608" s="1363">
        <f t="shared" si="9"/>
        <v>0</v>
      </c>
      <c r="CI608" s="1363"/>
      <c r="CJ608" s="1363"/>
      <c r="CK608" s="1363"/>
      <c r="CL608" s="1363"/>
      <c r="CM608" s="1363">
        <f t="shared" si="10"/>
        <v>0</v>
      </c>
      <c r="CN608" s="1363"/>
      <c r="CO608" s="1363"/>
      <c r="CP608" s="1363"/>
      <c r="CQ608" s="1363"/>
      <c r="CR608" s="6"/>
      <c r="CS608" s="1362">
        <f t="shared" si="11"/>
        <v>0</v>
      </c>
      <c r="CT608" s="1362"/>
      <c r="CU608" s="1362"/>
      <c r="CV608" s="1362"/>
      <c r="CW608" s="1362"/>
      <c r="CX608" s="1362">
        <f t="shared" si="12"/>
        <v>0</v>
      </c>
      <c r="CY608" s="1362"/>
      <c r="CZ608" s="1362"/>
      <c r="DA608" s="1362"/>
      <c r="DB608" s="1362"/>
      <c r="DC608" s="1362">
        <f t="shared" si="13"/>
        <v>0</v>
      </c>
      <c r="DD608" s="1362"/>
      <c r="DE608" s="1362"/>
      <c r="DF608" s="1362"/>
      <c r="DG608" s="1362"/>
      <c r="DH608" s="1362">
        <f t="shared" si="14"/>
        <v>0</v>
      </c>
      <c r="DI608" s="1362"/>
      <c r="DJ608" s="1362"/>
      <c r="DK608" s="1362"/>
      <c r="DL608" s="1362"/>
      <c r="DM608" s="1362">
        <f t="shared" si="15"/>
        <v>0</v>
      </c>
      <c r="DN608" s="1362"/>
      <c r="DO608" s="1362"/>
      <c r="DP608" s="1362"/>
      <c r="DQ608" s="1362"/>
      <c r="DR608" s="1362">
        <f t="shared" si="16"/>
        <v>0</v>
      </c>
      <c r="DS608" s="1362"/>
      <c r="DT608" s="1362"/>
      <c r="DU608" s="1362"/>
      <c r="DV608" s="1362"/>
      <c r="DX608" s="1357" t="str">
        <f t="shared" si="17"/>
        <v/>
      </c>
      <c r="DY608" s="1358"/>
      <c r="DZ608" s="1358"/>
      <c r="EA608" s="1358"/>
      <c r="EB608" s="1359"/>
      <c r="EC608" s="1357" t="str">
        <f t="shared" si="18"/>
        <v/>
      </c>
      <c r="ED608" s="1358"/>
      <c r="EE608" s="1358"/>
      <c r="EF608" s="1358"/>
      <c r="EG608" s="1359"/>
      <c r="EH608" s="1357" t="str">
        <f t="shared" si="19"/>
        <v/>
      </c>
      <c r="EI608" s="1358"/>
      <c r="EJ608" s="1358"/>
      <c r="EK608" s="1358"/>
      <c r="EL608" s="1359"/>
      <c r="EM608" s="1357">
        <f t="shared" si="20"/>
        <v>1727.8</v>
      </c>
      <c r="EN608" s="1358"/>
      <c r="EO608" s="1358"/>
      <c r="EP608" s="1358"/>
      <c r="EQ608" s="1359"/>
      <c r="ER608" s="1357" t="str">
        <f t="shared" si="21"/>
        <v/>
      </c>
      <c r="ES608" s="1358"/>
      <c r="ET608" s="1358"/>
      <c r="EU608" s="1358"/>
      <c r="EV608" s="1359"/>
      <c r="EW608" s="1357" t="str">
        <f t="shared" si="22"/>
        <v/>
      </c>
      <c r="EX608" s="1358"/>
      <c r="EY608" s="1358"/>
      <c r="EZ608" s="1358"/>
      <c r="FA608" s="1359"/>
    </row>
    <row r="609" spans="1:157" ht="12.95" customHeight="1">
      <c r="A609" s="55" t="s">
        <v>363</v>
      </c>
      <c r="B609" t="s">
        <v>472</v>
      </c>
      <c r="G609" s="1517">
        <f>C564</f>
        <v>0</v>
      </c>
      <c r="H609" s="1517"/>
      <c r="I609" s="1517"/>
      <c r="J609" s="1517"/>
      <c r="K609" s="1517"/>
      <c r="L609" s="1517"/>
      <c r="M609" s="1517"/>
      <c r="N609" s="1517"/>
      <c r="O609" s="1517"/>
      <c r="P609" s="1517"/>
      <c r="Q609" s="1517"/>
      <c r="R609" s="1517"/>
      <c r="T609" s="55" t="s">
        <v>364</v>
      </c>
      <c r="U609" t="s">
        <v>472</v>
      </c>
      <c r="Z609" s="1517">
        <f>C565</f>
        <v>0</v>
      </c>
      <c r="AA609" s="1517"/>
      <c r="AB609" s="1517"/>
      <c r="AC609" s="1517"/>
      <c r="AD609" s="1517"/>
      <c r="AE609" s="1517"/>
      <c r="AF609" s="1517"/>
      <c r="AG609" s="1517"/>
      <c r="AH609" s="1517"/>
      <c r="AI609" s="1517"/>
      <c r="AJ609" s="1517"/>
      <c r="AK609" s="1517"/>
      <c r="AZ609" s="3"/>
      <c r="BA609" s="3"/>
      <c r="BB609" s="3"/>
      <c r="BC609" s="3"/>
      <c r="BD609" s="3"/>
      <c r="BE609" s="1357">
        <f t="shared" si="1"/>
        <v>0</v>
      </c>
      <c r="BF609" s="1359"/>
      <c r="BG609" s="1367">
        <f t="shared" si="2"/>
        <v>0</v>
      </c>
      <c r="BH609" s="1368"/>
      <c r="BI609" s="1357">
        <f t="shared" si="3"/>
        <v>1</v>
      </c>
      <c r="BJ609" s="1359"/>
      <c r="BK609" s="1367">
        <f t="shared" si="4"/>
        <v>1</v>
      </c>
      <c r="BL609" s="1368"/>
      <c r="BM609" s="3"/>
      <c r="BN609" s="1364">
        <f t="shared" si="5"/>
        <v>0</v>
      </c>
      <c r="BO609" s="1365"/>
      <c r="BP609" s="1365"/>
      <c r="BQ609" s="1365"/>
      <c r="BR609" s="1366"/>
      <c r="BS609" s="1363">
        <f t="shared" si="6"/>
        <v>0</v>
      </c>
      <c r="BT609" s="1363"/>
      <c r="BU609" s="1363"/>
      <c r="BV609" s="1363"/>
      <c r="BW609" s="1363"/>
      <c r="BX609" s="1363">
        <f t="shared" si="7"/>
        <v>0</v>
      </c>
      <c r="BY609" s="1363"/>
      <c r="BZ609" s="1363"/>
      <c r="CA609" s="1363"/>
      <c r="CB609" s="1363"/>
      <c r="CC609" s="1363">
        <f t="shared" si="8"/>
        <v>0</v>
      </c>
      <c r="CD609" s="1363"/>
      <c r="CE609" s="1363"/>
      <c r="CF609" s="1363"/>
      <c r="CG609" s="1363"/>
      <c r="CH609" s="1363">
        <f t="shared" si="9"/>
        <v>1</v>
      </c>
      <c r="CI609" s="1363"/>
      <c r="CJ609" s="1363"/>
      <c r="CK609" s="1363"/>
      <c r="CL609" s="1363"/>
      <c r="CM609" s="1363">
        <f t="shared" si="10"/>
        <v>0</v>
      </c>
      <c r="CN609" s="1363"/>
      <c r="CO609" s="1363"/>
      <c r="CP609" s="1363"/>
      <c r="CQ609" s="1363"/>
      <c r="CR609" s="6"/>
      <c r="CS609" s="1362">
        <f t="shared" si="11"/>
        <v>0</v>
      </c>
      <c r="CT609" s="1362"/>
      <c r="CU609" s="1362"/>
      <c r="CV609" s="1362"/>
      <c r="CW609" s="1362"/>
      <c r="CX609" s="1362">
        <f t="shared" si="12"/>
        <v>0</v>
      </c>
      <c r="CY609" s="1362"/>
      <c r="CZ609" s="1362"/>
      <c r="DA609" s="1362"/>
      <c r="DB609" s="1362"/>
      <c r="DC609" s="1362">
        <f t="shared" si="13"/>
        <v>0</v>
      </c>
      <c r="DD609" s="1362"/>
      <c r="DE609" s="1362"/>
      <c r="DF609" s="1362"/>
      <c r="DG609" s="1362"/>
      <c r="DH609" s="1362">
        <f t="shared" si="14"/>
        <v>0</v>
      </c>
      <c r="DI609" s="1362"/>
      <c r="DJ609" s="1362"/>
      <c r="DK609" s="1362"/>
      <c r="DL609" s="1362"/>
      <c r="DM609" s="1362">
        <f t="shared" si="15"/>
        <v>1</v>
      </c>
      <c r="DN609" s="1362"/>
      <c r="DO609" s="1362"/>
      <c r="DP609" s="1362"/>
      <c r="DQ609" s="1362"/>
      <c r="DR609" s="1362">
        <f t="shared" si="16"/>
        <v>0</v>
      </c>
      <c r="DS609" s="1362"/>
      <c r="DT609" s="1362"/>
      <c r="DU609" s="1362"/>
      <c r="DV609" s="1362"/>
      <c r="DX609" s="1357" t="str">
        <f t="shared" si="17"/>
        <v/>
      </c>
      <c r="DY609" s="1358"/>
      <c r="DZ609" s="1358"/>
      <c r="EA609" s="1358"/>
      <c r="EB609" s="1359"/>
      <c r="EC609" s="1357" t="str">
        <f t="shared" si="18"/>
        <v/>
      </c>
      <c r="ED609" s="1358"/>
      <c r="EE609" s="1358"/>
      <c r="EF609" s="1358"/>
      <c r="EG609" s="1359"/>
      <c r="EH609" s="1357" t="str">
        <f t="shared" si="19"/>
        <v/>
      </c>
      <c r="EI609" s="1358"/>
      <c r="EJ609" s="1358"/>
      <c r="EK609" s="1358"/>
      <c r="EL609" s="1359"/>
      <c r="EM609" s="1357" t="str">
        <f t="shared" si="20"/>
        <v/>
      </c>
      <c r="EN609" s="1358"/>
      <c r="EO609" s="1358"/>
      <c r="EP609" s="1358"/>
      <c r="EQ609" s="1359"/>
      <c r="ER609" s="1357">
        <f t="shared" si="21"/>
        <v>848</v>
      </c>
      <c r="ES609" s="1358"/>
      <c r="ET609" s="1358"/>
      <c r="EU609" s="1358"/>
      <c r="EV609" s="1359"/>
      <c r="EW609" s="1357" t="str">
        <f t="shared" si="22"/>
        <v/>
      </c>
      <c r="EX609" s="1358"/>
      <c r="EY609" s="1358"/>
      <c r="EZ609" s="1358"/>
      <c r="FA609" s="1359"/>
    </row>
    <row r="610" spans="1:157" ht="12.95" customHeight="1">
      <c r="B610" t="s">
        <v>85</v>
      </c>
      <c r="G610" s="1467"/>
      <c r="H610" s="1467"/>
      <c r="I610" s="1467"/>
      <c r="J610" s="1467"/>
      <c r="K610" s="1467"/>
      <c r="L610" s="1467"/>
      <c r="M610" s="1467"/>
      <c r="N610" s="1467"/>
      <c r="O610" s="1467"/>
      <c r="P610" s="1467"/>
      <c r="Q610" s="1467"/>
      <c r="R610" s="1467"/>
      <c r="U610" t="s">
        <v>85</v>
      </c>
      <c r="Z610" s="1467"/>
      <c r="AA610" s="1467"/>
      <c r="AB610" s="1467"/>
      <c r="AC610" s="1467"/>
      <c r="AD610" s="1467"/>
      <c r="AE610" s="1467"/>
      <c r="AF610" s="1467"/>
      <c r="AG610" s="1467"/>
      <c r="AH610" s="1467"/>
      <c r="AI610" s="1467"/>
      <c r="AJ610" s="1467"/>
      <c r="AK610" s="1467"/>
      <c r="AZ610" s="3"/>
      <c r="BA610" s="3"/>
      <c r="BB610" s="3"/>
      <c r="BC610" s="3"/>
      <c r="BD610" s="3"/>
      <c r="BE610" s="1357">
        <f t="shared" si="1"/>
        <v>0</v>
      </c>
      <c r="BF610" s="1359"/>
      <c r="BG610" s="1367">
        <f t="shared" si="2"/>
        <v>0</v>
      </c>
      <c r="BH610" s="1368"/>
      <c r="BI610" s="1357">
        <f t="shared" si="3"/>
        <v>0</v>
      </c>
      <c r="BJ610" s="1359"/>
      <c r="BK610" s="1367">
        <f t="shared" si="4"/>
        <v>0</v>
      </c>
      <c r="BL610" s="1368"/>
      <c r="BM610" s="3"/>
      <c r="BN610" s="1364">
        <f t="shared" si="5"/>
        <v>0</v>
      </c>
      <c r="BO610" s="1365"/>
      <c r="BP610" s="1365"/>
      <c r="BQ610" s="1365"/>
      <c r="BR610" s="1366"/>
      <c r="BS610" s="1363">
        <f t="shared" si="6"/>
        <v>0</v>
      </c>
      <c r="BT610" s="1363"/>
      <c r="BU610" s="1363"/>
      <c r="BV610" s="1363"/>
      <c r="BW610" s="1363"/>
      <c r="BX610" s="1363">
        <f t="shared" si="7"/>
        <v>0</v>
      </c>
      <c r="BY610" s="1363"/>
      <c r="BZ610" s="1363"/>
      <c r="CA610" s="1363"/>
      <c r="CB610" s="1363"/>
      <c r="CC610" s="1363">
        <f t="shared" si="8"/>
        <v>0</v>
      </c>
      <c r="CD610" s="1363"/>
      <c r="CE610" s="1363"/>
      <c r="CF610" s="1363"/>
      <c r="CG610" s="1363"/>
      <c r="CH610" s="1363">
        <f t="shared" si="9"/>
        <v>7</v>
      </c>
      <c r="CI610" s="1363"/>
      <c r="CJ610" s="1363"/>
      <c r="CK610" s="1363"/>
      <c r="CL610" s="1363"/>
      <c r="CM610" s="1363">
        <f t="shared" si="10"/>
        <v>0</v>
      </c>
      <c r="CN610" s="1363"/>
      <c r="CO610" s="1363"/>
      <c r="CP610" s="1363"/>
      <c r="CQ610" s="1363"/>
      <c r="CR610" s="6"/>
      <c r="CS610" s="1362">
        <f t="shared" si="11"/>
        <v>0</v>
      </c>
      <c r="CT610" s="1362"/>
      <c r="CU610" s="1362"/>
      <c r="CV610" s="1362"/>
      <c r="CW610" s="1362"/>
      <c r="CX610" s="1362">
        <f t="shared" si="12"/>
        <v>0</v>
      </c>
      <c r="CY610" s="1362"/>
      <c r="CZ610" s="1362"/>
      <c r="DA610" s="1362"/>
      <c r="DB610" s="1362"/>
      <c r="DC610" s="1362">
        <f t="shared" si="13"/>
        <v>0</v>
      </c>
      <c r="DD610" s="1362"/>
      <c r="DE610" s="1362"/>
      <c r="DF610" s="1362"/>
      <c r="DG610" s="1362"/>
      <c r="DH610" s="1362">
        <f t="shared" si="14"/>
        <v>0</v>
      </c>
      <c r="DI610" s="1362"/>
      <c r="DJ610" s="1362"/>
      <c r="DK610" s="1362"/>
      <c r="DL610" s="1362"/>
      <c r="DM610" s="1362">
        <f t="shared" si="15"/>
        <v>0</v>
      </c>
      <c r="DN610" s="1362"/>
      <c r="DO610" s="1362"/>
      <c r="DP610" s="1362"/>
      <c r="DQ610" s="1362"/>
      <c r="DR610" s="1362">
        <f t="shared" si="16"/>
        <v>0</v>
      </c>
      <c r="DS610" s="1362"/>
      <c r="DT610" s="1362"/>
      <c r="DU610" s="1362"/>
      <c r="DV610" s="1362"/>
      <c r="DX610" s="1357" t="str">
        <f t="shared" si="17"/>
        <v/>
      </c>
      <c r="DY610" s="1358"/>
      <c r="DZ610" s="1358"/>
      <c r="EA610" s="1358"/>
      <c r="EB610" s="1359"/>
      <c r="EC610" s="1357" t="str">
        <f t="shared" si="18"/>
        <v/>
      </c>
      <c r="ED610" s="1358"/>
      <c r="EE610" s="1358"/>
      <c r="EF610" s="1358"/>
      <c r="EG610" s="1359"/>
      <c r="EH610" s="1357" t="str">
        <f t="shared" si="19"/>
        <v/>
      </c>
      <c r="EI610" s="1358"/>
      <c r="EJ610" s="1358"/>
      <c r="EK610" s="1358"/>
      <c r="EL610" s="1359"/>
      <c r="EM610" s="1357" t="str">
        <f t="shared" si="20"/>
        <v/>
      </c>
      <c r="EN610" s="1358"/>
      <c r="EO610" s="1358"/>
      <c r="EP610" s="1358"/>
      <c r="EQ610" s="1359"/>
      <c r="ER610" s="1357">
        <f t="shared" si="21"/>
        <v>1874</v>
      </c>
      <c r="ES610" s="1358"/>
      <c r="ET610" s="1358"/>
      <c r="EU610" s="1358"/>
      <c r="EV610" s="1359"/>
      <c r="EW610" s="1357" t="str">
        <f t="shared" si="22"/>
        <v/>
      </c>
      <c r="EX610" s="1358"/>
      <c r="EY610" s="1358"/>
      <c r="EZ610" s="1358"/>
      <c r="FA610" s="1359"/>
    </row>
    <row r="611" spans="1:157" ht="12.95" customHeight="1">
      <c r="B611" t="s">
        <v>589</v>
      </c>
      <c r="G611" s="1467"/>
      <c r="H611" s="1467"/>
      <c r="I611" s="1467"/>
      <c r="J611" s="1467"/>
      <c r="K611" s="1467"/>
      <c r="L611" s="1467"/>
      <c r="M611" s="1467"/>
      <c r="N611" s="1467"/>
      <c r="O611" s="1467"/>
      <c r="P611" s="1467"/>
      <c r="Q611" s="1467"/>
      <c r="R611" s="1467"/>
      <c r="U611" t="s">
        <v>589</v>
      </c>
      <c r="Z611" s="1417"/>
      <c r="AA611" s="1417"/>
      <c r="AB611" s="1417"/>
      <c r="AC611" s="1417"/>
      <c r="AD611" s="1417"/>
      <c r="AE611" s="1417"/>
      <c r="AF611" s="1417"/>
      <c r="AG611" s="1417"/>
      <c r="AH611" s="1417"/>
      <c r="AI611" s="1417"/>
      <c r="AJ611" s="1417"/>
      <c r="AK611" s="1417"/>
      <c r="AZ611" s="3"/>
      <c r="BA611" s="3"/>
      <c r="BB611" s="3"/>
      <c r="BC611" s="3"/>
      <c r="BD611" s="3"/>
      <c r="BE611" s="1357">
        <f t="shared" si="1"/>
        <v>0</v>
      </c>
      <c r="BF611" s="1359"/>
      <c r="BG611" s="1367">
        <f t="shared" si="2"/>
        <v>0</v>
      </c>
      <c r="BH611" s="1368"/>
      <c r="BI611" s="1357">
        <f t="shared" si="3"/>
        <v>0</v>
      </c>
      <c r="BJ611" s="1359"/>
      <c r="BK611" s="1367">
        <f t="shared" si="4"/>
        <v>0</v>
      </c>
      <c r="BL611" s="1368"/>
      <c r="BM611" s="3"/>
      <c r="BN611" s="1364">
        <f t="shared" si="5"/>
        <v>0</v>
      </c>
      <c r="BO611" s="1365"/>
      <c r="BP611" s="1365"/>
      <c r="BQ611" s="1365"/>
      <c r="BR611" s="1366"/>
      <c r="BS611" s="1363">
        <f t="shared" si="6"/>
        <v>0</v>
      </c>
      <c r="BT611" s="1363"/>
      <c r="BU611" s="1363"/>
      <c r="BV611" s="1363"/>
      <c r="BW611" s="1363"/>
      <c r="BX611" s="1363">
        <f t="shared" si="7"/>
        <v>0</v>
      </c>
      <c r="BY611" s="1363"/>
      <c r="BZ611" s="1363"/>
      <c r="CA611" s="1363"/>
      <c r="CB611" s="1363"/>
      <c r="CC611" s="1363">
        <f t="shared" si="8"/>
        <v>0</v>
      </c>
      <c r="CD611" s="1363"/>
      <c r="CE611" s="1363"/>
      <c r="CF611" s="1363"/>
      <c r="CG611" s="1363"/>
      <c r="CH611" s="1363">
        <f t="shared" si="9"/>
        <v>0</v>
      </c>
      <c r="CI611" s="1363"/>
      <c r="CJ611" s="1363"/>
      <c r="CK611" s="1363"/>
      <c r="CL611" s="1363"/>
      <c r="CM611" s="1363">
        <f t="shared" si="10"/>
        <v>0</v>
      </c>
      <c r="CN611" s="1363"/>
      <c r="CO611" s="1363"/>
      <c r="CP611" s="1363"/>
      <c r="CQ611" s="1363"/>
      <c r="CR611" s="6"/>
      <c r="CS611" s="1362">
        <f t="shared" si="11"/>
        <v>0</v>
      </c>
      <c r="CT611" s="1362"/>
      <c r="CU611" s="1362"/>
      <c r="CV611" s="1362"/>
      <c r="CW611" s="1362"/>
      <c r="CX611" s="1362">
        <f t="shared" si="12"/>
        <v>0</v>
      </c>
      <c r="CY611" s="1362"/>
      <c r="CZ611" s="1362"/>
      <c r="DA611" s="1362"/>
      <c r="DB611" s="1362"/>
      <c r="DC611" s="1362">
        <f t="shared" si="13"/>
        <v>0</v>
      </c>
      <c r="DD611" s="1362"/>
      <c r="DE611" s="1362"/>
      <c r="DF611" s="1362"/>
      <c r="DG611" s="1362"/>
      <c r="DH611" s="1362">
        <f t="shared" si="14"/>
        <v>0</v>
      </c>
      <c r="DI611" s="1362"/>
      <c r="DJ611" s="1362"/>
      <c r="DK611" s="1362"/>
      <c r="DL611" s="1362"/>
      <c r="DM611" s="1362">
        <f t="shared" si="15"/>
        <v>0</v>
      </c>
      <c r="DN611" s="1362"/>
      <c r="DO611" s="1362"/>
      <c r="DP611" s="1362"/>
      <c r="DQ611" s="1362"/>
      <c r="DR611" s="1362">
        <f t="shared" si="16"/>
        <v>0</v>
      </c>
      <c r="DS611" s="1362"/>
      <c r="DT611" s="1362"/>
      <c r="DU611" s="1362"/>
      <c r="DV611" s="1362"/>
      <c r="DX611" s="1357" t="str">
        <f t="shared" si="17"/>
        <v/>
      </c>
      <c r="DY611" s="1358"/>
      <c r="DZ611" s="1358"/>
      <c r="EA611" s="1358"/>
      <c r="EB611" s="1359"/>
      <c r="EC611" s="1357" t="str">
        <f t="shared" si="18"/>
        <v/>
      </c>
      <c r="ED611" s="1358"/>
      <c r="EE611" s="1358"/>
      <c r="EF611" s="1358"/>
      <c r="EG611" s="1359"/>
      <c r="EH611" s="1357" t="str">
        <f t="shared" si="19"/>
        <v/>
      </c>
      <c r="EI611" s="1358"/>
      <c r="EJ611" s="1358"/>
      <c r="EK611" s="1358"/>
      <c r="EL611" s="1359"/>
      <c r="EM611" s="1357" t="str">
        <f t="shared" si="20"/>
        <v/>
      </c>
      <c r="EN611" s="1358"/>
      <c r="EO611" s="1358"/>
      <c r="EP611" s="1358"/>
      <c r="EQ611" s="1359"/>
      <c r="ER611" s="1357" t="str">
        <f t="shared" si="21"/>
        <v/>
      </c>
      <c r="ES611" s="1358"/>
      <c r="ET611" s="1358"/>
      <c r="EU611" s="1358"/>
      <c r="EV611" s="1359"/>
      <c r="EW611" s="1357" t="str">
        <f t="shared" si="22"/>
        <v/>
      </c>
      <c r="EX611" s="1358"/>
      <c r="EY611" s="1358"/>
      <c r="EZ611" s="1358"/>
      <c r="FA611" s="1359"/>
    </row>
    <row r="612" spans="1:157" ht="12.95" customHeight="1">
      <c r="B612" t="s">
        <v>17</v>
      </c>
      <c r="G612" s="1467"/>
      <c r="H612" s="1467"/>
      <c r="I612" s="1467"/>
      <c r="J612" s="1467"/>
      <c r="K612" s="1467"/>
      <c r="L612" s="1467"/>
      <c r="M612" s="1467"/>
      <c r="N612" s="1467"/>
      <c r="O612" s="1467"/>
      <c r="P612" s="1467"/>
      <c r="Q612" s="1467"/>
      <c r="R612" s="1467"/>
      <c r="U612" t="s">
        <v>17</v>
      </c>
      <c r="Z612" s="1417"/>
      <c r="AA612" s="1417"/>
      <c r="AB612" s="1417"/>
      <c r="AC612" s="1417"/>
      <c r="AD612" s="1417"/>
      <c r="AE612" s="1417"/>
      <c r="AF612" s="1417"/>
      <c r="AG612" s="1417"/>
      <c r="AH612" s="1417"/>
      <c r="AI612" s="1417"/>
      <c r="AJ612" s="1417"/>
      <c r="AK612" s="1417"/>
      <c r="AZ612" s="3"/>
      <c r="BA612" s="3"/>
      <c r="BB612" s="3"/>
      <c r="BC612" s="3"/>
      <c r="BD612" s="3"/>
      <c r="BE612" s="1357">
        <f t="shared" si="1"/>
        <v>0</v>
      </c>
      <c r="BF612" s="1359"/>
      <c r="BG612" s="1367">
        <f t="shared" si="2"/>
        <v>0</v>
      </c>
      <c r="BH612" s="1368"/>
      <c r="BI612" s="1357">
        <f t="shared" si="3"/>
        <v>0</v>
      </c>
      <c r="BJ612" s="1359"/>
      <c r="BK612" s="1367">
        <f t="shared" si="4"/>
        <v>0</v>
      </c>
      <c r="BL612" s="1368"/>
      <c r="BM612" s="3"/>
      <c r="BN612" s="1364">
        <f t="shared" si="5"/>
        <v>0</v>
      </c>
      <c r="BO612" s="1365"/>
      <c r="BP612" s="1365"/>
      <c r="BQ612" s="1365"/>
      <c r="BR612" s="1366"/>
      <c r="BS612" s="1363">
        <f t="shared" si="6"/>
        <v>0</v>
      </c>
      <c r="BT612" s="1363"/>
      <c r="BU612" s="1363"/>
      <c r="BV612" s="1363"/>
      <c r="BW612" s="1363"/>
      <c r="BX612" s="1363">
        <f t="shared" si="7"/>
        <v>0</v>
      </c>
      <c r="BY612" s="1363"/>
      <c r="BZ612" s="1363"/>
      <c r="CA612" s="1363"/>
      <c r="CB612" s="1363"/>
      <c r="CC612" s="1363">
        <f t="shared" si="8"/>
        <v>0</v>
      </c>
      <c r="CD612" s="1363"/>
      <c r="CE612" s="1363"/>
      <c r="CF612" s="1363"/>
      <c r="CG612" s="1363"/>
      <c r="CH612" s="1363">
        <f t="shared" si="9"/>
        <v>0</v>
      </c>
      <c r="CI612" s="1363"/>
      <c r="CJ612" s="1363"/>
      <c r="CK612" s="1363"/>
      <c r="CL612" s="1363"/>
      <c r="CM612" s="1363">
        <f t="shared" si="10"/>
        <v>0</v>
      </c>
      <c r="CN612" s="1363"/>
      <c r="CO612" s="1363"/>
      <c r="CP612" s="1363"/>
      <c r="CQ612" s="1363"/>
      <c r="CR612" s="6"/>
      <c r="CS612" s="1362">
        <f t="shared" si="11"/>
        <v>0</v>
      </c>
      <c r="CT612" s="1362"/>
      <c r="CU612" s="1362"/>
      <c r="CV612" s="1362"/>
      <c r="CW612" s="1362"/>
      <c r="CX612" s="1362">
        <f t="shared" si="12"/>
        <v>0</v>
      </c>
      <c r="CY612" s="1362"/>
      <c r="CZ612" s="1362"/>
      <c r="DA612" s="1362"/>
      <c r="DB612" s="1362"/>
      <c r="DC612" s="1362">
        <f t="shared" si="13"/>
        <v>0</v>
      </c>
      <c r="DD612" s="1362"/>
      <c r="DE612" s="1362"/>
      <c r="DF612" s="1362"/>
      <c r="DG612" s="1362"/>
      <c r="DH612" s="1362">
        <f t="shared" si="14"/>
        <v>0</v>
      </c>
      <c r="DI612" s="1362"/>
      <c r="DJ612" s="1362"/>
      <c r="DK612" s="1362"/>
      <c r="DL612" s="1362"/>
      <c r="DM612" s="1362">
        <f t="shared" si="15"/>
        <v>0</v>
      </c>
      <c r="DN612" s="1362"/>
      <c r="DO612" s="1362"/>
      <c r="DP612" s="1362"/>
      <c r="DQ612" s="1362"/>
      <c r="DR612" s="1362">
        <f t="shared" si="16"/>
        <v>0</v>
      </c>
      <c r="DS612" s="1362"/>
      <c r="DT612" s="1362"/>
      <c r="DU612" s="1362"/>
      <c r="DV612" s="1362"/>
      <c r="DX612" s="1357" t="str">
        <f t="shared" si="17"/>
        <v/>
      </c>
      <c r="DY612" s="1358"/>
      <c r="DZ612" s="1358"/>
      <c r="EA612" s="1358"/>
      <c r="EB612" s="1359"/>
      <c r="EC612" s="1357" t="str">
        <f t="shared" si="18"/>
        <v/>
      </c>
      <c r="ED612" s="1358"/>
      <c r="EE612" s="1358"/>
      <c r="EF612" s="1358"/>
      <c r="EG612" s="1359"/>
      <c r="EH612" s="1357" t="str">
        <f t="shared" si="19"/>
        <v/>
      </c>
      <c r="EI612" s="1358"/>
      <c r="EJ612" s="1358"/>
      <c r="EK612" s="1358"/>
      <c r="EL612" s="1359"/>
      <c r="EM612" s="1357" t="str">
        <f t="shared" si="20"/>
        <v/>
      </c>
      <c r="EN612" s="1358"/>
      <c r="EO612" s="1358"/>
      <c r="EP612" s="1358"/>
      <c r="EQ612" s="1359"/>
      <c r="ER612" s="1357" t="str">
        <f t="shared" si="21"/>
        <v/>
      </c>
      <c r="ES612" s="1358"/>
      <c r="ET612" s="1358"/>
      <c r="EU612" s="1358"/>
      <c r="EV612" s="1359"/>
      <c r="EW612" s="1357" t="str">
        <f t="shared" si="22"/>
        <v/>
      </c>
      <c r="EX612" s="1358"/>
      <c r="EY612" s="1358"/>
      <c r="EZ612" s="1358"/>
      <c r="FA612" s="1359"/>
    </row>
    <row r="613" spans="1:157" ht="12.95" customHeight="1">
      <c r="B613" t="s">
        <v>317</v>
      </c>
      <c r="G613" s="1466"/>
      <c r="H613" s="1466"/>
      <c r="I613" s="1466"/>
      <c r="J613" s="1466"/>
      <c r="K613" s="1466"/>
      <c r="L613" s="1466"/>
      <c r="O613" s="33" t="s">
        <v>207</v>
      </c>
      <c r="P613" s="1406"/>
      <c r="Q613" s="1406"/>
      <c r="R613" s="1406"/>
      <c r="U613" t="s">
        <v>317</v>
      </c>
      <c r="Z613" s="1466"/>
      <c r="AA613" s="1466"/>
      <c r="AB613" s="1466"/>
      <c r="AC613" s="1466"/>
      <c r="AD613" s="1466"/>
      <c r="AE613" s="1466"/>
      <c r="AH613" s="33" t="s">
        <v>207</v>
      </c>
      <c r="AI613" s="1406"/>
      <c r="AJ613" s="1406"/>
      <c r="AK613" s="1406"/>
      <c r="AZ613" s="3"/>
      <c r="BA613" s="3"/>
      <c r="BB613" s="3"/>
      <c r="BC613" s="3"/>
      <c r="BD613" s="3"/>
      <c r="BE613" s="1357">
        <f t="shared" si="1"/>
        <v>0</v>
      </c>
      <c r="BF613" s="1359"/>
      <c r="BG613" s="1367">
        <f t="shared" si="2"/>
        <v>0</v>
      </c>
      <c r="BH613" s="1368"/>
      <c r="BI613" s="1357">
        <f t="shared" si="3"/>
        <v>0</v>
      </c>
      <c r="BJ613" s="1359"/>
      <c r="BK613" s="1367">
        <f t="shared" si="4"/>
        <v>0</v>
      </c>
      <c r="BL613" s="1368"/>
      <c r="BM613" s="3"/>
      <c r="BN613" s="1364">
        <f t="shared" si="5"/>
        <v>0</v>
      </c>
      <c r="BO613" s="1365"/>
      <c r="BP613" s="1365"/>
      <c r="BQ613" s="1365"/>
      <c r="BR613" s="1366"/>
      <c r="BS613" s="1363">
        <f t="shared" si="6"/>
        <v>0</v>
      </c>
      <c r="BT613" s="1363"/>
      <c r="BU613" s="1363"/>
      <c r="BV613" s="1363"/>
      <c r="BW613" s="1363"/>
      <c r="BX613" s="1363">
        <f t="shared" si="7"/>
        <v>0</v>
      </c>
      <c r="BY613" s="1363"/>
      <c r="BZ613" s="1363"/>
      <c r="CA613" s="1363"/>
      <c r="CB613" s="1363"/>
      <c r="CC613" s="1363">
        <f t="shared" si="8"/>
        <v>0</v>
      </c>
      <c r="CD613" s="1363"/>
      <c r="CE613" s="1363"/>
      <c r="CF613" s="1363"/>
      <c r="CG613" s="1363"/>
      <c r="CH613" s="1363">
        <f t="shared" si="9"/>
        <v>0</v>
      </c>
      <c r="CI613" s="1363"/>
      <c r="CJ613" s="1363"/>
      <c r="CK613" s="1363"/>
      <c r="CL613" s="1363"/>
      <c r="CM613" s="1363">
        <f t="shared" si="10"/>
        <v>0</v>
      </c>
      <c r="CN613" s="1363"/>
      <c r="CO613" s="1363"/>
      <c r="CP613" s="1363"/>
      <c r="CQ613" s="1363"/>
      <c r="CR613" s="6"/>
      <c r="CS613" s="1362">
        <f t="shared" si="11"/>
        <v>0</v>
      </c>
      <c r="CT613" s="1362"/>
      <c r="CU613" s="1362"/>
      <c r="CV613" s="1362"/>
      <c r="CW613" s="1362"/>
      <c r="CX613" s="1362">
        <f t="shared" si="12"/>
        <v>0</v>
      </c>
      <c r="CY613" s="1362"/>
      <c r="CZ613" s="1362"/>
      <c r="DA613" s="1362"/>
      <c r="DB613" s="1362"/>
      <c r="DC613" s="1362">
        <f t="shared" si="13"/>
        <v>0</v>
      </c>
      <c r="DD613" s="1362"/>
      <c r="DE613" s="1362"/>
      <c r="DF613" s="1362"/>
      <c r="DG613" s="1362"/>
      <c r="DH613" s="1362">
        <f t="shared" si="14"/>
        <v>0</v>
      </c>
      <c r="DI613" s="1362"/>
      <c r="DJ613" s="1362"/>
      <c r="DK613" s="1362"/>
      <c r="DL613" s="1362"/>
      <c r="DM613" s="1362">
        <f t="shared" si="15"/>
        <v>0</v>
      </c>
      <c r="DN613" s="1362"/>
      <c r="DO613" s="1362"/>
      <c r="DP613" s="1362"/>
      <c r="DQ613" s="1362"/>
      <c r="DR613" s="1362">
        <f t="shared" si="16"/>
        <v>0</v>
      </c>
      <c r="DS613" s="1362"/>
      <c r="DT613" s="1362"/>
      <c r="DU613" s="1362"/>
      <c r="DV613" s="1362"/>
      <c r="DX613" s="1357" t="str">
        <f t="shared" si="17"/>
        <v/>
      </c>
      <c r="DY613" s="1358"/>
      <c r="DZ613" s="1358"/>
      <c r="EA613" s="1358"/>
      <c r="EB613" s="1359"/>
      <c r="EC613" s="1357" t="str">
        <f t="shared" si="18"/>
        <v/>
      </c>
      <c r="ED613" s="1358"/>
      <c r="EE613" s="1358"/>
      <c r="EF613" s="1358"/>
      <c r="EG613" s="1359"/>
      <c r="EH613" s="1357" t="str">
        <f t="shared" si="19"/>
        <v/>
      </c>
      <c r="EI613" s="1358"/>
      <c r="EJ613" s="1358"/>
      <c r="EK613" s="1358"/>
      <c r="EL613" s="1359"/>
      <c r="EM613" s="1357" t="str">
        <f t="shared" si="20"/>
        <v/>
      </c>
      <c r="EN613" s="1358"/>
      <c r="EO613" s="1358"/>
      <c r="EP613" s="1358"/>
      <c r="EQ613" s="1359"/>
      <c r="ER613" s="1357" t="str">
        <f t="shared" si="21"/>
        <v/>
      </c>
      <c r="ES613" s="1358"/>
      <c r="ET613" s="1358"/>
      <c r="EU613" s="1358"/>
      <c r="EV613" s="1359"/>
      <c r="EW613" s="1357" t="str">
        <f t="shared" si="22"/>
        <v/>
      </c>
      <c r="EX613" s="1358"/>
      <c r="EY613" s="1358"/>
      <c r="EZ613" s="1358"/>
      <c r="FA613" s="1359"/>
    </row>
    <row r="614" spans="1:157" ht="12.95" customHeight="1">
      <c r="B614" t="s">
        <v>18</v>
      </c>
      <c r="H614" s="1467"/>
      <c r="I614" s="1467"/>
      <c r="J614" s="1467"/>
      <c r="K614" s="1467"/>
      <c r="L614" s="1467"/>
      <c r="M614" s="1467"/>
      <c r="N614" s="1467"/>
      <c r="O614" s="1467"/>
      <c r="P614" s="1467"/>
      <c r="Q614" s="1467"/>
      <c r="R614" s="1467"/>
      <c r="U614" t="s">
        <v>18</v>
      </c>
      <c r="AA614" s="1467"/>
      <c r="AB614" s="1467"/>
      <c r="AC614" s="1467"/>
      <c r="AD614" s="1467"/>
      <c r="AE614" s="1467"/>
      <c r="AF614" s="1467"/>
      <c r="AG614" s="1467"/>
      <c r="AH614" s="1467"/>
      <c r="AI614" s="1467"/>
      <c r="AJ614" s="1467"/>
      <c r="AK614" s="1467"/>
      <c r="AU614" s="934"/>
      <c r="AV614" s="934"/>
      <c r="AW614" s="934"/>
      <c r="AX614" s="934"/>
      <c r="AY614" s="934"/>
      <c r="AZ614" s="3"/>
      <c r="BA614" s="3"/>
      <c r="BB614" s="3"/>
      <c r="BC614" s="3"/>
      <c r="BD614" s="3"/>
      <c r="BE614" s="1357">
        <f t="shared" si="1"/>
        <v>0</v>
      </c>
      <c r="BF614" s="1359"/>
      <c r="BG614" s="1367">
        <f t="shared" si="2"/>
        <v>0</v>
      </c>
      <c r="BH614" s="1368"/>
      <c r="BI614" s="1357">
        <f t="shared" si="3"/>
        <v>0</v>
      </c>
      <c r="BJ614" s="1359"/>
      <c r="BK614" s="1367">
        <f t="shared" si="4"/>
        <v>0</v>
      </c>
      <c r="BL614" s="1368"/>
      <c r="BM614" s="3"/>
      <c r="BN614" s="1364">
        <f t="shared" si="5"/>
        <v>0</v>
      </c>
      <c r="BO614" s="1365"/>
      <c r="BP614" s="1365"/>
      <c r="BQ614" s="1365"/>
      <c r="BR614" s="1366"/>
      <c r="BS614" s="1363">
        <f t="shared" si="6"/>
        <v>0</v>
      </c>
      <c r="BT614" s="1363"/>
      <c r="BU614" s="1363"/>
      <c r="BV614" s="1363"/>
      <c r="BW614" s="1363"/>
      <c r="BX614" s="1363">
        <f t="shared" si="7"/>
        <v>0</v>
      </c>
      <c r="BY614" s="1363"/>
      <c r="BZ614" s="1363"/>
      <c r="CA614" s="1363"/>
      <c r="CB614" s="1363"/>
      <c r="CC614" s="1363">
        <f t="shared" si="8"/>
        <v>0</v>
      </c>
      <c r="CD614" s="1363"/>
      <c r="CE614" s="1363"/>
      <c r="CF614" s="1363"/>
      <c r="CG614" s="1363"/>
      <c r="CH614" s="1363">
        <f t="shared" si="9"/>
        <v>0</v>
      </c>
      <c r="CI614" s="1363"/>
      <c r="CJ614" s="1363"/>
      <c r="CK614" s="1363"/>
      <c r="CL614" s="1363"/>
      <c r="CM614" s="1363">
        <f t="shared" si="10"/>
        <v>0</v>
      </c>
      <c r="CN614" s="1363"/>
      <c r="CO614" s="1363"/>
      <c r="CP614" s="1363"/>
      <c r="CQ614" s="1363"/>
      <c r="CR614" s="6"/>
      <c r="CS614" s="1362">
        <f t="shared" si="11"/>
        <v>0</v>
      </c>
      <c r="CT614" s="1362"/>
      <c r="CU614" s="1362"/>
      <c r="CV614" s="1362"/>
      <c r="CW614" s="1362"/>
      <c r="CX614" s="1362">
        <f t="shared" si="12"/>
        <v>0</v>
      </c>
      <c r="CY614" s="1362"/>
      <c r="CZ614" s="1362"/>
      <c r="DA614" s="1362"/>
      <c r="DB614" s="1362"/>
      <c r="DC614" s="1362">
        <f t="shared" si="13"/>
        <v>0</v>
      </c>
      <c r="DD614" s="1362"/>
      <c r="DE614" s="1362"/>
      <c r="DF614" s="1362"/>
      <c r="DG614" s="1362"/>
      <c r="DH614" s="1362">
        <f t="shared" si="14"/>
        <v>0</v>
      </c>
      <c r="DI614" s="1362"/>
      <c r="DJ614" s="1362"/>
      <c r="DK614" s="1362"/>
      <c r="DL614" s="1362"/>
      <c r="DM614" s="1362">
        <f t="shared" si="15"/>
        <v>0</v>
      </c>
      <c r="DN614" s="1362"/>
      <c r="DO614" s="1362"/>
      <c r="DP614" s="1362"/>
      <c r="DQ614" s="1362"/>
      <c r="DR614" s="1362">
        <f t="shared" si="16"/>
        <v>0</v>
      </c>
      <c r="DS614" s="1362"/>
      <c r="DT614" s="1362"/>
      <c r="DU614" s="1362"/>
      <c r="DV614" s="1362"/>
      <c r="DX614" s="1357" t="str">
        <f t="shared" si="17"/>
        <v/>
      </c>
      <c r="DY614" s="1358"/>
      <c r="DZ614" s="1358"/>
      <c r="EA614" s="1358"/>
      <c r="EB614" s="1359"/>
      <c r="EC614" s="1357" t="str">
        <f t="shared" si="18"/>
        <v/>
      </c>
      <c r="ED614" s="1358"/>
      <c r="EE614" s="1358"/>
      <c r="EF614" s="1358"/>
      <c r="EG614" s="1359"/>
      <c r="EH614" s="1357" t="str">
        <f t="shared" si="19"/>
        <v/>
      </c>
      <c r="EI614" s="1358"/>
      <c r="EJ614" s="1358"/>
      <c r="EK614" s="1358"/>
      <c r="EL614" s="1359"/>
      <c r="EM614" s="1357" t="str">
        <f t="shared" si="20"/>
        <v/>
      </c>
      <c r="EN614" s="1358"/>
      <c r="EO614" s="1358"/>
      <c r="EP614" s="1358"/>
      <c r="EQ614" s="1359"/>
      <c r="ER614" s="1357" t="str">
        <f t="shared" si="21"/>
        <v/>
      </c>
      <c r="ES614" s="1358"/>
      <c r="ET614" s="1358"/>
      <c r="EU614" s="1358"/>
      <c r="EV614" s="1359"/>
      <c r="EW614" s="1357" t="str">
        <f t="shared" si="22"/>
        <v/>
      </c>
      <c r="EX614" s="1358"/>
      <c r="EY614" s="1358"/>
      <c r="EZ614" s="1358"/>
      <c r="FA614" s="1359"/>
    </row>
    <row r="615" spans="1:157" ht="12.95" customHeight="1">
      <c r="B615" t="s">
        <v>20</v>
      </c>
      <c r="N615" s="1428" t="s">
        <v>678</v>
      </c>
      <c r="O615" s="1428"/>
      <c r="U615" t="s">
        <v>20</v>
      </c>
      <c r="AG615" s="1428" t="s">
        <v>678</v>
      </c>
      <c r="AH615" s="1428"/>
      <c r="AU615" s="934"/>
      <c r="AV615" s="934"/>
      <c r="AW615" s="934"/>
      <c r="AX615" s="934"/>
      <c r="AY615" s="934"/>
      <c r="AZ615" s="3"/>
      <c r="BA615" s="3"/>
      <c r="BB615" s="3"/>
      <c r="BC615" s="3"/>
      <c r="BD615" s="3"/>
      <c r="BE615" s="1357">
        <f t="shared" si="1"/>
        <v>0</v>
      </c>
      <c r="BF615" s="1359"/>
      <c r="BG615" s="1367">
        <f t="shared" si="2"/>
        <v>0</v>
      </c>
      <c r="BH615" s="1368"/>
      <c r="BI615" s="1357">
        <f t="shared" si="3"/>
        <v>0</v>
      </c>
      <c r="BJ615" s="1359"/>
      <c r="BK615" s="1367">
        <f t="shared" si="4"/>
        <v>0</v>
      </c>
      <c r="BL615" s="1368"/>
      <c r="BM615" s="3"/>
      <c r="BN615" s="1364">
        <f t="shared" si="5"/>
        <v>0</v>
      </c>
      <c r="BO615" s="1365"/>
      <c r="BP615" s="1365"/>
      <c r="BQ615" s="1365"/>
      <c r="BR615" s="1366"/>
      <c r="BS615" s="1363">
        <f t="shared" si="6"/>
        <v>0</v>
      </c>
      <c r="BT615" s="1363"/>
      <c r="BU615" s="1363"/>
      <c r="BV615" s="1363"/>
      <c r="BW615" s="1363"/>
      <c r="BX615" s="1363">
        <f t="shared" si="7"/>
        <v>0</v>
      </c>
      <c r="BY615" s="1363"/>
      <c r="BZ615" s="1363"/>
      <c r="CA615" s="1363"/>
      <c r="CB615" s="1363"/>
      <c r="CC615" s="1363">
        <f t="shared" si="8"/>
        <v>0</v>
      </c>
      <c r="CD615" s="1363"/>
      <c r="CE615" s="1363"/>
      <c r="CF615" s="1363"/>
      <c r="CG615" s="1363"/>
      <c r="CH615" s="1363">
        <f t="shared" si="9"/>
        <v>0</v>
      </c>
      <c r="CI615" s="1363"/>
      <c r="CJ615" s="1363"/>
      <c r="CK615" s="1363"/>
      <c r="CL615" s="1363"/>
      <c r="CM615" s="1363">
        <f t="shared" si="10"/>
        <v>0</v>
      </c>
      <c r="CN615" s="1363"/>
      <c r="CO615" s="1363"/>
      <c r="CP615" s="1363"/>
      <c r="CQ615" s="1363"/>
      <c r="CR615" s="6"/>
      <c r="CS615" s="1362">
        <f t="shared" si="11"/>
        <v>0</v>
      </c>
      <c r="CT615" s="1362"/>
      <c r="CU615" s="1362"/>
      <c r="CV615" s="1362"/>
      <c r="CW615" s="1362"/>
      <c r="CX615" s="1362">
        <f t="shared" si="12"/>
        <v>0</v>
      </c>
      <c r="CY615" s="1362"/>
      <c r="CZ615" s="1362"/>
      <c r="DA615" s="1362"/>
      <c r="DB615" s="1362"/>
      <c r="DC615" s="1362">
        <f t="shared" si="13"/>
        <v>0</v>
      </c>
      <c r="DD615" s="1362"/>
      <c r="DE615" s="1362"/>
      <c r="DF615" s="1362"/>
      <c r="DG615" s="1362"/>
      <c r="DH615" s="1362">
        <f t="shared" si="14"/>
        <v>0</v>
      </c>
      <c r="DI615" s="1362"/>
      <c r="DJ615" s="1362"/>
      <c r="DK615" s="1362"/>
      <c r="DL615" s="1362"/>
      <c r="DM615" s="1362">
        <f t="shared" si="15"/>
        <v>0</v>
      </c>
      <c r="DN615" s="1362"/>
      <c r="DO615" s="1362"/>
      <c r="DP615" s="1362"/>
      <c r="DQ615" s="1362"/>
      <c r="DR615" s="1362">
        <f t="shared" si="16"/>
        <v>0</v>
      </c>
      <c r="DS615" s="1362"/>
      <c r="DT615" s="1362"/>
      <c r="DU615" s="1362"/>
      <c r="DV615" s="1362"/>
      <c r="DX615" s="1357" t="str">
        <f t="shared" si="17"/>
        <v/>
      </c>
      <c r="DY615" s="1358"/>
      <c r="DZ615" s="1358"/>
      <c r="EA615" s="1358"/>
      <c r="EB615" s="1359"/>
      <c r="EC615" s="1357" t="str">
        <f t="shared" si="18"/>
        <v/>
      </c>
      <c r="ED615" s="1358"/>
      <c r="EE615" s="1358"/>
      <c r="EF615" s="1358"/>
      <c r="EG615" s="1359"/>
      <c r="EH615" s="1357" t="str">
        <f t="shared" si="19"/>
        <v/>
      </c>
      <c r="EI615" s="1358"/>
      <c r="EJ615" s="1358"/>
      <c r="EK615" s="1358"/>
      <c r="EL615" s="1359"/>
      <c r="EM615" s="1357" t="str">
        <f t="shared" si="20"/>
        <v/>
      </c>
      <c r="EN615" s="1358"/>
      <c r="EO615" s="1358"/>
      <c r="EP615" s="1358"/>
      <c r="EQ615" s="1359"/>
      <c r="ER615" s="1357" t="str">
        <f t="shared" si="21"/>
        <v/>
      </c>
      <c r="ES615" s="1358"/>
      <c r="ET615" s="1358"/>
      <c r="EU615" s="1358"/>
      <c r="EV615" s="1359"/>
      <c r="EW615" s="1357" t="str">
        <f t="shared" si="22"/>
        <v/>
      </c>
      <c r="EX615" s="1358"/>
      <c r="EY615" s="1358"/>
      <c r="EZ615" s="1358"/>
      <c r="FA615" s="1359"/>
    </row>
    <row r="616" spans="1:157" ht="12.95" customHeight="1">
      <c r="AZ616" s="3"/>
      <c r="BA616" s="3"/>
      <c r="BB616" s="3"/>
      <c r="BC616" s="3"/>
      <c r="BD616" s="3"/>
      <c r="BE616" s="1357">
        <f t="shared" si="1"/>
        <v>0</v>
      </c>
      <c r="BF616" s="1359"/>
      <c r="BG616" s="1367">
        <f t="shared" si="2"/>
        <v>0</v>
      </c>
      <c r="BH616" s="1368"/>
      <c r="BI616" s="1357">
        <f t="shared" si="3"/>
        <v>0</v>
      </c>
      <c r="BJ616" s="1359"/>
      <c r="BK616" s="1367">
        <f t="shared" si="4"/>
        <v>0</v>
      </c>
      <c r="BL616" s="1368"/>
      <c r="BM616" s="3"/>
      <c r="BN616" s="1364">
        <f t="shared" si="5"/>
        <v>0</v>
      </c>
      <c r="BO616" s="1365"/>
      <c r="BP616" s="1365"/>
      <c r="BQ616" s="1365"/>
      <c r="BR616" s="1366"/>
      <c r="BS616" s="1363">
        <f t="shared" si="6"/>
        <v>0</v>
      </c>
      <c r="BT616" s="1363"/>
      <c r="BU616" s="1363"/>
      <c r="BV616" s="1363"/>
      <c r="BW616" s="1363"/>
      <c r="BX616" s="1363">
        <f t="shared" si="7"/>
        <v>0</v>
      </c>
      <c r="BY616" s="1363"/>
      <c r="BZ616" s="1363"/>
      <c r="CA616" s="1363"/>
      <c r="CB616" s="1363"/>
      <c r="CC616" s="1363">
        <f t="shared" si="8"/>
        <v>0</v>
      </c>
      <c r="CD616" s="1363"/>
      <c r="CE616" s="1363"/>
      <c r="CF616" s="1363"/>
      <c r="CG616" s="1363"/>
      <c r="CH616" s="1363">
        <f t="shared" si="9"/>
        <v>0</v>
      </c>
      <c r="CI616" s="1363"/>
      <c r="CJ616" s="1363"/>
      <c r="CK616" s="1363"/>
      <c r="CL616" s="1363"/>
      <c r="CM616" s="1363">
        <f t="shared" si="10"/>
        <v>0</v>
      </c>
      <c r="CN616" s="1363"/>
      <c r="CO616" s="1363"/>
      <c r="CP616" s="1363"/>
      <c r="CQ616" s="1363"/>
      <c r="CR616" s="6"/>
      <c r="CS616" s="1362">
        <f t="shared" si="11"/>
        <v>0</v>
      </c>
      <c r="CT616" s="1362"/>
      <c r="CU616" s="1362"/>
      <c r="CV616" s="1362"/>
      <c r="CW616" s="1362"/>
      <c r="CX616" s="1362">
        <f t="shared" si="12"/>
        <v>0</v>
      </c>
      <c r="CY616" s="1362"/>
      <c r="CZ616" s="1362"/>
      <c r="DA616" s="1362"/>
      <c r="DB616" s="1362"/>
      <c r="DC616" s="1362">
        <f t="shared" si="13"/>
        <v>0</v>
      </c>
      <c r="DD616" s="1362"/>
      <c r="DE616" s="1362"/>
      <c r="DF616" s="1362"/>
      <c r="DG616" s="1362"/>
      <c r="DH616" s="1362">
        <f t="shared" si="14"/>
        <v>0</v>
      </c>
      <c r="DI616" s="1362"/>
      <c r="DJ616" s="1362"/>
      <c r="DK616" s="1362"/>
      <c r="DL616" s="1362"/>
      <c r="DM616" s="1362">
        <f t="shared" si="15"/>
        <v>0</v>
      </c>
      <c r="DN616" s="1362"/>
      <c r="DO616" s="1362"/>
      <c r="DP616" s="1362"/>
      <c r="DQ616" s="1362"/>
      <c r="DR616" s="1362">
        <f t="shared" si="16"/>
        <v>0</v>
      </c>
      <c r="DS616" s="1362"/>
      <c r="DT616" s="1362"/>
      <c r="DU616" s="1362"/>
      <c r="DV616" s="1362"/>
      <c r="DX616" s="1357" t="str">
        <f t="shared" si="17"/>
        <v/>
      </c>
      <c r="DY616" s="1358"/>
      <c r="DZ616" s="1358"/>
      <c r="EA616" s="1358"/>
      <c r="EB616" s="1359"/>
      <c r="EC616" s="1357" t="str">
        <f t="shared" si="18"/>
        <v/>
      </c>
      <c r="ED616" s="1358"/>
      <c r="EE616" s="1358"/>
      <c r="EF616" s="1358"/>
      <c r="EG616" s="1359"/>
      <c r="EH616" s="1357" t="str">
        <f t="shared" si="19"/>
        <v/>
      </c>
      <c r="EI616" s="1358"/>
      <c r="EJ616" s="1358"/>
      <c r="EK616" s="1358"/>
      <c r="EL616" s="1359"/>
      <c r="EM616" s="1357" t="str">
        <f t="shared" si="20"/>
        <v/>
      </c>
      <c r="EN616" s="1358"/>
      <c r="EO616" s="1358"/>
      <c r="EP616" s="1358"/>
      <c r="EQ616" s="1359"/>
      <c r="ER616" s="1357" t="str">
        <f t="shared" si="21"/>
        <v/>
      </c>
      <c r="ES616" s="1358"/>
      <c r="ET616" s="1358"/>
      <c r="EU616" s="1358"/>
      <c r="EV616" s="1359"/>
      <c r="EW616" s="1357" t="str">
        <f t="shared" si="22"/>
        <v/>
      </c>
      <c r="EX616" s="1358"/>
      <c r="EY616" s="1358"/>
      <c r="EZ616" s="1358"/>
      <c r="FA616" s="1359"/>
    </row>
    <row r="617" spans="1:157" ht="12.95"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57">
        <f t="shared" si="1"/>
        <v>0</v>
      </c>
      <c r="BF617" s="1359"/>
      <c r="BG617" s="1367">
        <f t="shared" si="2"/>
        <v>0</v>
      </c>
      <c r="BH617" s="1368"/>
      <c r="BI617" s="1357">
        <f t="shared" si="3"/>
        <v>0</v>
      </c>
      <c r="BJ617" s="1359"/>
      <c r="BK617" s="1367">
        <f t="shared" si="4"/>
        <v>0</v>
      </c>
      <c r="BL617" s="1368"/>
      <c r="BM617" s="3"/>
      <c r="BN617" s="1364">
        <f t="shared" si="5"/>
        <v>0</v>
      </c>
      <c r="BO617" s="1365"/>
      <c r="BP617" s="1365"/>
      <c r="BQ617" s="1365"/>
      <c r="BR617" s="1366"/>
      <c r="BS617" s="1363">
        <f t="shared" si="6"/>
        <v>0</v>
      </c>
      <c r="BT617" s="1363"/>
      <c r="BU617" s="1363"/>
      <c r="BV617" s="1363"/>
      <c r="BW617" s="1363"/>
      <c r="BX617" s="1363">
        <f t="shared" si="7"/>
        <v>0</v>
      </c>
      <c r="BY617" s="1363"/>
      <c r="BZ617" s="1363"/>
      <c r="CA617" s="1363"/>
      <c r="CB617" s="1363"/>
      <c r="CC617" s="1363">
        <f t="shared" si="8"/>
        <v>0</v>
      </c>
      <c r="CD617" s="1363"/>
      <c r="CE617" s="1363"/>
      <c r="CF617" s="1363"/>
      <c r="CG617" s="1363"/>
      <c r="CH617" s="1363">
        <f t="shared" si="9"/>
        <v>0</v>
      </c>
      <c r="CI617" s="1363"/>
      <c r="CJ617" s="1363"/>
      <c r="CK617" s="1363"/>
      <c r="CL617" s="1363"/>
      <c r="CM617" s="1363">
        <f t="shared" si="10"/>
        <v>0</v>
      </c>
      <c r="CN617" s="1363"/>
      <c r="CO617" s="1363"/>
      <c r="CP617" s="1363"/>
      <c r="CQ617" s="1363"/>
      <c r="CR617" s="6"/>
      <c r="CS617" s="1362">
        <f t="shared" si="11"/>
        <v>0</v>
      </c>
      <c r="CT617" s="1362"/>
      <c r="CU617" s="1362"/>
      <c r="CV617" s="1362"/>
      <c r="CW617" s="1362"/>
      <c r="CX617" s="1362">
        <f t="shared" si="12"/>
        <v>0</v>
      </c>
      <c r="CY617" s="1362"/>
      <c r="CZ617" s="1362"/>
      <c r="DA617" s="1362"/>
      <c r="DB617" s="1362"/>
      <c r="DC617" s="1362">
        <f t="shared" si="13"/>
        <v>0</v>
      </c>
      <c r="DD617" s="1362"/>
      <c r="DE617" s="1362"/>
      <c r="DF617" s="1362"/>
      <c r="DG617" s="1362"/>
      <c r="DH617" s="1362">
        <f t="shared" si="14"/>
        <v>0</v>
      </c>
      <c r="DI617" s="1362"/>
      <c r="DJ617" s="1362"/>
      <c r="DK617" s="1362"/>
      <c r="DL617" s="1362"/>
      <c r="DM617" s="1362">
        <f t="shared" si="15"/>
        <v>0</v>
      </c>
      <c r="DN617" s="1362"/>
      <c r="DO617" s="1362"/>
      <c r="DP617" s="1362"/>
      <c r="DQ617" s="1362"/>
      <c r="DR617" s="1362">
        <f t="shared" si="16"/>
        <v>0</v>
      </c>
      <c r="DS617" s="1362"/>
      <c r="DT617" s="1362"/>
      <c r="DU617" s="1362"/>
      <c r="DV617" s="1362"/>
      <c r="DX617" s="1357" t="str">
        <f t="shared" si="17"/>
        <v/>
      </c>
      <c r="DY617" s="1358"/>
      <c r="DZ617" s="1358"/>
      <c r="EA617" s="1358"/>
      <c r="EB617" s="1359"/>
      <c r="EC617" s="1357" t="str">
        <f t="shared" si="18"/>
        <v/>
      </c>
      <c r="ED617" s="1358"/>
      <c r="EE617" s="1358"/>
      <c r="EF617" s="1358"/>
      <c r="EG617" s="1359"/>
      <c r="EH617" s="1357" t="str">
        <f t="shared" si="19"/>
        <v/>
      </c>
      <c r="EI617" s="1358"/>
      <c r="EJ617" s="1358"/>
      <c r="EK617" s="1358"/>
      <c r="EL617" s="1359"/>
      <c r="EM617" s="1357" t="str">
        <f t="shared" si="20"/>
        <v/>
      </c>
      <c r="EN617" s="1358"/>
      <c r="EO617" s="1358"/>
      <c r="EP617" s="1358"/>
      <c r="EQ617" s="1359"/>
      <c r="ER617" s="1357" t="str">
        <f t="shared" si="21"/>
        <v/>
      </c>
      <c r="ES617" s="1358"/>
      <c r="ET617" s="1358"/>
      <c r="EU617" s="1358"/>
      <c r="EV617" s="1359"/>
      <c r="EW617" s="1357" t="str">
        <f t="shared" si="22"/>
        <v/>
      </c>
      <c r="EX617" s="1358"/>
      <c r="EY617" s="1358"/>
      <c r="EZ617" s="1358"/>
      <c r="FA617" s="1359"/>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57">
        <f t="shared" si="1"/>
        <v>0</v>
      </c>
      <c r="BF618" s="1359"/>
      <c r="BG618" s="1367">
        <f t="shared" si="2"/>
        <v>0</v>
      </c>
      <c r="BH618" s="1368"/>
      <c r="BI618" s="1357">
        <f t="shared" si="3"/>
        <v>0</v>
      </c>
      <c r="BJ618" s="1359"/>
      <c r="BK618" s="1367">
        <f t="shared" si="4"/>
        <v>0</v>
      </c>
      <c r="BL618" s="1368"/>
      <c r="BM618" s="3"/>
      <c r="BN618" s="1364">
        <f t="shared" si="5"/>
        <v>0</v>
      </c>
      <c r="BO618" s="1365"/>
      <c r="BP618" s="1365"/>
      <c r="BQ618" s="1365"/>
      <c r="BR618" s="1366"/>
      <c r="BS618" s="1363">
        <f t="shared" si="6"/>
        <v>0</v>
      </c>
      <c r="BT618" s="1363"/>
      <c r="BU618" s="1363"/>
      <c r="BV618" s="1363"/>
      <c r="BW618" s="1363"/>
      <c r="BX618" s="1363">
        <f t="shared" si="7"/>
        <v>0</v>
      </c>
      <c r="BY618" s="1363"/>
      <c r="BZ618" s="1363"/>
      <c r="CA618" s="1363"/>
      <c r="CB618" s="1363"/>
      <c r="CC618" s="1363">
        <f t="shared" si="8"/>
        <v>0</v>
      </c>
      <c r="CD618" s="1363"/>
      <c r="CE618" s="1363"/>
      <c r="CF618" s="1363"/>
      <c r="CG618" s="1363"/>
      <c r="CH618" s="1363">
        <f t="shared" si="9"/>
        <v>0</v>
      </c>
      <c r="CI618" s="1363"/>
      <c r="CJ618" s="1363"/>
      <c r="CK618" s="1363"/>
      <c r="CL618" s="1363"/>
      <c r="CM618" s="1363">
        <f t="shared" si="10"/>
        <v>0</v>
      </c>
      <c r="CN618" s="1363"/>
      <c r="CO618" s="1363"/>
      <c r="CP618" s="1363"/>
      <c r="CQ618" s="1363"/>
      <c r="CR618" s="6"/>
      <c r="CS618" s="1362">
        <f t="shared" si="11"/>
        <v>0</v>
      </c>
      <c r="CT618" s="1362"/>
      <c r="CU618" s="1362"/>
      <c r="CV618" s="1362"/>
      <c r="CW618" s="1362"/>
      <c r="CX618" s="1362">
        <f t="shared" si="12"/>
        <v>0</v>
      </c>
      <c r="CY618" s="1362"/>
      <c r="CZ618" s="1362"/>
      <c r="DA618" s="1362"/>
      <c r="DB618" s="1362"/>
      <c r="DC618" s="1362">
        <f t="shared" si="13"/>
        <v>0</v>
      </c>
      <c r="DD618" s="1362"/>
      <c r="DE618" s="1362"/>
      <c r="DF618" s="1362"/>
      <c r="DG618" s="1362"/>
      <c r="DH618" s="1362">
        <f t="shared" si="14"/>
        <v>0</v>
      </c>
      <c r="DI618" s="1362"/>
      <c r="DJ618" s="1362"/>
      <c r="DK618" s="1362"/>
      <c r="DL618" s="1362"/>
      <c r="DM618" s="1362">
        <f t="shared" si="15"/>
        <v>0</v>
      </c>
      <c r="DN618" s="1362"/>
      <c r="DO618" s="1362"/>
      <c r="DP618" s="1362"/>
      <c r="DQ618" s="1362"/>
      <c r="DR618" s="1362">
        <f t="shared" si="16"/>
        <v>0</v>
      </c>
      <c r="DS618" s="1362"/>
      <c r="DT618" s="1362"/>
      <c r="DU618" s="1362"/>
      <c r="DV618" s="1362"/>
      <c r="DX618" s="1357" t="str">
        <f t="shared" si="17"/>
        <v/>
      </c>
      <c r="DY618" s="1358"/>
      <c r="DZ618" s="1358"/>
      <c r="EA618" s="1358"/>
      <c r="EB618" s="1359"/>
      <c r="EC618" s="1357" t="str">
        <f t="shared" si="18"/>
        <v/>
      </c>
      <c r="ED618" s="1358"/>
      <c r="EE618" s="1358"/>
      <c r="EF618" s="1358"/>
      <c r="EG618" s="1359"/>
      <c r="EH618" s="1357" t="str">
        <f t="shared" si="19"/>
        <v/>
      </c>
      <c r="EI618" s="1358"/>
      <c r="EJ618" s="1358"/>
      <c r="EK618" s="1358"/>
      <c r="EL618" s="1359"/>
      <c r="EM618" s="1357" t="str">
        <f t="shared" si="20"/>
        <v/>
      </c>
      <c r="EN618" s="1358"/>
      <c r="EO618" s="1358"/>
      <c r="EP618" s="1358"/>
      <c r="EQ618" s="1359"/>
      <c r="ER618" s="1357" t="str">
        <f t="shared" si="21"/>
        <v/>
      </c>
      <c r="ES618" s="1358"/>
      <c r="ET618" s="1358"/>
      <c r="EU618" s="1358"/>
      <c r="EV618" s="1359"/>
      <c r="EW618" s="1357" t="str">
        <f t="shared" si="22"/>
        <v/>
      </c>
      <c r="EX618" s="1358"/>
      <c r="EY618" s="1358"/>
      <c r="EZ618" s="1358"/>
      <c r="FA618" s="1359"/>
    </row>
    <row r="619" spans="1:157" ht="12.95" customHeight="1">
      <c r="AZ619" s="3"/>
      <c r="BA619" s="3"/>
      <c r="BB619" s="3"/>
      <c r="BC619" s="3"/>
      <c r="BD619" s="3"/>
      <c r="BE619" s="1357">
        <f t="shared" si="1"/>
        <v>0</v>
      </c>
      <c r="BF619" s="1359"/>
      <c r="BG619" s="1367">
        <f t="shared" si="2"/>
        <v>0</v>
      </c>
      <c r="BH619" s="1368"/>
      <c r="BI619" s="1357">
        <f t="shared" si="3"/>
        <v>0</v>
      </c>
      <c r="BJ619" s="1359"/>
      <c r="BK619" s="1367">
        <f t="shared" si="4"/>
        <v>0</v>
      </c>
      <c r="BL619" s="1368"/>
      <c r="BM619" s="3"/>
      <c r="BN619" s="1364">
        <f t="shared" si="5"/>
        <v>0</v>
      </c>
      <c r="BO619" s="1365"/>
      <c r="BP619" s="1365"/>
      <c r="BQ619" s="1365"/>
      <c r="BR619" s="1366"/>
      <c r="BS619" s="1363">
        <f t="shared" si="6"/>
        <v>0</v>
      </c>
      <c r="BT619" s="1363"/>
      <c r="BU619" s="1363"/>
      <c r="BV619" s="1363"/>
      <c r="BW619" s="1363"/>
      <c r="BX619" s="1363">
        <f t="shared" si="7"/>
        <v>0</v>
      </c>
      <c r="BY619" s="1363"/>
      <c r="BZ619" s="1363"/>
      <c r="CA619" s="1363"/>
      <c r="CB619" s="1363"/>
      <c r="CC619" s="1363">
        <f t="shared" si="8"/>
        <v>0</v>
      </c>
      <c r="CD619" s="1363"/>
      <c r="CE619" s="1363"/>
      <c r="CF619" s="1363"/>
      <c r="CG619" s="1363"/>
      <c r="CH619" s="1363">
        <f t="shared" si="9"/>
        <v>0</v>
      </c>
      <c r="CI619" s="1363"/>
      <c r="CJ619" s="1363"/>
      <c r="CK619" s="1363"/>
      <c r="CL619" s="1363"/>
      <c r="CM619" s="1363">
        <f t="shared" si="10"/>
        <v>0</v>
      </c>
      <c r="CN619" s="1363"/>
      <c r="CO619" s="1363"/>
      <c r="CP619" s="1363"/>
      <c r="CQ619" s="1363"/>
      <c r="CR619" s="6"/>
      <c r="CS619" s="1362">
        <f t="shared" si="11"/>
        <v>0</v>
      </c>
      <c r="CT619" s="1362"/>
      <c r="CU619" s="1362"/>
      <c r="CV619" s="1362"/>
      <c r="CW619" s="1362"/>
      <c r="CX619" s="1362">
        <f t="shared" si="12"/>
        <v>0</v>
      </c>
      <c r="CY619" s="1362"/>
      <c r="CZ619" s="1362"/>
      <c r="DA619" s="1362"/>
      <c r="DB619" s="1362"/>
      <c r="DC619" s="1362">
        <f t="shared" si="13"/>
        <v>0</v>
      </c>
      <c r="DD619" s="1362"/>
      <c r="DE619" s="1362"/>
      <c r="DF619" s="1362"/>
      <c r="DG619" s="1362"/>
      <c r="DH619" s="1362">
        <f t="shared" si="14"/>
        <v>0</v>
      </c>
      <c r="DI619" s="1362"/>
      <c r="DJ619" s="1362"/>
      <c r="DK619" s="1362"/>
      <c r="DL619" s="1362"/>
      <c r="DM619" s="1362">
        <f t="shared" si="15"/>
        <v>0</v>
      </c>
      <c r="DN619" s="1362"/>
      <c r="DO619" s="1362"/>
      <c r="DP619" s="1362"/>
      <c r="DQ619" s="1362"/>
      <c r="DR619" s="1362">
        <f t="shared" si="16"/>
        <v>0</v>
      </c>
      <c r="DS619" s="1362"/>
      <c r="DT619" s="1362"/>
      <c r="DU619" s="1362"/>
      <c r="DV619" s="1362"/>
      <c r="DX619" s="1357" t="str">
        <f t="shared" si="17"/>
        <v/>
      </c>
      <c r="DY619" s="1358"/>
      <c r="DZ619" s="1358"/>
      <c r="EA619" s="1358"/>
      <c r="EB619" s="1359"/>
      <c r="EC619" s="1357" t="str">
        <f t="shared" si="18"/>
        <v/>
      </c>
      <c r="ED619" s="1358"/>
      <c r="EE619" s="1358"/>
      <c r="EF619" s="1358"/>
      <c r="EG619" s="1359"/>
      <c r="EH619" s="1357" t="str">
        <f t="shared" si="19"/>
        <v/>
      </c>
      <c r="EI619" s="1358"/>
      <c r="EJ619" s="1358"/>
      <c r="EK619" s="1358"/>
      <c r="EL619" s="1359"/>
      <c r="EM619" s="1357" t="str">
        <f t="shared" si="20"/>
        <v/>
      </c>
      <c r="EN619" s="1358"/>
      <c r="EO619" s="1358"/>
      <c r="EP619" s="1358"/>
      <c r="EQ619" s="1359"/>
      <c r="ER619" s="1357" t="str">
        <f t="shared" si="21"/>
        <v/>
      </c>
      <c r="ES619" s="1358"/>
      <c r="ET619" s="1358"/>
      <c r="EU619" s="1358"/>
      <c r="EV619" s="1359"/>
      <c r="EW619" s="1357" t="str">
        <f t="shared" si="22"/>
        <v/>
      </c>
      <c r="EX619" s="1358"/>
      <c r="EY619" s="1358"/>
      <c r="EZ619" s="1358"/>
      <c r="FA619" s="1359"/>
    </row>
    <row r="620" spans="1:157" ht="12.95" customHeight="1">
      <c r="A620" s="2" t="s">
        <v>320</v>
      </c>
      <c r="B620" s="2"/>
      <c r="C620" s="2" t="s">
        <v>21</v>
      </c>
      <c r="AZ620" s="3"/>
      <c r="BA620" s="3"/>
      <c r="BB620" s="3"/>
      <c r="BC620" s="3"/>
      <c r="BD620" s="3"/>
      <c r="BE620" s="1357">
        <f t="shared" si="1"/>
        <v>0</v>
      </c>
      <c r="BF620" s="1359"/>
      <c r="BG620" s="1367">
        <f t="shared" si="2"/>
        <v>0</v>
      </c>
      <c r="BH620" s="1368"/>
      <c r="BI620" s="1357">
        <f t="shared" si="3"/>
        <v>0</v>
      </c>
      <c r="BJ620" s="1359"/>
      <c r="BK620" s="1367">
        <f t="shared" si="4"/>
        <v>0</v>
      </c>
      <c r="BL620" s="1368"/>
      <c r="BM620" s="3"/>
      <c r="BN620" s="1364">
        <f t="shared" si="5"/>
        <v>0</v>
      </c>
      <c r="BO620" s="1365"/>
      <c r="BP620" s="1365"/>
      <c r="BQ620" s="1365"/>
      <c r="BR620" s="1366"/>
      <c r="BS620" s="1363">
        <f t="shared" si="6"/>
        <v>0</v>
      </c>
      <c r="BT620" s="1363"/>
      <c r="BU620" s="1363"/>
      <c r="BV620" s="1363"/>
      <c r="BW620" s="1363"/>
      <c r="BX620" s="1363">
        <f t="shared" si="7"/>
        <v>0</v>
      </c>
      <c r="BY620" s="1363"/>
      <c r="BZ620" s="1363"/>
      <c r="CA620" s="1363"/>
      <c r="CB620" s="1363"/>
      <c r="CC620" s="1363">
        <f t="shared" si="8"/>
        <v>0</v>
      </c>
      <c r="CD620" s="1363"/>
      <c r="CE620" s="1363"/>
      <c r="CF620" s="1363"/>
      <c r="CG620" s="1363"/>
      <c r="CH620" s="1363">
        <f t="shared" si="9"/>
        <v>0</v>
      </c>
      <c r="CI620" s="1363"/>
      <c r="CJ620" s="1363"/>
      <c r="CK620" s="1363"/>
      <c r="CL620" s="1363"/>
      <c r="CM620" s="1363">
        <f t="shared" si="10"/>
        <v>0</v>
      </c>
      <c r="CN620" s="1363"/>
      <c r="CO620" s="1363"/>
      <c r="CP620" s="1363"/>
      <c r="CQ620" s="1363"/>
      <c r="CR620" s="6"/>
      <c r="CS620" s="1362">
        <f t="shared" si="11"/>
        <v>0</v>
      </c>
      <c r="CT620" s="1362"/>
      <c r="CU620" s="1362"/>
      <c r="CV620" s="1362"/>
      <c r="CW620" s="1362"/>
      <c r="CX620" s="1362">
        <f t="shared" si="12"/>
        <v>0</v>
      </c>
      <c r="CY620" s="1362"/>
      <c r="CZ620" s="1362"/>
      <c r="DA620" s="1362"/>
      <c r="DB620" s="1362"/>
      <c r="DC620" s="1362">
        <f t="shared" si="13"/>
        <v>0</v>
      </c>
      <c r="DD620" s="1362"/>
      <c r="DE620" s="1362"/>
      <c r="DF620" s="1362"/>
      <c r="DG620" s="1362"/>
      <c r="DH620" s="1362">
        <f t="shared" si="14"/>
        <v>0</v>
      </c>
      <c r="DI620" s="1362"/>
      <c r="DJ620" s="1362"/>
      <c r="DK620" s="1362"/>
      <c r="DL620" s="1362"/>
      <c r="DM620" s="1362">
        <f t="shared" si="15"/>
        <v>0</v>
      </c>
      <c r="DN620" s="1362"/>
      <c r="DO620" s="1362"/>
      <c r="DP620" s="1362"/>
      <c r="DQ620" s="1362"/>
      <c r="DR620" s="1362">
        <f t="shared" si="16"/>
        <v>0</v>
      </c>
      <c r="DS620" s="1362"/>
      <c r="DT620" s="1362"/>
      <c r="DU620" s="1362"/>
      <c r="DV620" s="1362"/>
      <c r="DX620" s="1357" t="str">
        <f t="shared" si="17"/>
        <v/>
      </c>
      <c r="DY620" s="1358"/>
      <c r="DZ620" s="1358"/>
      <c r="EA620" s="1358"/>
      <c r="EB620" s="1359"/>
      <c r="EC620" s="1357" t="str">
        <f t="shared" si="18"/>
        <v/>
      </c>
      <c r="ED620" s="1358"/>
      <c r="EE620" s="1358"/>
      <c r="EF620" s="1358"/>
      <c r="EG620" s="1359"/>
      <c r="EH620" s="1357" t="str">
        <f t="shared" si="19"/>
        <v/>
      </c>
      <c r="EI620" s="1358"/>
      <c r="EJ620" s="1358"/>
      <c r="EK620" s="1358"/>
      <c r="EL620" s="1359"/>
      <c r="EM620" s="1357" t="str">
        <f t="shared" si="20"/>
        <v/>
      </c>
      <c r="EN620" s="1358"/>
      <c r="EO620" s="1358"/>
      <c r="EP620" s="1358"/>
      <c r="EQ620" s="1359"/>
      <c r="ER620" s="1357" t="str">
        <f t="shared" si="21"/>
        <v/>
      </c>
      <c r="ES620" s="1358"/>
      <c r="ET620" s="1358"/>
      <c r="EU620" s="1358"/>
      <c r="EV620" s="1359"/>
      <c r="EW620" s="1357" t="str">
        <f t="shared" si="22"/>
        <v/>
      </c>
      <c r="EX620" s="1358"/>
      <c r="EY620" s="1358"/>
      <c r="EZ620" s="1358"/>
      <c r="FA620" s="1359"/>
    </row>
    <row r="621" spans="1:157" ht="12.95" customHeight="1">
      <c r="A621" s="2"/>
      <c r="B621" s="2"/>
      <c r="C621" s="2"/>
      <c r="AZ621" s="3"/>
      <c r="BA621" s="3"/>
      <c r="BB621" s="3"/>
      <c r="BC621" s="3"/>
      <c r="BD621" s="3"/>
      <c r="BE621" s="1357">
        <f t="shared" si="1"/>
        <v>0</v>
      </c>
      <c r="BF621" s="1359"/>
      <c r="BG621" s="1367">
        <f t="shared" si="2"/>
        <v>0</v>
      </c>
      <c r="BH621" s="1368"/>
      <c r="BI621" s="1357">
        <f t="shared" si="3"/>
        <v>0</v>
      </c>
      <c r="BJ621" s="1359"/>
      <c r="BK621" s="1367">
        <f t="shared" si="4"/>
        <v>0</v>
      </c>
      <c r="BL621" s="1368"/>
      <c r="BM621" s="3"/>
      <c r="BN621" s="1364">
        <f t="shared" si="5"/>
        <v>0</v>
      </c>
      <c r="BO621" s="1365"/>
      <c r="BP621" s="1365"/>
      <c r="BQ621" s="1365"/>
      <c r="BR621" s="1366"/>
      <c r="BS621" s="1363">
        <f t="shared" si="6"/>
        <v>0</v>
      </c>
      <c r="BT621" s="1363"/>
      <c r="BU621" s="1363"/>
      <c r="BV621" s="1363"/>
      <c r="BW621" s="1363"/>
      <c r="BX621" s="1363">
        <f t="shared" si="7"/>
        <v>0</v>
      </c>
      <c r="BY621" s="1363"/>
      <c r="BZ621" s="1363"/>
      <c r="CA621" s="1363"/>
      <c r="CB621" s="1363"/>
      <c r="CC621" s="1363">
        <f t="shared" si="8"/>
        <v>0</v>
      </c>
      <c r="CD621" s="1363"/>
      <c r="CE621" s="1363"/>
      <c r="CF621" s="1363"/>
      <c r="CG621" s="1363"/>
      <c r="CH621" s="1363">
        <f t="shared" si="9"/>
        <v>0</v>
      </c>
      <c r="CI621" s="1363"/>
      <c r="CJ621" s="1363"/>
      <c r="CK621" s="1363"/>
      <c r="CL621" s="1363"/>
      <c r="CM621" s="1363">
        <f t="shared" si="10"/>
        <v>0</v>
      </c>
      <c r="CN621" s="1363"/>
      <c r="CO621" s="1363"/>
      <c r="CP621" s="1363"/>
      <c r="CQ621" s="1363"/>
      <c r="CR621" s="6"/>
      <c r="CS621" s="1362">
        <f t="shared" si="11"/>
        <v>0</v>
      </c>
      <c r="CT621" s="1362"/>
      <c r="CU621" s="1362"/>
      <c r="CV621" s="1362"/>
      <c r="CW621" s="1362"/>
      <c r="CX621" s="1362">
        <f t="shared" si="12"/>
        <v>0</v>
      </c>
      <c r="CY621" s="1362"/>
      <c r="CZ621" s="1362"/>
      <c r="DA621" s="1362"/>
      <c r="DB621" s="1362"/>
      <c r="DC621" s="1362">
        <f t="shared" si="13"/>
        <v>0</v>
      </c>
      <c r="DD621" s="1362"/>
      <c r="DE621" s="1362"/>
      <c r="DF621" s="1362"/>
      <c r="DG621" s="1362"/>
      <c r="DH621" s="1362">
        <f t="shared" si="14"/>
        <v>0</v>
      </c>
      <c r="DI621" s="1362"/>
      <c r="DJ621" s="1362"/>
      <c r="DK621" s="1362"/>
      <c r="DL621" s="1362"/>
      <c r="DM621" s="1362">
        <f t="shared" si="15"/>
        <v>0</v>
      </c>
      <c r="DN621" s="1362"/>
      <c r="DO621" s="1362"/>
      <c r="DP621" s="1362"/>
      <c r="DQ621" s="1362"/>
      <c r="DR621" s="1362">
        <f t="shared" si="16"/>
        <v>0</v>
      </c>
      <c r="DS621" s="1362"/>
      <c r="DT621" s="1362"/>
      <c r="DU621" s="1362"/>
      <c r="DV621" s="1362"/>
      <c r="DX621" s="1357" t="str">
        <f t="shared" si="17"/>
        <v/>
      </c>
      <c r="DY621" s="1358"/>
      <c r="DZ621" s="1358"/>
      <c r="EA621" s="1358"/>
      <c r="EB621" s="1359"/>
      <c r="EC621" s="1357" t="str">
        <f t="shared" si="18"/>
        <v/>
      </c>
      <c r="ED621" s="1358"/>
      <c r="EE621" s="1358"/>
      <c r="EF621" s="1358"/>
      <c r="EG621" s="1359"/>
      <c r="EH621" s="1357" t="str">
        <f t="shared" si="19"/>
        <v/>
      </c>
      <c r="EI621" s="1358"/>
      <c r="EJ621" s="1358"/>
      <c r="EK621" s="1358"/>
      <c r="EL621" s="1359"/>
      <c r="EM621" s="1357" t="str">
        <f t="shared" si="20"/>
        <v/>
      </c>
      <c r="EN621" s="1358"/>
      <c r="EO621" s="1358"/>
      <c r="EP621" s="1358"/>
      <c r="EQ621" s="1359"/>
      <c r="ER621" s="1357" t="str">
        <f t="shared" si="21"/>
        <v/>
      </c>
      <c r="ES621" s="1358"/>
      <c r="ET621" s="1358"/>
      <c r="EU621" s="1358"/>
      <c r="EV621" s="1359"/>
      <c r="EW621" s="1357" t="str">
        <f t="shared" si="22"/>
        <v/>
      </c>
      <c r="EX621" s="1358"/>
      <c r="EY621" s="1358"/>
      <c r="EZ621" s="1358"/>
      <c r="FA621" s="1359"/>
    </row>
    <row r="622" spans="1:157" ht="12.95" customHeight="1">
      <c r="C622" s="2" t="s">
        <v>2419</v>
      </c>
      <c r="AZ622" s="3"/>
      <c r="BA622" s="3"/>
      <c r="BB622" s="3"/>
      <c r="BC622" s="3"/>
      <c r="BD622" s="3"/>
      <c r="BE622" s="1357">
        <f t="shared" si="1"/>
        <v>0</v>
      </c>
      <c r="BF622" s="1359"/>
      <c r="BG622" s="1367">
        <f t="shared" si="2"/>
        <v>0</v>
      </c>
      <c r="BH622" s="1368"/>
      <c r="BI622" s="1357">
        <f t="shared" si="3"/>
        <v>0</v>
      </c>
      <c r="BJ622" s="1359"/>
      <c r="BK622" s="1367">
        <f t="shared" si="4"/>
        <v>0</v>
      </c>
      <c r="BL622" s="1368"/>
      <c r="BM622" s="3"/>
      <c r="BN622" s="1364">
        <f t="shared" si="5"/>
        <v>0</v>
      </c>
      <c r="BO622" s="1365"/>
      <c r="BP622" s="1365"/>
      <c r="BQ622" s="1365"/>
      <c r="BR622" s="1366"/>
      <c r="BS622" s="1363">
        <f t="shared" si="6"/>
        <v>0</v>
      </c>
      <c r="BT622" s="1363"/>
      <c r="BU622" s="1363"/>
      <c r="BV622" s="1363"/>
      <c r="BW622" s="1363"/>
      <c r="BX622" s="1363">
        <f t="shared" si="7"/>
        <v>0</v>
      </c>
      <c r="BY622" s="1363"/>
      <c r="BZ622" s="1363"/>
      <c r="CA622" s="1363"/>
      <c r="CB622" s="1363"/>
      <c r="CC622" s="1363">
        <f t="shared" si="8"/>
        <v>0</v>
      </c>
      <c r="CD622" s="1363"/>
      <c r="CE622" s="1363"/>
      <c r="CF622" s="1363"/>
      <c r="CG622" s="1363"/>
      <c r="CH622" s="1363">
        <f t="shared" si="9"/>
        <v>0</v>
      </c>
      <c r="CI622" s="1363"/>
      <c r="CJ622" s="1363"/>
      <c r="CK622" s="1363"/>
      <c r="CL622" s="1363"/>
      <c r="CM622" s="1363">
        <f t="shared" si="10"/>
        <v>0</v>
      </c>
      <c r="CN622" s="1363"/>
      <c r="CO622" s="1363"/>
      <c r="CP622" s="1363"/>
      <c r="CQ622" s="1363"/>
      <c r="CR622" s="6"/>
      <c r="CS622" s="1362">
        <f t="shared" si="11"/>
        <v>0</v>
      </c>
      <c r="CT622" s="1362"/>
      <c r="CU622" s="1362"/>
      <c r="CV622" s="1362"/>
      <c r="CW622" s="1362"/>
      <c r="CX622" s="1362">
        <f t="shared" si="12"/>
        <v>0</v>
      </c>
      <c r="CY622" s="1362"/>
      <c r="CZ622" s="1362"/>
      <c r="DA622" s="1362"/>
      <c r="DB622" s="1362"/>
      <c r="DC622" s="1362">
        <f t="shared" si="13"/>
        <v>0</v>
      </c>
      <c r="DD622" s="1362"/>
      <c r="DE622" s="1362"/>
      <c r="DF622" s="1362"/>
      <c r="DG622" s="1362"/>
      <c r="DH622" s="1362">
        <f t="shared" si="14"/>
        <v>0</v>
      </c>
      <c r="DI622" s="1362"/>
      <c r="DJ622" s="1362"/>
      <c r="DK622" s="1362"/>
      <c r="DL622" s="1362"/>
      <c r="DM622" s="1362">
        <f t="shared" si="15"/>
        <v>0</v>
      </c>
      <c r="DN622" s="1362"/>
      <c r="DO622" s="1362"/>
      <c r="DP622" s="1362"/>
      <c r="DQ622" s="1362"/>
      <c r="DR622" s="1362">
        <f t="shared" si="16"/>
        <v>0</v>
      </c>
      <c r="DS622" s="1362"/>
      <c r="DT622" s="1362"/>
      <c r="DU622" s="1362"/>
      <c r="DV622" s="1362"/>
      <c r="DX622" s="1357" t="str">
        <f t="shared" si="17"/>
        <v/>
      </c>
      <c r="DY622" s="1358"/>
      <c r="DZ622" s="1358"/>
      <c r="EA622" s="1358"/>
      <c r="EB622" s="1359"/>
      <c r="EC622" s="1357" t="str">
        <f t="shared" si="18"/>
        <v/>
      </c>
      <c r="ED622" s="1358"/>
      <c r="EE622" s="1358"/>
      <c r="EF622" s="1358"/>
      <c r="EG622" s="1359"/>
      <c r="EH622" s="1357" t="str">
        <f t="shared" si="19"/>
        <v/>
      </c>
      <c r="EI622" s="1358"/>
      <c r="EJ622" s="1358"/>
      <c r="EK622" s="1358"/>
      <c r="EL622" s="1359"/>
      <c r="EM622" s="1357" t="str">
        <f t="shared" si="20"/>
        <v/>
      </c>
      <c r="EN622" s="1358"/>
      <c r="EO622" s="1358"/>
      <c r="EP622" s="1358"/>
      <c r="EQ622" s="1359"/>
      <c r="ER622" s="1357" t="str">
        <f t="shared" si="21"/>
        <v/>
      </c>
      <c r="ES622" s="1358"/>
      <c r="ET622" s="1358"/>
      <c r="EU622" s="1358"/>
      <c r="EV622" s="1359"/>
      <c r="EW622" s="1357" t="str">
        <f t="shared" si="22"/>
        <v/>
      </c>
      <c r="EX622" s="1358"/>
      <c r="EY622" s="1358"/>
      <c r="EZ622" s="1358"/>
      <c r="FA622" s="1359"/>
    </row>
    <row r="623" spans="1:157" ht="12.95" customHeight="1">
      <c r="B623" s="546"/>
      <c r="C623" s="2"/>
      <c r="AU623" s="3"/>
      <c r="AZ623" s="3"/>
      <c r="BA623" s="3"/>
      <c r="BB623" s="3"/>
      <c r="BC623" s="3"/>
      <c r="BD623" s="3"/>
      <c r="BE623" s="1357">
        <f t="shared" si="1"/>
        <v>0</v>
      </c>
      <c r="BF623" s="1359"/>
      <c r="BG623" s="1367">
        <f t="shared" si="2"/>
        <v>0</v>
      </c>
      <c r="BH623" s="1368"/>
      <c r="BI623" s="1357">
        <f t="shared" si="3"/>
        <v>0</v>
      </c>
      <c r="BJ623" s="1359"/>
      <c r="BK623" s="1367">
        <f t="shared" si="4"/>
        <v>0</v>
      </c>
      <c r="BL623" s="1368"/>
      <c r="BM623" s="3"/>
      <c r="BN623" s="1364">
        <f t="shared" si="5"/>
        <v>0</v>
      </c>
      <c r="BO623" s="1365"/>
      <c r="BP623" s="1365"/>
      <c r="BQ623" s="1365"/>
      <c r="BR623" s="1366"/>
      <c r="BS623" s="1363">
        <f t="shared" si="6"/>
        <v>0</v>
      </c>
      <c r="BT623" s="1363"/>
      <c r="BU623" s="1363"/>
      <c r="BV623" s="1363"/>
      <c r="BW623" s="1363"/>
      <c r="BX623" s="1363">
        <f t="shared" si="7"/>
        <v>0</v>
      </c>
      <c r="BY623" s="1363"/>
      <c r="BZ623" s="1363"/>
      <c r="CA623" s="1363"/>
      <c r="CB623" s="1363"/>
      <c r="CC623" s="1363">
        <f t="shared" si="8"/>
        <v>0</v>
      </c>
      <c r="CD623" s="1363"/>
      <c r="CE623" s="1363"/>
      <c r="CF623" s="1363"/>
      <c r="CG623" s="1363"/>
      <c r="CH623" s="1363">
        <f t="shared" si="9"/>
        <v>0</v>
      </c>
      <c r="CI623" s="1363"/>
      <c r="CJ623" s="1363"/>
      <c r="CK623" s="1363"/>
      <c r="CL623" s="1363"/>
      <c r="CM623" s="1363">
        <f t="shared" si="10"/>
        <v>0</v>
      </c>
      <c r="CN623" s="1363"/>
      <c r="CO623" s="1363"/>
      <c r="CP623" s="1363"/>
      <c r="CQ623" s="1363"/>
      <c r="CR623" s="6"/>
      <c r="CS623" s="1362">
        <f t="shared" si="11"/>
        <v>0</v>
      </c>
      <c r="CT623" s="1362"/>
      <c r="CU623" s="1362"/>
      <c r="CV623" s="1362"/>
      <c r="CW623" s="1362"/>
      <c r="CX623" s="1362">
        <f t="shared" si="12"/>
        <v>0</v>
      </c>
      <c r="CY623" s="1362"/>
      <c r="CZ623" s="1362"/>
      <c r="DA623" s="1362"/>
      <c r="DB623" s="1362"/>
      <c r="DC623" s="1362">
        <f t="shared" si="13"/>
        <v>0</v>
      </c>
      <c r="DD623" s="1362"/>
      <c r="DE623" s="1362"/>
      <c r="DF623" s="1362"/>
      <c r="DG623" s="1362"/>
      <c r="DH623" s="1362">
        <f t="shared" si="14"/>
        <v>0</v>
      </c>
      <c r="DI623" s="1362"/>
      <c r="DJ623" s="1362"/>
      <c r="DK623" s="1362"/>
      <c r="DL623" s="1362"/>
      <c r="DM623" s="1362">
        <f t="shared" si="15"/>
        <v>0</v>
      </c>
      <c r="DN623" s="1362"/>
      <c r="DO623" s="1362"/>
      <c r="DP623" s="1362"/>
      <c r="DQ623" s="1362"/>
      <c r="DR623" s="1362">
        <f t="shared" si="16"/>
        <v>0</v>
      </c>
      <c r="DS623" s="1362"/>
      <c r="DT623" s="1362"/>
      <c r="DU623" s="1362"/>
      <c r="DV623" s="1362"/>
      <c r="DX623" s="1357" t="str">
        <f t="shared" si="17"/>
        <v/>
      </c>
      <c r="DY623" s="1358"/>
      <c r="DZ623" s="1358"/>
      <c r="EA623" s="1358"/>
      <c r="EB623" s="1359"/>
      <c r="EC623" s="1357" t="str">
        <f t="shared" si="18"/>
        <v/>
      </c>
      <c r="ED623" s="1358"/>
      <c r="EE623" s="1358"/>
      <c r="EF623" s="1358"/>
      <c r="EG623" s="1359"/>
      <c r="EH623" s="1357" t="str">
        <f t="shared" si="19"/>
        <v/>
      </c>
      <c r="EI623" s="1358"/>
      <c r="EJ623" s="1358"/>
      <c r="EK623" s="1358"/>
      <c r="EL623" s="1359"/>
      <c r="EM623" s="1357" t="str">
        <f t="shared" si="20"/>
        <v/>
      </c>
      <c r="EN623" s="1358"/>
      <c r="EO623" s="1358"/>
      <c r="EP623" s="1358"/>
      <c r="EQ623" s="1359"/>
      <c r="ER623" s="1357" t="str">
        <f t="shared" si="21"/>
        <v/>
      </c>
      <c r="ES623" s="1358"/>
      <c r="ET623" s="1358"/>
      <c r="EU623" s="1358"/>
      <c r="EV623" s="1359"/>
      <c r="EW623" s="1357" t="str">
        <f t="shared" si="22"/>
        <v/>
      </c>
      <c r="EX623" s="1358"/>
      <c r="EY623" s="1358"/>
      <c r="EZ623" s="1358"/>
      <c r="FA623" s="1359"/>
    </row>
    <row r="624" spans="1:157" ht="12.95" customHeight="1">
      <c r="B624" s="1695" t="s">
        <v>2421</v>
      </c>
      <c r="C624" s="1695"/>
      <c r="D624" s="1695"/>
      <c r="E624" s="1695"/>
      <c r="F624" s="1695"/>
      <c r="G624" s="1695"/>
      <c r="H624" s="1695"/>
      <c r="I624" s="1695"/>
      <c r="J624" s="1695"/>
      <c r="K624" s="1695"/>
      <c r="L624" s="1695"/>
      <c r="M624" s="1600" t="s">
        <v>2422</v>
      </c>
      <c r="N624" s="1600"/>
      <c r="O624" s="1600"/>
      <c r="P624" s="1600"/>
      <c r="Q624" s="1600" t="s">
        <v>2043</v>
      </c>
      <c r="R624" s="1600"/>
      <c r="S624" s="1600"/>
      <c r="T624" s="1600" t="s">
        <v>2041</v>
      </c>
      <c r="U624" s="1600"/>
      <c r="V624" s="1600"/>
      <c r="W624" s="1839" t="s">
        <v>462</v>
      </c>
      <c r="X624" s="1839"/>
      <c r="Y624" s="1839"/>
      <c r="Z624" s="1370" t="s">
        <v>2451</v>
      </c>
      <c r="AA624" s="1370"/>
      <c r="AB624" s="1371"/>
      <c r="AC624" s="1606" t="s">
        <v>1864</v>
      </c>
      <c r="AD624" s="1607"/>
      <c r="AE624" s="1608"/>
      <c r="AF624" s="1369" t="s">
        <v>2230</v>
      </c>
      <c r="AG624" s="1370"/>
      <c r="AH624" s="1370"/>
      <c r="AI624" s="1370"/>
      <c r="AJ624" s="1371"/>
      <c r="AK624" s="1830" t="s">
        <v>2231</v>
      </c>
      <c r="AL624" s="1831"/>
      <c r="AM624" s="1831"/>
      <c r="AN624" s="1832"/>
      <c r="AO624" s="1600" t="s">
        <v>463</v>
      </c>
      <c r="AP624" s="1600"/>
      <c r="AQ624" s="1600"/>
      <c r="AR624" s="1600"/>
      <c r="AS624" s="1600"/>
      <c r="AU624" s="3"/>
      <c r="AZ624" s="3"/>
      <c r="BA624" s="3"/>
      <c r="BB624" s="3"/>
      <c r="BC624" s="3"/>
      <c r="BD624" s="3"/>
      <c r="BE624" s="1357">
        <f t="shared" si="1"/>
        <v>0</v>
      </c>
      <c r="BF624" s="1359"/>
      <c r="BG624" s="1367">
        <f t="shared" si="2"/>
        <v>0</v>
      </c>
      <c r="BH624" s="1368"/>
      <c r="BI624" s="1357">
        <f t="shared" si="3"/>
        <v>0</v>
      </c>
      <c r="BJ624" s="1359"/>
      <c r="BK624" s="1367">
        <f t="shared" si="4"/>
        <v>0</v>
      </c>
      <c r="BL624" s="1368"/>
      <c r="BM624" s="3"/>
      <c r="BN624" s="1364">
        <f t="shared" si="5"/>
        <v>0</v>
      </c>
      <c r="BO624" s="1365"/>
      <c r="BP624" s="1365"/>
      <c r="BQ624" s="1365"/>
      <c r="BR624" s="1366"/>
      <c r="BS624" s="1363">
        <f t="shared" si="6"/>
        <v>0</v>
      </c>
      <c r="BT624" s="1363"/>
      <c r="BU624" s="1363"/>
      <c r="BV624" s="1363"/>
      <c r="BW624" s="1363"/>
      <c r="BX624" s="1363">
        <f t="shared" si="7"/>
        <v>0</v>
      </c>
      <c r="BY624" s="1363"/>
      <c r="BZ624" s="1363"/>
      <c r="CA624" s="1363"/>
      <c r="CB624" s="1363"/>
      <c r="CC624" s="1363">
        <f t="shared" si="8"/>
        <v>0</v>
      </c>
      <c r="CD624" s="1363"/>
      <c r="CE624" s="1363"/>
      <c r="CF624" s="1363"/>
      <c r="CG624" s="1363"/>
      <c r="CH624" s="1363">
        <f t="shared" si="9"/>
        <v>0</v>
      </c>
      <c r="CI624" s="1363"/>
      <c r="CJ624" s="1363"/>
      <c r="CK624" s="1363"/>
      <c r="CL624" s="1363"/>
      <c r="CM624" s="1363">
        <f t="shared" si="10"/>
        <v>0</v>
      </c>
      <c r="CN624" s="1363"/>
      <c r="CO624" s="1363"/>
      <c r="CP624" s="1363"/>
      <c r="CQ624" s="1363"/>
      <c r="CR624" s="6"/>
      <c r="CS624" s="1362">
        <f t="shared" si="11"/>
        <v>0</v>
      </c>
      <c r="CT624" s="1362"/>
      <c r="CU624" s="1362"/>
      <c r="CV624" s="1362"/>
      <c r="CW624" s="1362"/>
      <c r="CX624" s="1362">
        <f t="shared" si="12"/>
        <v>0</v>
      </c>
      <c r="CY624" s="1362"/>
      <c r="CZ624" s="1362"/>
      <c r="DA624" s="1362"/>
      <c r="DB624" s="1362"/>
      <c r="DC624" s="1362">
        <f t="shared" si="13"/>
        <v>0</v>
      </c>
      <c r="DD624" s="1362"/>
      <c r="DE624" s="1362"/>
      <c r="DF624" s="1362"/>
      <c r="DG624" s="1362"/>
      <c r="DH624" s="1362">
        <f t="shared" si="14"/>
        <v>0</v>
      </c>
      <c r="DI624" s="1362"/>
      <c r="DJ624" s="1362"/>
      <c r="DK624" s="1362"/>
      <c r="DL624" s="1362"/>
      <c r="DM624" s="1362">
        <f t="shared" si="15"/>
        <v>0</v>
      </c>
      <c r="DN624" s="1362"/>
      <c r="DO624" s="1362"/>
      <c r="DP624" s="1362"/>
      <c r="DQ624" s="1362"/>
      <c r="DR624" s="1362">
        <f t="shared" si="16"/>
        <v>0</v>
      </c>
      <c r="DS624" s="1362"/>
      <c r="DT624" s="1362"/>
      <c r="DU624" s="1362"/>
      <c r="DV624" s="1362"/>
      <c r="DX624" s="1357" t="str">
        <f t="shared" si="17"/>
        <v/>
      </c>
      <c r="DY624" s="1358"/>
      <c r="DZ624" s="1358"/>
      <c r="EA624" s="1358"/>
      <c r="EB624" s="1359"/>
      <c r="EC624" s="1357" t="str">
        <f t="shared" si="18"/>
        <v/>
      </c>
      <c r="ED624" s="1358"/>
      <c r="EE624" s="1358"/>
      <c r="EF624" s="1358"/>
      <c r="EG624" s="1359"/>
      <c r="EH624" s="1357" t="str">
        <f t="shared" si="19"/>
        <v/>
      </c>
      <c r="EI624" s="1358"/>
      <c r="EJ624" s="1358"/>
      <c r="EK624" s="1358"/>
      <c r="EL624" s="1359"/>
      <c r="EM624" s="1357" t="str">
        <f t="shared" si="20"/>
        <v/>
      </c>
      <c r="EN624" s="1358"/>
      <c r="EO624" s="1358"/>
      <c r="EP624" s="1358"/>
      <c r="EQ624" s="1359"/>
      <c r="ER624" s="1357" t="str">
        <f t="shared" si="21"/>
        <v/>
      </c>
      <c r="ES624" s="1358"/>
      <c r="ET624" s="1358"/>
      <c r="EU624" s="1358"/>
      <c r="EV624" s="1359"/>
      <c r="EW624" s="1357" t="str">
        <f t="shared" si="22"/>
        <v/>
      </c>
      <c r="EX624" s="1358"/>
      <c r="EY624" s="1358"/>
      <c r="EZ624" s="1358"/>
      <c r="FA624" s="1359"/>
    </row>
    <row r="625" spans="2:157" ht="12.95" customHeight="1">
      <c r="B625" s="1695"/>
      <c r="C625" s="1695"/>
      <c r="D625" s="1695"/>
      <c r="E625" s="1695"/>
      <c r="F625" s="1695"/>
      <c r="G625" s="1695"/>
      <c r="H625" s="1695"/>
      <c r="I625" s="1695"/>
      <c r="J625" s="1695"/>
      <c r="K625" s="1695"/>
      <c r="L625" s="1695"/>
      <c r="M625" s="1600"/>
      <c r="N625" s="1600"/>
      <c r="O625" s="1600"/>
      <c r="P625" s="1600"/>
      <c r="Q625" s="1600"/>
      <c r="R625" s="1600"/>
      <c r="S625" s="1600"/>
      <c r="T625" s="1600"/>
      <c r="U625" s="1600"/>
      <c r="V625" s="1600"/>
      <c r="W625" s="1839"/>
      <c r="X625" s="1839"/>
      <c r="Y625" s="1839"/>
      <c r="Z625" s="1373"/>
      <c r="AA625" s="1373"/>
      <c r="AB625" s="1374"/>
      <c r="AC625" s="1609"/>
      <c r="AD625" s="1610"/>
      <c r="AE625" s="1611"/>
      <c r="AF625" s="1372"/>
      <c r="AG625" s="1373"/>
      <c r="AH625" s="1373"/>
      <c r="AI625" s="1373"/>
      <c r="AJ625" s="1374"/>
      <c r="AK625" s="1833"/>
      <c r="AL625" s="1834"/>
      <c r="AM625" s="1834"/>
      <c r="AN625" s="1835"/>
      <c r="AO625" s="1600"/>
      <c r="AP625" s="1600"/>
      <c r="AQ625" s="1600"/>
      <c r="AR625" s="1600"/>
      <c r="AS625" s="1600"/>
      <c r="AU625" s="3"/>
      <c r="AZ625" s="3"/>
      <c r="BA625" s="3"/>
      <c r="BB625" s="3"/>
      <c r="BC625" s="3"/>
      <c r="BD625" s="3"/>
      <c r="BE625" s="1357">
        <f t="shared" si="1"/>
        <v>0</v>
      </c>
      <c r="BF625" s="1359"/>
      <c r="BG625" s="1367">
        <f t="shared" si="2"/>
        <v>0</v>
      </c>
      <c r="BH625" s="1368"/>
      <c r="BI625" s="1357">
        <f t="shared" si="3"/>
        <v>0</v>
      </c>
      <c r="BJ625" s="1359"/>
      <c r="BK625" s="1367">
        <f t="shared" si="4"/>
        <v>0</v>
      </c>
      <c r="BL625" s="1368"/>
      <c r="BM625" s="3"/>
      <c r="BN625" s="1364">
        <f t="shared" si="5"/>
        <v>0</v>
      </c>
      <c r="BO625" s="1365"/>
      <c r="BP625" s="1365"/>
      <c r="BQ625" s="1365"/>
      <c r="BR625" s="1366"/>
      <c r="BS625" s="1363">
        <f t="shared" si="6"/>
        <v>0</v>
      </c>
      <c r="BT625" s="1363"/>
      <c r="BU625" s="1363"/>
      <c r="BV625" s="1363"/>
      <c r="BW625" s="1363"/>
      <c r="BX625" s="1363">
        <f t="shared" si="7"/>
        <v>0</v>
      </c>
      <c r="BY625" s="1363"/>
      <c r="BZ625" s="1363"/>
      <c r="CA625" s="1363"/>
      <c r="CB625" s="1363"/>
      <c r="CC625" s="1363">
        <f t="shared" si="8"/>
        <v>0</v>
      </c>
      <c r="CD625" s="1363"/>
      <c r="CE625" s="1363"/>
      <c r="CF625" s="1363"/>
      <c r="CG625" s="1363"/>
      <c r="CH625" s="1363">
        <f t="shared" si="9"/>
        <v>0</v>
      </c>
      <c r="CI625" s="1363"/>
      <c r="CJ625" s="1363"/>
      <c r="CK625" s="1363"/>
      <c r="CL625" s="1363"/>
      <c r="CM625" s="1363">
        <f t="shared" si="10"/>
        <v>0</v>
      </c>
      <c r="CN625" s="1363"/>
      <c r="CO625" s="1363"/>
      <c r="CP625" s="1363"/>
      <c r="CQ625" s="1363"/>
      <c r="CR625" s="6"/>
      <c r="CS625" s="1362">
        <f t="shared" si="11"/>
        <v>0</v>
      </c>
      <c r="CT625" s="1362"/>
      <c r="CU625" s="1362"/>
      <c r="CV625" s="1362"/>
      <c r="CW625" s="1362"/>
      <c r="CX625" s="1362">
        <f t="shared" si="12"/>
        <v>0</v>
      </c>
      <c r="CY625" s="1362"/>
      <c r="CZ625" s="1362"/>
      <c r="DA625" s="1362"/>
      <c r="DB625" s="1362"/>
      <c r="DC625" s="1362">
        <f t="shared" si="13"/>
        <v>0</v>
      </c>
      <c r="DD625" s="1362"/>
      <c r="DE625" s="1362"/>
      <c r="DF625" s="1362"/>
      <c r="DG625" s="1362"/>
      <c r="DH625" s="1362">
        <f t="shared" si="14"/>
        <v>0</v>
      </c>
      <c r="DI625" s="1362"/>
      <c r="DJ625" s="1362"/>
      <c r="DK625" s="1362"/>
      <c r="DL625" s="1362"/>
      <c r="DM625" s="1362">
        <f t="shared" si="15"/>
        <v>0</v>
      </c>
      <c r="DN625" s="1362"/>
      <c r="DO625" s="1362"/>
      <c r="DP625" s="1362"/>
      <c r="DQ625" s="1362"/>
      <c r="DR625" s="1362">
        <f t="shared" si="16"/>
        <v>0</v>
      </c>
      <c r="DS625" s="1362"/>
      <c r="DT625" s="1362"/>
      <c r="DU625" s="1362"/>
      <c r="DV625" s="1362"/>
      <c r="DX625" s="1357" t="str">
        <f t="shared" si="17"/>
        <v/>
      </c>
      <c r="DY625" s="1358"/>
      <c r="DZ625" s="1358"/>
      <c r="EA625" s="1358"/>
      <c r="EB625" s="1359"/>
      <c r="EC625" s="1357" t="str">
        <f t="shared" si="18"/>
        <v/>
      </c>
      <c r="ED625" s="1358"/>
      <c r="EE625" s="1358"/>
      <c r="EF625" s="1358"/>
      <c r="EG625" s="1359"/>
      <c r="EH625" s="1357" t="str">
        <f t="shared" si="19"/>
        <v/>
      </c>
      <c r="EI625" s="1358"/>
      <c r="EJ625" s="1358"/>
      <c r="EK625" s="1358"/>
      <c r="EL625" s="1359"/>
      <c r="EM625" s="1357" t="str">
        <f t="shared" si="20"/>
        <v/>
      </c>
      <c r="EN625" s="1358"/>
      <c r="EO625" s="1358"/>
      <c r="EP625" s="1358"/>
      <c r="EQ625" s="1359"/>
      <c r="ER625" s="1357" t="str">
        <f t="shared" si="21"/>
        <v/>
      </c>
      <c r="ES625" s="1358"/>
      <c r="ET625" s="1358"/>
      <c r="EU625" s="1358"/>
      <c r="EV625" s="1359"/>
      <c r="EW625" s="1357" t="str">
        <f t="shared" si="22"/>
        <v/>
      </c>
      <c r="EX625" s="1358"/>
      <c r="EY625" s="1358"/>
      <c r="EZ625" s="1358"/>
      <c r="FA625" s="1359"/>
    </row>
    <row r="626" spans="2:157" ht="12.95" customHeight="1">
      <c r="B626" s="1695"/>
      <c r="C626" s="1695"/>
      <c r="D626" s="1695"/>
      <c r="E626" s="1695"/>
      <c r="F626" s="1695"/>
      <c r="G626" s="1695"/>
      <c r="H626" s="1695"/>
      <c r="I626" s="1695"/>
      <c r="J626" s="1695"/>
      <c r="K626" s="1695"/>
      <c r="L626" s="1695"/>
      <c r="M626" s="1600"/>
      <c r="N626" s="1600"/>
      <c r="O626" s="1600"/>
      <c r="P626" s="1600"/>
      <c r="Q626" s="1600"/>
      <c r="R626" s="1600"/>
      <c r="S626" s="1600"/>
      <c r="T626" s="1600"/>
      <c r="U626" s="1600"/>
      <c r="V626" s="1600"/>
      <c r="W626" s="1839"/>
      <c r="X626" s="1839"/>
      <c r="Y626" s="1839"/>
      <c r="Z626" s="1376"/>
      <c r="AA626" s="1376"/>
      <c r="AB626" s="1377"/>
      <c r="AC626" s="1612"/>
      <c r="AD626" s="1613"/>
      <c r="AE626" s="1614"/>
      <c r="AF626" s="1375"/>
      <c r="AG626" s="1376"/>
      <c r="AH626" s="1376"/>
      <c r="AI626" s="1376"/>
      <c r="AJ626" s="1377"/>
      <c r="AK626" s="1836"/>
      <c r="AL626" s="1837"/>
      <c r="AM626" s="1837"/>
      <c r="AN626" s="1838"/>
      <c r="AO626" s="1600"/>
      <c r="AP626" s="1600"/>
      <c r="AQ626" s="1600"/>
      <c r="AR626" s="1600"/>
      <c r="AS626" s="1600"/>
      <c r="AT626" s="3"/>
      <c r="AU626" s="3"/>
      <c r="AZ626" s="3"/>
      <c r="BA626" s="3"/>
      <c r="BB626" s="3"/>
      <c r="BC626" s="3"/>
      <c r="BD626" s="3"/>
      <c r="BE626" s="1357">
        <f t="shared" si="1"/>
        <v>0</v>
      </c>
      <c r="BF626" s="1359"/>
      <c r="BG626" s="1367">
        <f t="shared" si="2"/>
        <v>0</v>
      </c>
      <c r="BH626" s="1368"/>
      <c r="BI626" s="1357">
        <f t="shared" si="3"/>
        <v>0</v>
      </c>
      <c r="BJ626" s="1359"/>
      <c r="BK626" s="1367">
        <f t="shared" si="4"/>
        <v>0</v>
      </c>
      <c r="BL626" s="1368"/>
      <c r="BM626" s="3"/>
      <c r="BN626" s="1364">
        <f t="shared" si="5"/>
        <v>0</v>
      </c>
      <c r="BO626" s="1365"/>
      <c r="BP626" s="1365"/>
      <c r="BQ626" s="1365"/>
      <c r="BR626" s="1366"/>
      <c r="BS626" s="1363">
        <f t="shared" si="6"/>
        <v>0</v>
      </c>
      <c r="BT626" s="1363"/>
      <c r="BU626" s="1363"/>
      <c r="BV626" s="1363"/>
      <c r="BW626" s="1363"/>
      <c r="BX626" s="1363">
        <f t="shared" si="7"/>
        <v>0</v>
      </c>
      <c r="BY626" s="1363"/>
      <c r="BZ626" s="1363"/>
      <c r="CA626" s="1363"/>
      <c r="CB626" s="1363"/>
      <c r="CC626" s="1363">
        <f t="shared" si="8"/>
        <v>0</v>
      </c>
      <c r="CD626" s="1363"/>
      <c r="CE626" s="1363"/>
      <c r="CF626" s="1363"/>
      <c r="CG626" s="1363"/>
      <c r="CH626" s="1363">
        <f t="shared" si="9"/>
        <v>0</v>
      </c>
      <c r="CI626" s="1363"/>
      <c r="CJ626" s="1363"/>
      <c r="CK626" s="1363"/>
      <c r="CL626" s="1363"/>
      <c r="CM626" s="1363">
        <f t="shared" si="10"/>
        <v>0</v>
      </c>
      <c r="CN626" s="1363"/>
      <c r="CO626" s="1363"/>
      <c r="CP626" s="1363"/>
      <c r="CQ626" s="1363"/>
      <c r="CR626" s="6"/>
      <c r="CS626" s="1362">
        <f t="shared" si="11"/>
        <v>0</v>
      </c>
      <c r="CT626" s="1362"/>
      <c r="CU626" s="1362"/>
      <c r="CV626" s="1362"/>
      <c r="CW626" s="1362"/>
      <c r="CX626" s="1362">
        <f t="shared" si="12"/>
        <v>0</v>
      </c>
      <c r="CY626" s="1362"/>
      <c r="CZ626" s="1362"/>
      <c r="DA626" s="1362"/>
      <c r="DB626" s="1362"/>
      <c r="DC626" s="1362">
        <f t="shared" si="13"/>
        <v>0</v>
      </c>
      <c r="DD626" s="1362"/>
      <c r="DE626" s="1362"/>
      <c r="DF626" s="1362"/>
      <c r="DG626" s="1362"/>
      <c r="DH626" s="1362">
        <f t="shared" si="14"/>
        <v>0</v>
      </c>
      <c r="DI626" s="1362"/>
      <c r="DJ626" s="1362"/>
      <c r="DK626" s="1362"/>
      <c r="DL626" s="1362"/>
      <c r="DM626" s="1362">
        <f t="shared" si="15"/>
        <v>0</v>
      </c>
      <c r="DN626" s="1362"/>
      <c r="DO626" s="1362"/>
      <c r="DP626" s="1362"/>
      <c r="DQ626" s="1362"/>
      <c r="DR626" s="1362">
        <f t="shared" si="16"/>
        <v>0</v>
      </c>
      <c r="DS626" s="1362"/>
      <c r="DT626" s="1362"/>
      <c r="DU626" s="1362"/>
      <c r="DV626" s="1362"/>
      <c r="DX626" s="1357" t="str">
        <f t="shared" si="17"/>
        <v/>
      </c>
      <c r="DY626" s="1358"/>
      <c r="DZ626" s="1358"/>
      <c r="EA626" s="1358"/>
      <c r="EB626" s="1359"/>
      <c r="EC626" s="1357" t="str">
        <f t="shared" si="18"/>
        <v/>
      </c>
      <c r="ED626" s="1358"/>
      <c r="EE626" s="1358"/>
      <c r="EF626" s="1358"/>
      <c r="EG626" s="1359"/>
      <c r="EH626" s="1357" t="str">
        <f t="shared" si="19"/>
        <v/>
      </c>
      <c r="EI626" s="1358"/>
      <c r="EJ626" s="1358"/>
      <c r="EK626" s="1358"/>
      <c r="EL626" s="1359"/>
      <c r="EM626" s="1357" t="str">
        <f t="shared" si="20"/>
        <v/>
      </c>
      <c r="EN626" s="1358"/>
      <c r="EO626" s="1358"/>
      <c r="EP626" s="1358"/>
      <c r="EQ626" s="1359"/>
      <c r="ER626" s="1357" t="str">
        <f t="shared" si="21"/>
        <v/>
      </c>
      <c r="ES626" s="1358"/>
      <c r="ET626" s="1358"/>
      <c r="EU626" s="1358"/>
      <c r="EV626" s="1359"/>
      <c r="EW626" s="1357" t="str">
        <f t="shared" si="22"/>
        <v/>
      </c>
      <c r="EX626" s="1358"/>
      <c r="EY626" s="1358"/>
      <c r="EZ626" s="1358"/>
      <c r="FA626" s="1359"/>
    </row>
    <row r="627" spans="2:157" ht="12.95" customHeight="1">
      <c r="B627" s="51" t="s">
        <v>112</v>
      </c>
      <c r="C627" s="1605" t="s">
        <v>2718</v>
      </c>
      <c r="D627" s="1605"/>
      <c r="E627" s="1605"/>
      <c r="F627" s="1605"/>
      <c r="G627" s="1605"/>
      <c r="H627" s="1605"/>
      <c r="I627" s="1605"/>
      <c r="J627" s="1605"/>
      <c r="K627" s="1605"/>
      <c r="L627" s="1605"/>
      <c r="M627" s="1518" t="s">
        <v>2432</v>
      </c>
      <c r="N627" s="1518"/>
      <c r="O627" s="1518"/>
      <c r="P627" s="1518"/>
      <c r="Q627" s="1574">
        <f>17*12</f>
        <v>204</v>
      </c>
      <c r="R627" s="1574"/>
      <c r="S627" s="1599"/>
      <c r="T627" s="1598">
        <f>40*12</f>
        <v>480</v>
      </c>
      <c r="U627" s="1574"/>
      <c r="V627" s="1599"/>
      <c r="W627" s="1513">
        <v>0.05</v>
      </c>
      <c r="X627" s="1514"/>
      <c r="Y627" s="1515"/>
      <c r="Z627" s="1520" t="s">
        <v>2450</v>
      </c>
      <c r="AA627" s="1521"/>
      <c r="AB627" s="1522"/>
      <c r="AC627" s="1390">
        <v>1</v>
      </c>
      <c r="AD627" s="1391"/>
      <c r="AE627" s="1392"/>
      <c r="AF627" s="1602">
        <f>-PMT(W627/12,T627,AO627)*12</f>
        <v>1321093.9123956356</v>
      </c>
      <c r="AG627" s="1603"/>
      <c r="AH627" s="1603"/>
      <c r="AI627" s="1603"/>
      <c r="AJ627" s="1604"/>
      <c r="AK627" s="1526"/>
      <c r="AL627" s="1527"/>
      <c r="AM627" s="1527"/>
      <c r="AN627" s="1528"/>
      <c r="AO627" s="1628">
        <v>22831177</v>
      </c>
      <c r="AP627" s="1628"/>
      <c r="AQ627" s="1628"/>
      <c r="AR627" s="1628"/>
      <c r="AS627" s="1628"/>
      <c r="AT627" s="3"/>
      <c r="AU627" s="3"/>
      <c r="AZ627" s="3"/>
      <c r="BA627" s="3"/>
      <c r="BB627" s="3"/>
      <c r="BC627" s="3"/>
      <c r="BD627" s="3"/>
      <c r="BE627" s="1357">
        <f t="shared" si="1"/>
        <v>0</v>
      </c>
      <c r="BF627" s="1359"/>
      <c r="BG627" s="1367">
        <f t="shared" si="2"/>
        <v>0</v>
      </c>
      <c r="BH627" s="1368"/>
      <c r="BI627" s="1357">
        <f t="shared" si="3"/>
        <v>0</v>
      </c>
      <c r="BJ627" s="1359"/>
      <c r="BK627" s="1367">
        <f t="shared" si="4"/>
        <v>0</v>
      </c>
      <c r="BL627" s="1368"/>
      <c r="BM627" s="3"/>
      <c r="BN627" s="1364">
        <f t="shared" si="5"/>
        <v>0</v>
      </c>
      <c r="BO627" s="1365"/>
      <c r="BP627" s="1365"/>
      <c r="BQ627" s="1365"/>
      <c r="BR627" s="1366"/>
      <c r="BS627" s="1363">
        <f t="shared" si="6"/>
        <v>0</v>
      </c>
      <c r="BT627" s="1363"/>
      <c r="BU627" s="1363"/>
      <c r="BV627" s="1363"/>
      <c r="BW627" s="1363"/>
      <c r="BX627" s="1363">
        <f t="shared" si="7"/>
        <v>0</v>
      </c>
      <c r="BY627" s="1363"/>
      <c r="BZ627" s="1363"/>
      <c r="CA627" s="1363"/>
      <c r="CB627" s="1363"/>
      <c r="CC627" s="1363">
        <f t="shared" si="8"/>
        <v>0</v>
      </c>
      <c r="CD627" s="1363"/>
      <c r="CE627" s="1363"/>
      <c r="CF627" s="1363"/>
      <c r="CG627" s="1363"/>
      <c r="CH627" s="1363">
        <f t="shared" si="9"/>
        <v>0</v>
      </c>
      <c r="CI627" s="1363"/>
      <c r="CJ627" s="1363"/>
      <c r="CK627" s="1363"/>
      <c r="CL627" s="1363"/>
      <c r="CM627" s="1363">
        <f t="shared" si="10"/>
        <v>0</v>
      </c>
      <c r="CN627" s="1363"/>
      <c r="CO627" s="1363"/>
      <c r="CP627" s="1363"/>
      <c r="CQ627" s="1363"/>
      <c r="CR627" s="6"/>
      <c r="CS627" s="1362">
        <f t="shared" si="11"/>
        <v>0</v>
      </c>
      <c r="CT627" s="1362"/>
      <c r="CU627" s="1362"/>
      <c r="CV627" s="1362"/>
      <c r="CW627" s="1362"/>
      <c r="CX627" s="1362">
        <f t="shared" si="12"/>
        <v>0</v>
      </c>
      <c r="CY627" s="1362"/>
      <c r="CZ627" s="1362"/>
      <c r="DA627" s="1362"/>
      <c r="DB627" s="1362"/>
      <c r="DC627" s="1362">
        <f t="shared" si="13"/>
        <v>0</v>
      </c>
      <c r="DD627" s="1362"/>
      <c r="DE627" s="1362"/>
      <c r="DF627" s="1362"/>
      <c r="DG627" s="1362"/>
      <c r="DH627" s="1362">
        <f t="shared" si="14"/>
        <v>0</v>
      </c>
      <c r="DI627" s="1362"/>
      <c r="DJ627" s="1362"/>
      <c r="DK627" s="1362"/>
      <c r="DL627" s="1362"/>
      <c r="DM627" s="1362">
        <f t="shared" si="15"/>
        <v>0</v>
      </c>
      <c r="DN627" s="1362"/>
      <c r="DO627" s="1362"/>
      <c r="DP627" s="1362"/>
      <c r="DQ627" s="1362"/>
      <c r="DR627" s="1362">
        <f t="shared" si="16"/>
        <v>0</v>
      </c>
      <c r="DS627" s="1362"/>
      <c r="DT627" s="1362"/>
      <c r="DU627" s="1362"/>
      <c r="DV627" s="1362"/>
      <c r="DX627" s="1357" t="str">
        <f t="shared" si="17"/>
        <v/>
      </c>
      <c r="DY627" s="1358"/>
      <c r="DZ627" s="1358"/>
      <c r="EA627" s="1358"/>
      <c r="EB627" s="1359"/>
      <c r="EC627" s="1357" t="str">
        <f t="shared" si="18"/>
        <v/>
      </c>
      <c r="ED627" s="1358"/>
      <c r="EE627" s="1358"/>
      <c r="EF627" s="1358"/>
      <c r="EG627" s="1359"/>
      <c r="EH627" s="1357" t="str">
        <f t="shared" si="19"/>
        <v/>
      </c>
      <c r="EI627" s="1358"/>
      <c r="EJ627" s="1358"/>
      <c r="EK627" s="1358"/>
      <c r="EL627" s="1359"/>
      <c r="EM627" s="1357" t="str">
        <f t="shared" si="20"/>
        <v/>
      </c>
      <c r="EN627" s="1358"/>
      <c r="EO627" s="1358"/>
      <c r="EP627" s="1358"/>
      <c r="EQ627" s="1359"/>
      <c r="ER627" s="1357" t="str">
        <f t="shared" si="21"/>
        <v/>
      </c>
      <c r="ES627" s="1358"/>
      <c r="ET627" s="1358"/>
      <c r="EU627" s="1358"/>
      <c r="EV627" s="1359"/>
      <c r="EW627" s="1357" t="str">
        <f t="shared" si="22"/>
        <v/>
      </c>
      <c r="EX627" s="1358"/>
      <c r="EY627" s="1358"/>
      <c r="EZ627" s="1358"/>
      <c r="FA627" s="1359"/>
    </row>
    <row r="628" spans="2:157" ht="12.95" customHeight="1">
      <c r="B628" s="52" t="s">
        <v>113</v>
      </c>
      <c r="C628" s="1605" t="s">
        <v>2719</v>
      </c>
      <c r="D628" s="1605"/>
      <c r="E628" s="1605"/>
      <c r="F628" s="1605"/>
      <c r="G628" s="1605"/>
      <c r="H628" s="1605"/>
      <c r="I628" s="1605"/>
      <c r="J628" s="1605"/>
      <c r="K628" s="1605"/>
      <c r="L628" s="1605"/>
      <c r="M628" s="1518" t="s">
        <v>2435</v>
      </c>
      <c r="N628" s="1518"/>
      <c r="O628" s="1518"/>
      <c r="P628" s="1518"/>
      <c r="Q628" s="1598"/>
      <c r="R628" s="1574"/>
      <c r="S628" s="1599"/>
      <c r="T628" s="1598"/>
      <c r="U628" s="1574"/>
      <c r="V628" s="1599"/>
      <c r="W628" s="1513">
        <v>0.02</v>
      </c>
      <c r="X628" s="1514"/>
      <c r="Y628" s="1515"/>
      <c r="Z628" s="1520" t="s">
        <v>466</v>
      </c>
      <c r="AA628" s="1521"/>
      <c r="AB628" s="1522"/>
      <c r="AC628" s="1390">
        <v>2</v>
      </c>
      <c r="AD628" s="1391"/>
      <c r="AE628" s="1392"/>
      <c r="AF628" s="1602"/>
      <c r="AG628" s="1603"/>
      <c r="AH628" s="1603"/>
      <c r="AI628" s="1603"/>
      <c r="AJ628" s="1604"/>
      <c r="AK628" s="1526"/>
      <c r="AL628" s="1527"/>
      <c r="AM628" s="1527"/>
      <c r="AN628" s="1528"/>
      <c r="AO628" s="1523">
        <v>2110000</v>
      </c>
      <c r="AP628" s="1524"/>
      <c r="AQ628" s="1524"/>
      <c r="AR628" s="1524"/>
      <c r="AS628" s="1525"/>
      <c r="AT628" s="1192" t="str">
        <f>IF(AND(NOT(C627=""),C628="",NOT(C629="")),"!","")</f>
        <v/>
      </c>
      <c r="AU628" s="3"/>
      <c r="AZ628" s="3"/>
      <c r="BA628" s="3"/>
      <c r="BB628" s="3"/>
      <c r="BC628" s="3"/>
      <c r="BD628" s="3"/>
      <c r="BE628" s="1357">
        <f t="shared" si="1"/>
        <v>0</v>
      </c>
      <c r="BF628" s="1359"/>
      <c r="BG628" s="1367">
        <f t="shared" si="2"/>
        <v>0</v>
      </c>
      <c r="BH628" s="1368"/>
      <c r="BI628" s="1357">
        <f t="shared" si="3"/>
        <v>0</v>
      </c>
      <c r="BJ628" s="1359"/>
      <c r="BK628" s="1367">
        <f t="shared" si="4"/>
        <v>0</v>
      </c>
      <c r="BL628" s="1368"/>
      <c r="BM628" s="3"/>
      <c r="BN628" s="1364">
        <f t="shared" si="5"/>
        <v>0</v>
      </c>
      <c r="BO628" s="1365"/>
      <c r="BP628" s="1365"/>
      <c r="BQ628" s="1365"/>
      <c r="BR628" s="1366"/>
      <c r="BS628" s="1363">
        <f t="shared" si="6"/>
        <v>0</v>
      </c>
      <c r="BT628" s="1363"/>
      <c r="BU628" s="1363"/>
      <c r="BV628" s="1363"/>
      <c r="BW628" s="1363"/>
      <c r="BX628" s="1363">
        <f t="shared" si="7"/>
        <v>0</v>
      </c>
      <c r="BY628" s="1363"/>
      <c r="BZ628" s="1363"/>
      <c r="CA628" s="1363"/>
      <c r="CB628" s="1363"/>
      <c r="CC628" s="1363">
        <f t="shared" si="8"/>
        <v>0</v>
      </c>
      <c r="CD628" s="1363"/>
      <c r="CE628" s="1363"/>
      <c r="CF628" s="1363"/>
      <c r="CG628" s="1363"/>
      <c r="CH628" s="1363">
        <f t="shared" si="9"/>
        <v>0</v>
      </c>
      <c r="CI628" s="1363"/>
      <c r="CJ628" s="1363"/>
      <c r="CK628" s="1363"/>
      <c r="CL628" s="1363"/>
      <c r="CM628" s="1363">
        <f t="shared" si="10"/>
        <v>0</v>
      </c>
      <c r="CN628" s="1363"/>
      <c r="CO628" s="1363"/>
      <c r="CP628" s="1363"/>
      <c r="CQ628" s="1363"/>
      <c r="CR628" s="6"/>
      <c r="CS628" s="1362">
        <f t="shared" si="11"/>
        <v>0</v>
      </c>
      <c r="CT628" s="1362"/>
      <c r="CU628" s="1362"/>
      <c r="CV628" s="1362"/>
      <c r="CW628" s="1362"/>
      <c r="CX628" s="1362">
        <f t="shared" si="12"/>
        <v>0</v>
      </c>
      <c r="CY628" s="1362"/>
      <c r="CZ628" s="1362"/>
      <c r="DA628" s="1362"/>
      <c r="DB628" s="1362"/>
      <c r="DC628" s="1362">
        <f t="shared" si="13"/>
        <v>0</v>
      </c>
      <c r="DD628" s="1362"/>
      <c r="DE628" s="1362"/>
      <c r="DF628" s="1362"/>
      <c r="DG628" s="1362"/>
      <c r="DH628" s="1362">
        <f t="shared" si="14"/>
        <v>0</v>
      </c>
      <c r="DI628" s="1362"/>
      <c r="DJ628" s="1362"/>
      <c r="DK628" s="1362"/>
      <c r="DL628" s="1362"/>
      <c r="DM628" s="1362">
        <f t="shared" si="15"/>
        <v>0</v>
      </c>
      <c r="DN628" s="1362"/>
      <c r="DO628" s="1362"/>
      <c r="DP628" s="1362"/>
      <c r="DQ628" s="1362"/>
      <c r="DR628" s="1362">
        <f t="shared" si="16"/>
        <v>0</v>
      </c>
      <c r="DS628" s="1362"/>
      <c r="DT628" s="1362"/>
      <c r="DU628" s="1362"/>
      <c r="DV628" s="1362"/>
      <c r="DX628" s="1357" t="str">
        <f t="shared" si="17"/>
        <v/>
      </c>
      <c r="DY628" s="1358"/>
      <c r="DZ628" s="1358"/>
      <c r="EA628" s="1358"/>
      <c r="EB628" s="1359"/>
      <c r="EC628" s="1357" t="str">
        <f t="shared" si="18"/>
        <v/>
      </c>
      <c r="ED628" s="1358"/>
      <c r="EE628" s="1358"/>
      <c r="EF628" s="1358"/>
      <c r="EG628" s="1359"/>
      <c r="EH628" s="1357" t="str">
        <f t="shared" si="19"/>
        <v/>
      </c>
      <c r="EI628" s="1358"/>
      <c r="EJ628" s="1358"/>
      <c r="EK628" s="1358"/>
      <c r="EL628" s="1359"/>
      <c r="EM628" s="1357" t="str">
        <f t="shared" si="20"/>
        <v/>
      </c>
      <c r="EN628" s="1358"/>
      <c r="EO628" s="1358"/>
      <c r="EP628" s="1358"/>
      <c r="EQ628" s="1359"/>
      <c r="ER628" s="1357" t="str">
        <f t="shared" si="21"/>
        <v/>
      </c>
      <c r="ES628" s="1358"/>
      <c r="ET628" s="1358"/>
      <c r="EU628" s="1358"/>
      <c r="EV628" s="1359"/>
      <c r="EW628" s="1357" t="str">
        <f t="shared" si="22"/>
        <v/>
      </c>
      <c r="EX628" s="1358"/>
      <c r="EY628" s="1358"/>
      <c r="EZ628" s="1358"/>
      <c r="FA628" s="1359"/>
    </row>
    <row r="629" spans="2:157" ht="12.95" customHeight="1">
      <c r="B629" s="52" t="s">
        <v>119</v>
      </c>
      <c r="C629" s="1605" t="s">
        <v>2716</v>
      </c>
      <c r="D629" s="1605"/>
      <c r="E629" s="1605"/>
      <c r="F629" s="1605"/>
      <c r="G629" s="1605"/>
      <c r="H629" s="1605"/>
      <c r="I629" s="1605"/>
      <c r="J629" s="1605"/>
      <c r="K629" s="1605"/>
      <c r="L629" s="1605"/>
      <c r="M629" s="1518" t="s">
        <v>2441</v>
      </c>
      <c r="N629" s="1518"/>
      <c r="O629" s="1518"/>
      <c r="P629" s="1518"/>
      <c r="Q629" s="1598"/>
      <c r="R629" s="1574"/>
      <c r="S629" s="1599"/>
      <c r="T629" s="1598"/>
      <c r="U629" s="1574"/>
      <c r="V629" s="1599"/>
      <c r="W629" s="1513"/>
      <c r="X629" s="1514"/>
      <c r="Y629" s="1515"/>
      <c r="Z629" s="1520" t="s">
        <v>1291</v>
      </c>
      <c r="AA629" s="1521"/>
      <c r="AB629" s="1522"/>
      <c r="AC629" s="1390"/>
      <c r="AD629" s="1391"/>
      <c r="AE629" s="1392"/>
      <c r="AF629" s="1602"/>
      <c r="AG629" s="1603"/>
      <c r="AH629" s="1603"/>
      <c r="AI629" s="1603"/>
      <c r="AJ629" s="1604"/>
      <c r="AK629" s="1526"/>
      <c r="AL629" s="1527"/>
      <c r="AM629" s="1527"/>
      <c r="AN629" s="1528"/>
      <c r="AO629" s="1523">
        <v>530599</v>
      </c>
      <c r="AP629" s="1524"/>
      <c r="AQ629" s="1524"/>
      <c r="AR629" s="1524"/>
      <c r="AS629" s="1525"/>
      <c r="AT629" s="1192" t="str">
        <f t="shared" ref="AT629:AT638" si="23">IF(AND(NOT(C628=""),C629="",NOT(C630="")),"!","")</f>
        <v/>
      </c>
      <c r="AU629" s="3"/>
      <c r="AZ629" s="3"/>
      <c r="BA629" s="3"/>
      <c r="BB629" s="3"/>
      <c r="BC629" s="3"/>
      <c r="BD629" s="3"/>
      <c r="BE629" s="1357">
        <f t="shared" si="1"/>
        <v>0</v>
      </c>
      <c r="BF629" s="1359"/>
      <c r="BG629" s="1367">
        <f t="shared" si="2"/>
        <v>0</v>
      </c>
      <c r="BH629" s="1368"/>
      <c r="BI629" s="1357">
        <f t="shared" si="3"/>
        <v>0</v>
      </c>
      <c r="BJ629" s="1359"/>
      <c r="BK629" s="1367">
        <f t="shared" si="4"/>
        <v>0</v>
      </c>
      <c r="BL629" s="1368"/>
      <c r="BM629" s="3"/>
      <c r="BN629" s="1364">
        <f t="shared" si="5"/>
        <v>0</v>
      </c>
      <c r="BO629" s="1365"/>
      <c r="BP629" s="1365"/>
      <c r="BQ629" s="1365"/>
      <c r="BR629" s="1366"/>
      <c r="BS629" s="1363">
        <f t="shared" si="6"/>
        <v>0</v>
      </c>
      <c r="BT629" s="1363"/>
      <c r="BU629" s="1363"/>
      <c r="BV629" s="1363"/>
      <c r="BW629" s="1363"/>
      <c r="BX629" s="1363">
        <f t="shared" si="7"/>
        <v>0</v>
      </c>
      <c r="BY629" s="1363"/>
      <c r="BZ629" s="1363"/>
      <c r="CA629" s="1363"/>
      <c r="CB629" s="1363"/>
      <c r="CC629" s="1363">
        <f t="shared" si="8"/>
        <v>0</v>
      </c>
      <c r="CD629" s="1363"/>
      <c r="CE629" s="1363"/>
      <c r="CF629" s="1363"/>
      <c r="CG629" s="1363"/>
      <c r="CH629" s="1363">
        <f t="shared" si="9"/>
        <v>0</v>
      </c>
      <c r="CI629" s="1363"/>
      <c r="CJ629" s="1363"/>
      <c r="CK629" s="1363"/>
      <c r="CL629" s="1363"/>
      <c r="CM629" s="1363">
        <f t="shared" si="10"/>
        <v>0</v>
      </c>
      <c r="CN629" s="1363"/>
      <c r="CO629" s="1363"/>
      <c r="CP629" s="1363"/>
      <c r="CQ629" s="1363"/>
      <c r="CR629" s="6"/>
      <c r="CS629" s="1362">
        <f t="shared" si="11"/>
        <v>0</v>
      </c>
      <c r="CT629" s="1362"/>
      <c r="CU629" s="1362"/>
      <c r="CV629" s="1362"/>
      <c r="CW629" s="1362"/>
      <c r="CX629" s="1362">
        <f t="shared" si="12"/>
        <v>0</v>
      </c>
      <c r="CY629" s="1362"/>
      <c r="CZ629" s="1362"/>
      <c r="DA629" s="1362"/>
      <c r="DB629" s="1362"/>
      <c r="DC629" s="1362">
        <f t="shared" si="13"/>
        <v>0</v>
      </c>
      <c r="DD629" s="1362"/>
      <c r="DE629" s="1362"/>
      <c r="DF629" s="1362"/>
      <c r="DG629" s="1362"/>
      <c r="DH629" s="1362">
        <f t="shared" si="14"/>
        <v>0</v>
      </c>
      <c r="DI629" s="1362"/>
      <c r="DJ629" s="1362"/>
      <c r="DK629" s="1362"/>
      <c r="DL629" s="1362"/>
      <c r="DM629" s="1362">
        <f t="shared" si="15"/>
        <v>0</v>
      </c>
      <c r="DN629" s="1362"/>
      <c r="DO629" s="1362"/>
      <c r="DP629" s="1362"/>
      <c r="DQ629" s="1362"/>
      <c r="DR629" s="1362">
        <f t="shared" si="16"/>
        <v>0</v>
      </c>
      <c r="DS629" s="1362"/>
      <c r="DT629" s="1362"/>
      <c r="DU629" s="1362"/>
      <c r="DV629" s="1362"/>
      <c r="DX629" s="1357" t="str">
        <f t="shared" si="17"/>
        <v/>
      </c>
      <c r="DY629" s="1358"/>
      <c r="DZ629" s="1358"/>
      <c r="EA629" s="1358"/>
      <c r="EB629" s="1359"/>
      <c r="EC629" s="1357" t="str">
        <f t="shared" si="18"/>
        <v/>
      </c>
      <c r="ED629" s="1358"/>
      <c r="EE629" s="1358"/>
      <c r="EF629" s="1358"/>
      <c r="EG629" s="1359"/>
      <c r="EH629" s="1357" t="str">
        <f t="shared" si="19"/>
        <v/>
      </c>
      <c r="EI629" s="1358"/>
      <c r="EJ629" s="1358"/>
      <c r="EK629" s="1358"/>
      <c r="EL629" s="1359"/>
      <c r="EM629" s="1357" t="str">
        <f t="shared" si="20"/>
        <v/>
      </c>
      <c r="EN629" s="1358"/>
      <c r="EO629" s="1358"/>
      <c r="EP629" s="1358"/>
      <c r="EQ629" s="1359"/>
      <c r="ER629" s="1357" t="str">
        <f t="shared" si="21"/>
        <v/>
      </c>
      <c r="ES629" s="1358"/>
      <c r="ET629" s="1358"/>
      <c r="EU629" s="1358"/>
      <c r="EV629" s="1359"/>
      <c r="EW629" s="1357" t="str">
        <f t="shared" si="22"/>
        <v/>
      </c>
      <c r="EX629" s="1358"/>
      <c r="EY629" s="1358"/>
      <c r="EZ629" s="1358"/>
      <c r="FA629" s="1359"/>
    </row>
    <row r="630" spans="2:157" ht="12.95" customHeight="1">
      <c r="B630" s="52" t="s">
        <v>590</v>
      </c>
      <c r="C630" s="1605" t="s">
        <v>2738</v>
      </c>
      <c r="D630" s="1516"/>
      <c r="E630" s="1516"/>
      <c r="F630" s="1516"/>
      <c r="G630" s="1516"/>
      <c r="H630" s="1516"/>
      <c r="I630" s="1516"/>
      <c r="J630" s="1516"/>
      <c r="K630" s="1516"/>
      <c r="L630" s="1516"/>
      <c r="M630" s="1518" t="s">
        <v>2440</v>
      </c>
      <c r="N630" s="1518"/>
      <c r="O630" s="1518"/>
      <c r="P630" s="1518"/>
      <c r="Q630" s="1598"/>
      <c r="R630" s="1574"/>
      <c r="S630" s="1599"/>
      <c r="T630" s="1598"/>
      <c r="U630" s="1574"/>
      <c r="V630" s="1599"/>
      <c r="W630" s="1513"/>
      <c r="X630" s="1514"/>
      <c r="Y630" s="1515"/>
      <c r="Z630" s="1520" t="s">
        <v>1291</v>
      </c>
      <c r="AA630" s="1521"/>
      <c r="AB630" s="1522"/>
      <c r="AC630" s="1390"/>
      <c r="AD630" s="1391"/>
      <c r="AE630" s="1392"/>
      <c r="AF630" s="1602"/>
      <c r="AG630" s="1603"/>
      <c r="AH630" s="1603"/>
      <c r="AI630" s="1603"/>
      <c r="AJ630" s="1604"/>
      <c r="AK630" s="1526"/>
      <c r="AL630" s="1527"/>
      <c r="AM630" s="1527"/>
      <c r="AN630" s="1528"/>
      <c r="AO630" s="1523">
        <v>1761459</v>
      </c>
      <c r="AP630" s="1524"/>
      <c r="AQ630" s="1524"/>
      <c r="AR630" s="1524"/>
      <c r="AS630" s="1525"/>
      <c r="AT630" s="1192" t="str">
        <f t="shared" si="23"/>
        <v/>
      </c>
      <c r="AU630" s="3"/>
      <c r="AZ630" s="3"/>
      <c r="BA630" s="3"/>
      <c r="BB630" s="3"/>
      <c r="BC630" s="3"/>
      <c r="BD630" s="3"/>
      <c r="BE630" s="1357">
        <f t="shared" si="1"/>
        <v>0</v>
      </c>
      <c r="BF630" s="1359"/>
      <c r="BG630" s="1367">
        <f t="shared" si="2"/>
        <v>0</v>
      </c>
      <c r="BH630" s="1368"/>
      <c r="BI630" s="1357">
        <f t="shared" si="3"/>
        <v>0</v>
      </c>
      <c r="BJ630" s="1359"/>
      <c r="BK630" s="1367">
        <f t="shared" si="4"/>
        <v>0</v>
      </c>
      <c r="BL630" s="1368"/>
      <c r="BM630" s="3"/>
      <c r="BN630" s="1364">
        <f t="shared" si="5"/>
        <v>0</v>
      </c>
      <c r="BO630" s="1365"/>
      <c r="BP630" s="1365"/>
      <c r="BQ630" s="1365"/>
      <c r="BR630" s="1366"/>
      <c r="BS630" s="1363">
        <f t="shared" si="6"/>
        <v>0</v>
      </c>
      <c r="BT630" s="1363"/>
      <c r="BU630" s="1363"/>
      <c r="BV630" s="1363"/>
      <c r="BW630" s="1363"/>
      <c r="BX630" s="1363">
        <f t="shared" si="7"/>
        <v>0</v>
      </c>
      <c r="BY630" s="1363"/>
      <c r="BZ630" s="1363"/>
      <c r="CA630" s="1363"/>
      <c r="CB630" s="1363"/>
      <c r="CC630" s="1363">
        <f t="shared" si="8"/>
        <v>0</v>
      </c>
      <c r="CD630" s="1363"/>
      <c r="CE630" s="1363"/>
      <c r="CF630" s="1363"/>
      <c r="CG630" s="1363"/>
      <c r="CH630" s="1363">
        <f t="shared" si="9"/>
        <v>0</v>
      </c>
      <c r="CI630" s="1363"/>
      <c r="CJ630" s="1363"/>
      <c r="CK630" s="1363"/>
      <c r="CL630" s="1363"/>
      <c r="CM630" s="1363">
        <f t="shared" si="10"/>
        <v>0</v>
      </c>
      <c r="CN630" s="1363"/>
      <c r="CO630" s="1363"/>
      <c r="CP630" s="1363"/>
      <c r="CQ630" s="1363"/>
      <c r="CR630" s="6"/>
      <c r="CS630" s="1362">
        <f t="shared" si="11"/>
        <v>0</v>
      </c>
      <c r="CT630" s="1362"/>
      <c r="CU630" s="1362"/>
      <c r="CV630" s="1362"/>
      <c r="CW630" s="1362"/>
      <c r="CX630" s="1362">
        <f t="shared" si="12"/>
        <v>0</v>
      </c>
      <c r="CY630" s="1362"/>
      <c r="CZ630" s="1362"/>
      <c r="DA630" s="1362"/>
      <c r="DB630" s="1362"/>
      <c r="DC630" s="1362">
        <f t="shared" si="13"/>
        <v>0</v>
      </c>
      <c r="DD630" s="1362"/>
      <c r="DE630" s="1362"/>
      <c r="DF630" s="1362"/>
      <c r="DG630" s="1362"/>
      <c r="DH630" s="1362">
        <f t="shared" si="14"/>
        <v>0</v>
      </c>
      <c r="DI630" s="1362"/>
      <c r="DJ630" s="1362"/>
      <c r="DK630" s="1362"/>
      <c r="DL630" s="1362"/>
      <c r="DM630" s="1362">
        <f t="shared" si="15"/>
        <v>0</v>
      </c>
      <c r="DN630" s="1362"/>
      <c r="DO630" s="1362"/>
      <c r="DP630" s="1362"/>
      <c r="DQ630" s="1362"/>
      <c r="DR630" s="1362">
        <f t="shared" si="16"/>
        <v>0</v>
      </c>
      <c r="DS630" s="1362"/>
      <c r="DT630" s="1362"/>
      <c r="DU630" s="1362"/>
      <c r="DV630" s="1362"/>
      <c r="DX630" s="1357" t="str">
        <f t="shared" si="17"/>
        <v/>
      </c>
      <c r="DY630" s="1358"/>
      <c r="DZ630" s="1358"/>
      <c r="EA630" s="1358"/>
      <c r="EB630" s="1359"/>
      <c r="EC630" s="1357" t="str">
        <f t="shared" si="18"/>
        <v/>
      </c>
      <c r="ED630" s="1358"/>
      <c r="EE630" s="1358"/>
      <c r="EF630" s="1358"/>
      <c r="EG630" s="1359"/>
      <c r="EH630" s="1357" t="str">
        <f t="shared" si="19"/>
        <v/>
      </c>
      <c r="EI630" s="1358"/>
      <c r="EJ630" s="1358"/>
      <c r="EK630" s="1358"/>
      <c r="EL630" s="1359"/>
      <c r="EM630" s="1357" t="str">
        <f t="shared" si="20"/>
        <v/>
      </c>
      <c r="EN630" s="1358"/>
      <c r="EO630" s="1358"/>
      <c r="EP630" s="1358"/>
      <c r="EQ630" s="1359"/>
      <c r="ER630" s="1357" t="str">
        <f t="shared" si="21"/>
        <v/>
      </c>
      <c r="ES630" s="1358"/>
      <c r="ET630" s="1358"/>
      <c r="EU630" s="1358"/>
      <c r="EV630" s="1359"/>
      <c r="EW630" s="1357" t="str">
        <f t="shared" si="22"/>
        <v/>
      </c>
      <c r="EX630" s="1358"/>
      <c r="EY630" s="1358"/>
      <c r="EZ630" s="1358"/>
      <c r="FA630" s="1359"/>
    </row>
    <row r="631" spans="2:157" ht="12.95" customHeight="1">
      <c r="B631" s="52" t="s">
        <v>773</v>
      </c>
      <c r="C631" s="1605" t="s">
        <v>1850</v>
      </c>
      <c r="D631" s="1516"/>
      <c r="E631" s="1516"/>
      <c r="F631" s="1516"/>
      <c r="G631" s="1516"/>
      <c r="H631" s="1516"/>
      <c r="I631" s="1516"/>
      <c r="J631" s="1516"/>
      <c r="K631" s="1516"/>
      <c r="L631" s="1516"/>
      <c r="M631" s="1518" t="s">
        <v>2425</v>
      </c>
      <c r="N631" s="1518"/>
      <c r="O631" s="1518"/>
      <c r="P631" s="1518"/>
      <c r="Q631" s="1598"/>
      <c r="R631" s="1574"/>
      <c r="S631" s="1599"/>
      <c r="T631" s="1598"/>
      <c r="U631" s="1574"/>
      <c r="V631" s="1599"/>
      <c r="W631" s="1513">
        <v>0.06</v>
      </c>
      <c r="X631" s="1514"/>
      <c r="Y631" s="1515"/>
      <c r="Z631" s="1520" t="s">
        <v>1291</v>
      </c>
      <c r="AA631" s="1521"/>
      <c r="AB631" s="1522"/>
      <c r="AC631" s="1390"/>
      <c r="AD631" s="1391"/>
      <c r="AE631" s="1392"/>
      <c r="AF631" s="1602"/>
      <c r="AG631" s="1603"/>
      <c r="AH631" s="1603"/>
      <c r="AI631" s="1603"/>
      <c r="AJ631" s="1604"/>
      <c r="AK631" s="1526"/>
      <c r="AL631" s="1527"/>
      <c r="AM631" s="1527"/>
      <c r="AN631" s="1528"/>
      <c r="AO631" s="1523">
        <v>2777795</v>
      </c>
      <c r="AP631" s="1524"/>
      <c r="AQ631" s="1524"/>
      <c r="AR631" s="1524"/>
      <c r="AS631" s="1525"/>
      <c r="AT631" s="1192" t="str">
        <f t="shared" si="23"/>
        <v/>
      </c>
      <c r="AU631" s="3"/>
      <c r="AZ631" s="3"/>
      <c r="BA631" s="3"/>
      <c r="BB631" s="3"/>
      <c r="BC631" s="3"/>
      <c r="BD631" s="3"/>
      <c r="BE631" s="1357">
        <f t="shared" si="1"/>
        <v>0</v>
      </c>
      <c r="BF631" s="1359"/>
      <c r="BG631" s="1367">
        <f t="shared" si="2"/>
        <v>0</v>
      </c>
      <c r="BH631" s="1368"/>
      <c r="BI631" s="1357">
        <f t="shared" si="3"/>
        <v>0</v>
      </c>
      <c r="BJ631" s="1359"/>
      <c r="BK631" s="1367">
        <f t="shared" si="4"/>
        <v>0</v>
      </c>
      <c r="BL631" s="1368"/>
      <c r="BM631" s="3"/>
      <c r="BN631" s="1364">
        <f t="shared" si="5"/>
        <v>0</v>
      </c>
      <c r="BO631" s="1365"/>
      <c r="BP631" s="1365"/>
      <c r="BQ631" s="1365"/>
      <c r="BR631" s="1366"/>
      <c r="BS631" s="1363">
        <f t="shared" si="6"/>
        <v>0</v>
      </c>
      <c r="BT631" s="1363"/>
      <c r="BU631" s="1363"/>
      <c r="BV631" s="1363"/>
      <c r="BW631" s="1363"/>
      <c r="BX631" s="1363">
        <f t="shared" si="7"/>
        <v>0</v>
      </c>
      <c r="BY631" s="1363"/>
      <c r="BZ631" s="1363"/>
      <c r="CA631" s="1363"/>
      <c r="CB631" s="1363"/>
      <c r="CC631" s="1363">
        <f t="shared" si="8"/>
        <v>0</v>
      </c>
      <c r="CD631" s="1363"/>
      <c r="CE631" s="1363"/>
      <c r="CF631" s="1363"/>
      <c r="CG631" s="1363"/>
      <c r="CH631" s="1363">
        <f t="shared" si="9"/>
        <v>0</v>
      </c>
      <c r="CI631" s="1363"/>
      <c r="CJ631" s="1363"/>
      <c r="CK631" s="1363"/>
      <c r="CL631" s="1363"/>
      <c r="CM631" s="1363">
        <f t="shared" si="10"/>
        <v>0</v>
      </c>
      <c r="CN631" s="1363"/>
      <c r="CO631" s="1363"/>
      <c r="CP631" s="1363"/>
      <c r="CQ631" s="1363"/>
      <c r="CR631" s="6"/>
      <c r="CS631" s="1362">
        <f t="shared" si="11"/>
        <v>0</v>
      </c>
      <c r="CT631" s="1362"/>
      <c r="CU631" s="1362"/>
      <c r="CV631" s="1362"/>
      <c r="CW631" s="1362"/>
      <c r="CX631" s="1362">
        <f t="shared" si="12"/>
        <v>0</v>
      </c>
      <c r="CY631" s="1362"/>
      <c r="CZ631" s="1362"/>
      <c r="DA631" s="1362"/>
      <c r="DB631" s="1362"/>
      <c r="DC631" s="1362">
        <f t="shared" si="13"/>
        <v>0</v>
      </c>
      <c r="DD631" s="1362"/>
      <c r="DE631" s="1362"/>
      <c r="DF631" s="1362"/>
      <c r="DG631" s="1362"/>
      <c r="DH631" s="1362">
        <f t="shared" si="14"/>
        <v>0</v>
      </c>
      <c r="DI631" s="1362"/>
      <c r="DJ631" s="1362"/>
      <c r="DK631" s="1362"/>
      <c r="DL631" s="1362"/>
      <c r="DM631" s="1362">
        <f t="shared" si="15"/>
        <v>0</v>
      </c>
      <c r="DN631" s="1362"/>
      <c r="DO631" s="1362"/>
      <c r="DP631" s="1362"/>
      <c r="DQ631" s="1362"/>
      <c r="DR631" s="1362">
        <f t="shared" si="16"/>
        <v>0</v>
      </c>
      <c r="DS631" s="1362"/>
      <c r="DT631" s="1362"/>
      <c r="DU631" s="1362"/>
      <c r="DV631" s="1362"/>
      <c r="DX631" s="1357" t="str">
        <f t="shared" si="17"/>
        <v/>
      </c>
      <c r="DY631" s="1358"/>
      <c r="DZ631" s="1358"/>
      <c r="EA631" s="1358"/>
      <c r="EB631" s="1359"/>
      <c r="EC631" s="1357" t="str">
        <f t="shared" si="18"/>
        <v/>
      </c>
      <c r="ED631" s="1358"/>
      <c r="EE631" s="1358"/>
      <c r="EF631" s="1358"/>
      <c r="EG631" s="1359"/>
      <c r="EH631" s="1357" t="str">
        <f t="shared" si="19"/>
        <v/>
      </c>
      <c r="EI631" s="1358"/>
      <c r="EJ631" s="1358"/>
      <c r="EK631" s="1358"/>
      <c r="EL631" s="1359"/>
      <c r="EM631" s="1357" t="str">
        <f t="shared" si="20"/>
        <v/>
      </c>
      <c r="EN631" s="1358"/>
      <c r="EO631" s="1358"/>
      <c r="EP631" s="1358"/>
      <c r="EQ631" s="1359"/>
      <c r="ER631" s="1357" t="str">
        <f t="shared" si="21"/>
        <v/>
      </c>
      <c r="ES631" s="1358"/>
      <c r="ET631" s="1358"/>
      <c r="EU631" s="1358"/>
      <c r="EV631" s="1359"/>
      <c r="EW631" s="1357" t="str">
        <f t="shared" si="22"/>
        <v/>
      </c>
      <c r="EX631" s="1358"/>
      <c r="EY631" s="1358"/>
      <c r="EZ631" s="1358"/>
      <c r="FA631" s="1359"/>
    </row>
    <row r="632" spans="2:157" ht="12.95" customHeight="1">
      <c r="B632" s="52" t="s">
        <v>593</v>
      </c>
      <c r="C632" s="1605"/>
      <c r="D632" s="1516"/>
      <c r="E632" s="1516"/>
      <c r="F632" s="1516"/>
      <c r="G632" s="1516"/>
      <c r="H632" s="1516"/>
      <c r="I632" s="1516"/>
      <c r="J632" s="1516"/>
      <c r="K632" s="1516"/>
      <c r="L632" s="1516"/>
      <c r="M632" s="1518" t="s">
        <v>1291</v>
      </c>
      <c r="N632" s="1518"/>
      <c r="O632" s="1518"/>
      <c r="P632" s="1518"/>
      <c r="Q632" s="1598"/>
      <c r="R632" s="1574"/>
      <c r="S632" s="1599"/>
      <c r="T632" s="1598"/>
      <c r="U632" s="1574"/>
      <c r="V632" s="1599"/>
      <c r="W632" s="1513"/>
      <c r="X632" s="1514"/>
      <c r="Y632" s="1515"/>
      <c r="Z632" s="1520" t="s">
        <v>1291</v>
      </c>
      <c r="AA632" s="1521"/>
      <c r="AB632" s="1522"/>
      <c r="AC632" s="1390"/>
      <c r="AD632" s="1391"/>
      <c r="AE632" s="1392"/>
      <c r="AF632" s="1602"/>
      <c r="AG632" s="1603"/>
      <c r="AH632" s="1603"/>
      <c r="AI632" s="1603"/>
      <c r="AJ632" s="1604"/>
      <c r="AK632" s="1526"/>
      <c r="AL632" s="1527"/>
      <c r="AM632" s="1527"/>
      <c r="AN632" s="1528"/>
      <c r="AO632" s="1523"/>
      <c r="AP632" s="1524"/>
      <c r="AQ632" s="1524"/>
      <c r="AR632" s="1524"/>
      <c r="AS632" s="1525"/>
      <c r="AT632" s="1192" t="str">
        <f t="shared" si="23"/>
        <v/>
      </c>
      <c r="AU632" s="3"/>
      <c r="AZ632" s="3"/>
      <c r="BA632" s="3"/>
      <c r="BB632" s="3"/>
      <c r="BC632" s="3"/>
      <c r="BD632" s="3"/>
      <c r="BE632" s="3"/>
      <c r="BF632" s="3"/>
      <c r="BG632" s="1357">
        <f>SUM(BG597:BH631)</f>
        <v>10</v>
      </c>
      <c r="BH632" s="1359"/>
      <c r="BI632" s="3"/>
      <c r="BJ632" s="3"/>
      <c r="BK632" s="1357">
        <f>SUM(BK597:BL631)</f>
        <v>11</v>
      </c>
      <c r="BL632" s="1359"/>
      <c r="BM632" s="3"/>
      <c r="BN632" s="1357">
        <f>SUM(BN597:BR631)</f>
        <v>10</v>
      </c>
      <c r="BO632" s="1358"/>
      <c r="BP632" s="1358"/>
      <c r="BQ632" s="1358"/>
      <c r="BR632" s="1359"/>
      <c r="BS632" s="1361">
        <f>SUM(BS597:BW631)</f>
        <v>18</v>
      </c>
      <c r="BT632" s="1361"/>
      <c r="BU632" s="1361"/>
      <c r="BV632" s="1361"/>
      <c r="BW632" s="1361"/>
      <c r="BX632" s="1361">
        <f>SUM(BX597:CB631)</f>
        <v>27</v>
      </c>
      <c r="BY632" s="1361"/>
      <c r="BZ632" s="1361"/>
      <c r="CA632" s="1361"/>
      <c r="CB632" s="1361"/>
      <c r="CC632" s="1361">
        <f>SUM(CC597:CG631)</f>
        <v>42</v>
      </c>
      <c r="CD632" s="1361"/>
      <c r="CE632" s="1361"/>
      <c r="CF632" s="1361"/>
      <c r="CG632" s="1361"/>
      <c r="CH632" s="1361">
        <f>SUM(CH597:CL631)</f>
        <v>8</v>
      </c>
      <c r="CI632" s="1361"/>
      <c r="CJ632" s="1361"/>
      <c r="CK632" s="1361"/>
      <c r="CL632" s="1361"/>
      <c r="CM632" s="1361">
        <f>SUM(CM597:CQ631)</f>
        <v>0</v>
      </c>
      <c r="CN632" s="1361"/>
      <c r="CO632" s="1361"/>
      <c r="CP632" s="1361"/>
      <c r="CQ632" s="1361"/>
      <c r="CR632" s="385"/>
      <c r="CS632" s="1361">
        <f>SUM(CS597:CW631)</f>
        <v>1</v>
      </c>
      <c r="CT632" s="1361"/>
      <c r="CU632" s="1361"/>
      <c r="CV632" s="1361"/>
      <c r="CW632" s="1361"/>
      <c r="CX632" s="1361">
        <f>SUM(CX597:DB631)</f>
        <v>3</v>
      </c>
      <c r="CY632" s="1361"/>
      <c r="CZ632" s="1361"/>
      <c r="DA632" s="1361"/>
      <c r="DB632" s="1361"/>
      <c r="DC632" s="1361">
        <f>SUM(DC597:DG631)</f>
        <v>3</v>
      </c>
      <c r="DD632" s="1361"/>
      <c r="DE632" s="1361"/>
      <c r="DF632" s="1361"/>
      <c r="DG632" s="1361"/>
      <c r="DH632" s="1361">
        <f>SUM(DH597:DL631)</f>
        <v>3</v>
      </c>
      <c r="DI632" s="1361"/>
      <c r="DJ632" s="1361"/>
      <c r="DK632" s="1361"/>
      <c r="DL632" s="1361"/>
      <c r="DM632" s="1361">
        <f>SUM(DM597:DQ631)</f>
        <v>1</v>
      </c>
      <c r="DN632" s="1361"/>
      <c r="DO632" s="1361"/>
      <c r="DP632" s="1361"/>
      <c r="DQ632" s="1361"/>
      <c r="DR632" s="1361">
        <f>SUM(DR597:DV631)</f>
        <v>0</v>
      </c>
      <c r="DS632" s="1361"/>
      <c r="DT632" s="1361"/>
      <c r="DU632" s="1361"/>
      <c r="DV632" s="1361"/>
      <c r="DX632" s="1361">
        <f>SUM(DX597:EB631)</f>
        <v>2683</v>
      </c>
      <c r="DY632" s="1361"/>
      <c r="DZ632" s="1361"/>
      <c r="EA632" s="1361"/>
      <c r="EB632" s="1361"/>
      <c r="EC632" s="1361">
        <f>SUM(EC597:EG631)</f>
        <v>2923</v>
      </c>
      <c r="ED632" s="1361"/>
      <c r="EE632" s="1361"/>
      <c r="EF632" s="1361"/>
      <c r="EG632" s="1361"/>
      <c r="EH632" s="1361">
        <f>SUM(EH597:EL631)</f>
        <v>3490.6000000000004</v>
      </c>
      <c r="EI632" s="1361"/>
      <c r="EJ632" s="1361"/>
      <c r="EK632" s="1361"/>
      <c r="EL632" s="1361"/>
      <c r="EM632" s="1361">
        <f>SUM(EM597:EQ631)</f>
        <v>3957</v>
      </c>
      <c r="EN632" s="1361"/>
      <c r="EO632" s="1361"/>
      <c r="EP632" s="1361"/>
      <c r="EQ632" s="1361"/>
      <c r="ER632" s="1361">
        <f>SUM(ER597:EV631)</f>
        <v>2722</v>
      </c>
      <c r="ES632" s="1361"/>
      <c r="ET632" s="1361"/>
      <c r="EU632" s="1361"/>
      <c r="EV632" s="1361"/>
      <c r="EW632" s="1361">
        <f>SUM(EW597:FA631)</f>
        <v>0</v>
      </c>
      <c r="EX632" s="1361"/>
      <c r="EY632" s="1361"/>
      <c r="EZ632" s="1361"/>
      <c r="FA632" s="1361"/>
    </row>
    <row r="633" spans="2:157" ht="12.95" customHeight="1">
      <c r="B633" s="52" t="s">
        <v>464</v>
      </c>
      <c r="C633" s="1516"/>
      <c r="D633" s="1516"/>
      <c r="E633" s="1516"/>
      <c r="F633" s="1516"/>
      <c r="G633" s="1516"/>
      <c r="H633" s="1516"/>
      <c r="I633" s="1516"/>
      <c r="J633" s="1516"/>
      <c r="K633" s="1516"/>
      <c r="L633" s="1516"/>
      <c r="M633" s="1518" t="s">
        <v>1291</v>
      </c>
      <c r="N633" s="1518"/>
      <c r="O633" s="1518"/>
      <c r="P633" s="1518"/>
      <c r="Q633" s="1598"/>
      <c r="R633" s="1574"/>
      <c r="S633" s="1599"/>
      <c r="T633" s="1598"/>
      <c r="U633" s="1574"/>
      <c r="V633" s="1599"/>
      <c r="W633" s="1513"/>
      <c r="X633" s="1514"/>
      <c r="Y633" s="1515"/>
      <c r="Z633" s="1520" t="s">
        <v>1291</v>
      </c>
      <c r="AA633" s="1521"/>
      <c r="AB633" s="1522"/>
      <c r="AC633" s="1390"/>
      <c r="AD633" s="1391"/>
      <c r="AE633" s="1392"/>
      <c r="AF633" s="1602"/>
      <c r="AG633" s="1603"/>
      <c r="AH633" s="1603"/>
      <c r="AI633" s="1603"/>
      <c r="AJ633" s="1604"/>
      <c r="AK633" s="1526"/>
      <c r="AL633" s="1527"/>
      <c r="AM633" s="1527"/>
      <c r="AN633" s="1528"/>
      <c r="AO633" s="1523"/>
      <c r="AP633" s="1524"/>
      <c r="AQ633" s="1524"/>
      <c r="AR633" s="1524"/>
      <c r="AS633" s="152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57">
        <f>BN632+BS632+BX632+CC632+CH632+CM632</f>
        <v>105</v>
      </c>
      <c r="CN633" s="1358"/>
      <c r="CO633" s="1358"/>
      <c r="CP633" s="1358"/>
      <c r="CQ633" s="1359"/>
      <c r="CR633" s="385"/>
      <c r="CS633" s="3"/>
      <c r="CT633" s="3"/>
      <c r="CU633" s="3"/>
      <c r="CV633" s="3"/>
      <c r="CW633" s="3"/>
      <c r="CX633" s="3"/>
      <c r="CY633" s="3"/>
      <c r="CZ633" s="3"/>
      <c r="DA633" s="3"/>
      <c r="DB633" s="3"/>
      <c r="DC633" s="3"/>
      <c r="DD633" s="3"/>
      <c r="DE633" s="3"/>
      <c r="DF633" s="3"/>
    </row>
    <row r="634" spans="2:157" ht="12.95" customHeight="1">
      <c r="B634" s="52" t="s">
        <v>465</v>
      </c>
      <c r="C634" s="1516"/>
      <c r="D634" s="1516"/>
      <c r="E634" s="1516"/>
      <c r="F634" s="1516"/>
      <c r="G634" s="1516"/>
      <c r="H634" s="1516"/>
      <c r="I634" s="1516"/>
      <c r="J634" s="1516"/>
      <c r="K634" s="1516"/>
      <c r="L634" s="1516"/>
      <c r="M634" s="1518" t="s">
        <v>1291</v>
      </c>
      <c r="N634" s="1518"/>
      <c r="O634" s="1518"/>
      <c r="P634" s="1518"/>
      <c r="Q634" s="1598"/>
      <c r="R634" s="1574"/>
      <c r="S634" s="1599"/>
      <c r="T634" s="1598"/>
      <c r="U634" s="1574"/>
      <c r="V634" s="1599"/>
      <c r="W634" s="1513"/>
      <c r="X634" s="1514"/>
      <c r="Y634" s="1515"/>
      <c r="Z634" s="1520" t="s">
        <v>1291</v>
      </c>
      <c r="AA634" s="1521"/>
      <c r="AB634" s="1522"/>
      <c r="AC634" s="1390"/>
      <c r="AD634" s="1391"/>
      <c r="AE634" s="1392"/>
      <c r="AF634" s="1602"/>
      <c r="AG634" s="1603"/>
      <c r="AH634" s="1603"/>
      <c r="AI634" s="1603"/>
      <c r="AJ634" s="1604"/>
      <c r="AK634" s="1526"/>
      <c r="AL634" s="1527"/>
      <c r="AM634" s="1527"/>
      <c r="AN634" s="1528"/>
      <c r="AO634" s="1523"/>
      <c r="AP634" s="1524"/>
      <c r="AQ634" s="1524"/>
      <c r="AR634" s="1524"/>
      <c r="AS634" s="1525"/>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10</v>
      </c>
      <c r="BS634" s="3"/>
      <c r="BT634" s="3"/>
      <c r="BU634" s="3"/>
      <c r="BV634" s="3"/>
      <c r="BW634" s="895">
        <f>BS632*1</f>
        <v>18</v>
      </c>
      <c r="BX634" s="3"/>
      <c r="BY634" s="3"/>
      <c r="BZ634" s="3"/>
      <c r="CA634" s="3"/>
      <c r="CB634" s="895">
        <f>BX632*2</f>
        <v>54</v>
      </c>
      <c r="CC634" s="3"/>
      <c r="CD634" s="3"/>
      <c r="CE634" s="3"/>
      <c r="CF634" s="3"/>
      <c r="CG634" s="895">
        <f>CC632*3</f>
        <v>126</v>
      </c>
      <c r="CH634" s="3"/>
      <c r="CI634" s="3"/>
      <c r="CJ634" s="3"/>
      <c r="CK634" s="3"/>
      <c r="CL634" s="895">
        <f>CH632*4</f>
        <v>32</v>
      </c>
      <c r="CM634" s="3"/>
      <c r="CN634" s="3"/>
      <c r="CO634" s="3"/>
      <c r="CP634" s="3"/>
      <c r="CQ634" s="895">
        <f>CM632*5</f>
        <v>0</v>
      </c>
      <c r="CS634" s="895">
        <f>BR634+BW634+CB634+CG634+CL634+CQ634</f>
        <v>240</v>
      </c>
      <c r="CT634" s="57" t="s">
        <v>2053</v>
      </c>
      <c r="CU634" s="3"/>
      <c r="CV634" s="3"/>
      <c r="CW634" s="3"/>
      <c r="CX634" s="3"/>
      <c r="CY634" s="3"/>
      <c r="CZ634" s="3"/>
      <c r="DA634" s="3"/>
      <c r="DB634" s="3"/>
      <c r="DC634" s="3"/>
      <c r="DD634" s="3"/>
      <c r="DE634" s="3"/>
      <c r="DF634" s="3"/>
    </row>
    <row r="635" spans="2:157" ht="12.95" customHeight="1">
      <c r="B635" s="52" t="s">
        <v>470</v>
      </c>
      <c r="C635" s="1516"/>
      <c r="D635" s="1516"/>
      <c r="E635" s="1516"/>
      <c r="F635" s="1516"/>
      <c r="G635" s="1516"/>
      <c r="H635" s="1516"/>
      <c r="I635" s="1516"/>
      <c r="J635" s="1516"/>
      <c r="K635" s="1516"/>
      <c r="L635" s="1516"/>
      <c r="M635" s="1518" t="s">
        <v>1291</v>
      </c>
      <c r="N635" s="1518"/>
      <c r="O635" s="1518"/>
      <c r="P635" s="1518"/>
      <c r="Q635" s="1598"/>
      <c r="R635" s="1574"/>
      <c r="S635" s="1599"/>
      <c r="T635" s="1598"/>
      <c r="U635" s="1574"/>
      <c r="V635" s="1599"/>
      <c r="W635" s="1513"/>
      <c r="X635" s="1514"/>
      <c r="Y635" s="1515"/>
      <c r="Z635" s="1520" t="s">
        <v>1291</v>
      </c>
      <c r="AA635" s="1521"/>
      <c r="AB635" s="1522"/>
      <c r="AC635" s="1390"/>
      <c r="AD635" s="1391"/>
      <c r="AE635" s="1392"/>
      <c r="AF635" s="1602"/>
      <c r="AG635" s="1603"/>
      <c r="AH635" s="1603"/>
      <c r="AI635" s="1603"/>
      <c r="AJ635" s="1604"/>
      <c r="AK635" s="1526"/>
      <c r="AL635" s="1527"/>
      <c r="AM635" s="1527"/>
      <c r="AN635" s="1528"/>
      <c r="AO635" s="1523"/>
      <c r="AP635" s="1524"/>
      <c r="AQ635" s="1524"/>
      <c r="AR635" s="1524"/>
      <c r="AS635" s="1525"/>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6">
        <f>DX597*(BN597/$BN$632)</f>
        <v>55.02000000000001</v>
      </c>
      <c r="DY635" s="1356"/>
      <c r="DZ635" s="1356"/>
      <c r="EA635" s="1356"/>
      <c r="EB635" s="1356"/>
      <c r="EC635" s="1356" t="e">
        <f t="shared" ref="EC635:EC657" si="24">EC597*(BS597/$BS$632)</f>
        <v>#VALUE!</v>
      </c>
      <c r="ED635" s="1356"/>
      <c r="EE635" s="1356"/>
      <c r="EF635" s="1356"/>
      <c r="EG635" s="1356"/>
      <c r="EH635" s="1356" t="e">
        <f t="shared" ref="EH635:EH657" si="25">EH597*(BX597/$BX$632)</f>
        <v>#VALUE!</v>
      </c>
      <c r="EI635" s="1356"/>
      <c r="EJ635" s="1356"/>
      <c r="EK635" s="1356"/>
      <c r="EL635" s="1356"/>
      <c r="EM635" s="1356" t="e">
        <f t="shared" ref="EM635:EM657" si="26">EM597*(CC597/$CC$632)</f>
        <v>#VALUE!</v>
      </c>
      <c r="EN635" s="1356"/>
      <c r="EO635" s="1356"/>
      <c r="EP635" s="1356"/>
      <c r="EQ635" s="1356"/>
      <c r="ER635" s="1356" t="e">
        <f t="shared" ref="ER635:ER657" si="27">ER597*(CH597/$CH$632)</f>
        <v>#VALUE!</v>
      </c>
      <c r="ES635" s="1356"/>
      <c r="ET635" s="1356"/>
      <c r="EU635" s="1356"/>
      <c r="EV635" s="1356"/>
      <c r="EW635" s="1356" t="e">
        <f t="shared" ref="EW635:EW657" si="28">EW597*(CM597/$CM$632)</f>
        <v>#VALUE!</v>
      </c>
      <c r="EX635" s="1356"/>
      <c r="EY635" s="1356"/>
      <c r="EZ635" s="1356"/>
      <c r="FA635" s="1356"/>
    </row>
    <row r="636" spans="2:157" ht="12.95" customHeight="1">
      <c r="B636" s="52" t="s">
        <v>655</v>
      </c>
      <c r="C636" s="1516"/>
      <c r="D636" s="1516"/>
      <c r="E636" s="1516"/>
      <c r="F636" s="1516"/>
      <c r="G636" s="1516"/>
      <c r="H636" s="1516"/>
      <c r="I636" s="1516"/>
      <c r="J636" s="1516"/>
      <c r="K636" s="1516"/>
      <c r="L636" s="1516"/>
      <c r="M636" s="1518" t="s">
        <v>1291</v>
      </c>
      <c r="N636" s="1518"/>
      <c r="O636" s="1518"/>
      <c r="P636" s="1518"/>
      <c r="Q636" s="1598"/>
      <c r="R636" s="1574"/>
      <c r="S636" s="1599"/>
      <c r="T636" s="1598"/>
      <c r="U636" s="1574"/>
      <c r="V636" s="1599"/>
      <c r="W636" s="1513"/>
      <c r="X636" s="1514"/>
      <c r="Y636" s="1515"/>
      <c r="Z636" s="1520" t="s">
        <v>1291</v>
      </c>
      <c r="AA636" s="1521"/>
      <c r="AB636" s="1522"/>
      <c r="AC636" s="1390"/>
      <c r="AD636" s="1391"/>
      <c r="AE636" s="1392"/>
      <c r="AF636" s="1602"/>
      <c r="AG636" s="1603"/>
      <c r="AH636" s="1603"/>
      <c r="AI636" s="1603"/>
      <c r="AJ636" s="1604"/>
      <c r="AK636" s="1526"/>
      <c r="AL636" s="1527"/>
      <c r="AM636" s="1527"/>
      <c r="AN636" s="1528"/>
      <c r="AO636" s="1523"/>
      <c r="AP636" s="1524"/>
      <c r="AQ636" s="1524"/>
      <c r="AR636" s="1524"/>
      <c r="AS636" s="1525"/>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6">
        <f t="shared" ref="DX636:DX657" si="29">DX598*(BN598/$BN$632)</f>
        <v>288.89999999999998</v>
      </c>
      <c r="DY636" s="1356"/>
      <c r="DZ636" s="1356"/>
      <c r="EA636" s="1356"/>
      <c r="EB636" s="1356"/>
      <c r="EC636" s="1356" t="e">
        <f t="shared" si="24"/>
        <v>#VALUE!</v>
      </c>
      <c r="ED636" s="1356"/>
      <c r="EE636" s="1356"/>
      <c r="EF636" s="1356"/>
      <c r="EG636" s="1356"/>
      <c r="EH636" s="1356" t="e">
        <f t="shared" si="25"/>
        <v>#VALUE!</v>
      </c>
      <c r="EI636" s="1356"/>
      <c r="EJ636" s="1356"/>
      <c r="EK636" s="1356"/>
      <c r="EL636" s="1356"/>
      <c r="EM636" s="1356" t="e">
        <f t="shared" si="26"/>
        <v>#VALUE!</v>
      </c>
      <c r="EN636" s="1356"/>
      <c r="EO636" s="1356"/>
      <c r="EP636" s="1356"/>
      <c r="EQ636" s="1356"/>
      <c r="ER636" s="1356" t="e">
        <f t="shared" si="27"/>
        <v>#VALUE!</v>
      </c>
      <c r="ES636" s="1356"/>
      <c r="ET636" s="1356"/>
      <c r="EU636" s="1356"/>
      <c r="EV636" s="1356"/>
      <c r="EW636" s="1356" t="e">
        <f t="shared" si="28"/>
        <v>#VALUE!</v>
      </c>
      <c r="EX636" s="1356"/>
      <c r="EY636" s="1356"/>
      <c r="EZ636" s="1356"/>
      <c r="FA636" s="1356"/>
    </row>
    <row r="637" spans="2:157" ht="12.95" customHeight="1">
      <c r="B637" s="52" t="s">
        <v>363</v>
      </c>
      <c r="C637" s="1516"/>
      <c r="D637" s="1516"/>
      <c r="E637" s="1516"/>
      <c r="F637" s="1516"/>
      <c r="G637" s="1516"/>
      <c r="H637" s="1516"/>
      <c r="I637" s="1516"/>
      <c r="J637" s="1516"/>
      <c r="K637" s="1516"/>
      <c r="L637" s="1516"/>
      <c r="M637" s="1518" t="s">
        <v>1291</v>
      </c>
      <c r="N637" s="1518"/>
      <c r="O637" s="1518"/>
      <c r="P637" s="1518"/>
      <c r="Q637" s="1598"/>
      <c r="R637" s="1574"/>
      <c r="S637" s="1599"/>
      <c r="T637" s="1598"/>
      <c r="U637" s="1574"/>
      <c r="V637" s="1599"/>
      <c r="W637" s="1513"/>
      <c r="X637" s="1514"/>
      <c r="Y637" s="1515"/>
      <c r="Z637" s="1520" t="s">
        <v>1291</v>
      </c>
      <c r="AA637" s="1521"/>
      <c r="AB637" s="1522"/>
      <c r="AC637" s="1390"/>
      <c r="AD637" s="1391"/>
      <c r="AE637" s="1392"/>
      <c r="AF637" s="1602"/>
      <c r="AG637" s="1603"/>
      <c r="AH637" s="1603"/>
      <c r="AI637" s="1603"/>
      <c r="AJ637" s="1604"/>
      <c r="AK637" s="1526"/>
      <c r="AL637" s="1527"/>
      <c r="AM637" s="1527"/>
      <c r="AN637" s="1528"/>
      <c r="AO637" s="1523"/>
      <c r="AP637" s="1524"/>
      <c r="AQ637" s="1524"/>
      <c r="AR637" s="1524"/>
      <c r="AS637" s="1525"/>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64">
        <f>IF(J773="SRO/Studio",O773,0)</f>
        <v>0</v>
      </c>
      <c r="BO637" s="1365"/>
      <c r="BP637" s="1365"/>
      <c r="BQ637" s="1365"/>
      <c r="BR637" s="1366"/>
      <c r="BS637" s="1363">
        <f>IF(J773="1 Bedroom",O773,0)</f>
        <v>0</v>
      </c>
      <c r="BT637" s="1363"/>
      <c r="BU637" s="1363"/>
      <c r="BV637" s="1363"/>
      <c r="BW637" s="1363"/>
      <c r="BX637" s="1363">
        <f>IF(J773="2 Bedrooms",O773,0)</f>
        <v>1</v>
      </c>
      <c r="BY637" s="1363"/>
      <c r="BZ637" s="1363"/>
      <c r="CA637" s="1363"/>
      <c r="CB637" s="1363"/>
      <c r="CC637" s="1363">
        <f>IF(J773="3 Bedrooms",O773,0)</f>
        <v>0</v>
      </c>
      <c r="CD637" s="1363"/>
      <c r="CE637" s="1363"/>
      <c r="CF637" s="1363"/>
      <c r="CG637" s="1363"/>
      <c r="CH637" s="1363">
        <f>IF(J773="4 Bedrooms",O773,0)</f>
        <v>0</v>
      </c>
      <c r="CI637" s="1363"/>
      <c r="CJ637" s="1363"/>
      <c r="CK637" s="1363"/>
      <c r="CL637" s="1363"/>
      <c r="CM637" s="1363">
        <f>IF(J773="5 Bedrooms",O773,0)</f>
        <v>0</v>
      </c>
      <c r="CN637" s="1363"/>
      <c r="CO637" s="1363"/>
      <c r="CP637" s="1363"/>
      <c r="CQ637" s="1363"/>
      <c r="CR637" s="6"/>
      <c r="CS637" s="3"/>
      <c r="CT637" s="3"/>
      <c r="CU637" s="3"/>
      <c r="CV637" s="3"/>
      <c r="CW637" s="3"/>
      <c r="CX637" s="3"/>
      <c r="CY637" s="3"/>
      <c r="CZ637" s="3"/>
      <c r="DA637" s="3"/>
      <c r="DB637" s="3"/>
      <c r="DC637" s="3"/>
      <c r="DD637" s="3"/>
      <c r="DE637" s="3"/>
      <c r="DF637" s="3"/>
      <c r="DX637" s="1356">
        <f t="shared" si="29"/>
        <v>701.88</v>
      </c>
      <c r="DY637" s="1356"/>
      <c r="DZ637" s="1356"/>
      <c r="EA637" s="1356"/>
      <c r="EB637" s="1356"/>
      <c r="EC637" s="1356" t="e">
        <f t="shared" si="24"/>
        <v>#VALUE!</v>
      </c>
      <c r="ED637" s="1356"/>
      <c r="EE637" s="1356"/>
      <c r="EF637" s="1356"/>
      <c r="EG637" s="1356"/>
      <c r="EH637" s="1356" t="e">
        <f t="shared" si="25"/>
        <v>#VALUE!</v>
      </c>
      <c r="EI637" s="1356"/>
      <c r="EJ637" s="1356"/>
      <c r="EK637" s="1356"/>
      <c r="EL637" s="1356"/>
      <c r="EM637" s="1356" t="e">
        <f t="shared" si="26"/>
        <v>#VALUE!</v>
      </c>
      <c r="EN637" s="1356"/>
      <c r="EO637" s="1356"/>
      <c r="EP637" s="1356"/>
      <c r="EQ637" s="1356"/>
      <c r="ER637" s="1356" t="e">
        <f t="shared" si="27"/>
        <v>#VALUE!</v>
      </c>
      <c r="ES637" s="1356"/>
      <c r="ET637" s="1356"/>
      <c r="EU637" s="1356"/>
      <c r="EV637" s="1356"/>
      <c r="EW637" s="1356" t="e">
        <f t="shared" si="28"/>
        <v>#VALUE!</v>
      </c>
      <c r="EX637" s="1356"/>
      <c r="EY637" s="1356"/>
      <c r="EZ637" s="1356"/>
      <c r="FA637" s="1356"/>
    </row>
    <row r="638" spans="2:157" ht="12.95" customHeight="1">
      <c r="B638" s="52" t="s">
        <v>364</v>
      </c>
      <c r="C638" s="1516"/>
      <c r="D638" s="1516"/>
      <c r="E638" s="1516"/>
      <c r="F638" s="1516"/>
      <c r="G638" s="1516"/>
      <c r="H638" s="1516"/>
      <c r="I638" s="1516"/>
      <c r="J638" s="1516"/>
      <c r="K638" s="1516"/>
      <c r="L638" s="1516"/>
      <c r="M638" s="1518" t="s">
        <v>1291</v>
      </c>
      <c r="N638" s="1518"/>
      <c r="O638" s="1518"/>
      <c r="P638" s="1518"/>
      <c r="Q638" s="1598"/>
      <c r="R638" s="1574"/>
      <c r="S638" s="1599"/>
      <c r="T638" s="1598"/>
      <c r="U638" s="1574"/>
      <c r="V638" s="1599"/>
      <c r="W638" s="1513"/>
      <c r="X638" s="1514"/>
      <c r="Y638" s="1515"/>
      <c r="Z638" s="1520" t="s">
        <v>1291</v>
      </c>
      <c r="AA638" s="1521"/>
      <c r="AB638" s="1522"/>
      <c r="AC638" s="1390"/>
      <c r="AD638" s="1391"/>
      <c r="AE638" s="1392"/>
      <c r="AF638" s="1602"/>
      <c r="AG638" s="1603"/>
      <c r="AH638" s="1603"/>
      <c r="AI638" s="1603"/>
      <c r="AJ638" s="1604"/>
      <c r="AK638" s="1526"/>
      <c r="AL638" s="1527"/>
      <c r="AM638" s="1527"/>
      <c r="AN638" s="1528"/>
      <c r="AO638" s="1523"/>
      <c r="AP638" s="1524"/>
      <c r="AQ638" s="1524"/>
      <c r="AR638" s="1524"/>
      <c r="AS638" s="1525"/>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64">
        <f>IF(J774="SRO/Studio",O774,0)</f>
        <v>0</v>
      </c>
      <c r="BO638" s="1365"/>
      <c r="BP638" s="1365"/>
      <c r="BQ638" s="1365"/>
      <c r="BR638" s="1366"/>
      <c r="BS638" s="1363">
        <f>IF(J774="1 Bedroom",O774,0)</f>
        <v>0</v>
      </c>
      <c r="BT638" s="1363"/>
      <c r="BU638" s="1363"/>
      <c r="BV638" s="1363"/>
      <c r="BW638" s="1363"/>
      <c r="BX638" s="1363">
        <f>IF(J774="2 Bedrooms",O774,0)</f>
        <v>0</v>
      </c>
      <c r="BY638" s="1363"/>
      <c r="BZ638" s="1363"/>
      <c r="CA638" s="1363"/>
      <c r="CB638" s="1363"/>
      <c r="CC638" s="1363">
        <f>IF(J774="3 Bedrooms",O774,0)</f>
        <v>0</v>
      </c>
      <c r="CD638" s="1363"/>
      <c r="CE638" s="1363"/>
      <c r="CF638" s="1363"/>
      <c r="CG638" s="1363"/>
      <c r="CH638" s="1363">
        <f>IF(J774="4 Bedrooms",O774,0)</f>
        <v>0</v>
      </c>
      <c r="CI638" s="1363"/>
      <c r="CJ638" s="1363"/>
      <c r="CK638" s="1363"/>
      <c r="CL638" s="1363"/>
      <c r="CM638" s="1363">
        <f>IF(J774="5 Bedrooms",O774,0)</f>
        <v>0</v>
      </c>
      <c r="CN638" s="1363"/>
      <c r="CO638" s="1363"/>
      <c r="CP638" s="1363"/>
      <c r="CQ638" s="1363"/>
      <c r="CR638" s="6"/>
      <c r="CS638" s="3"/>
      <c r="CT638" s="3"/>
      <c r="CU638" s="3"/>
      <c r="CV638" s="3"/>
      <c r="CW638" s="3"/>
      <c r="CX638" s="3"/>
      <c r="CY638" s="3"/>
      <c r="CZ638" s="3"/>
      <c r="DA638" s="3"/>
      <c r="DB638" s="3"/>
      <c r="DC638" s="3"/>
      <c r="DD638" s="3"/>
      <c r="DE638" s="3"/>
      <c r="DF638" s="3"/>
      <c r="DX638" s="1356" t="e">
        <f t="shared" si="29"/>
        <v>#VALUE!</v>
      </c>
      <c r="DY638" s="1356"/>
      <c r="DZ638" s="1356"/>
      <c r="EA638" s="1356"/>
      <c r="EB638" s="1356"/>
      <c r="EC638" s="1356">
        <f t="shared" si="24"/>
        <v>101</v>
      </c>
      <c r="ED638" s="1356"/>
      <c r="EE638" s="1356"/>
      <c r="EF638" s="1356"/>
      <c r="EG638" s="1356"/>
      <c r="EH638" s="1356" t="e">
        <f t="shared" si="25"/>
        <v>#VALUE!</v>
      </c>
      <c r="EI638" s="1356"/>
      <c r="EJ638" s="1356"/>
      <c r="EK638" s="1356"/>
      <c r="EL638" s="1356"/>
      <c r="EM638" s="1356" t="e">
        <f t="shared" si="26"/>
        <v>#VALUE!</v>
      </c>
      <c r="EN638" s="1356"/>
      <c r="EO638" s="1356"/>
      <c r="EP638" s="1356"/>
      <c r="EQ638" s="1356"/>
      <c r="ER638" s="1356" t="e">
        <f t="shared" si="27"/>
        <v>#VALUE!</v>
      </c>
      <c r="ES638" s="1356"/>
      <c r="ET638" s="1356"/>
      <c r="EU638" s="1356"/>
      <c r="EV638" s="1356"/>
      <c r="EW638" s="1356" t="e">
        <f t="shared" si="28"/>
        <v>#VALUE!</v>
      </c>
      <c r="EX638" s="1356"/>
      <c r="EY638" s="1356"/>
      <c r="EZ638" s="1356"/>
      <c r="FA638" s="1356"/>
    </row>
    <row r="639" spans="2:157" ht="12.95" customHeight="1">
      <c r="B639" s="1498" t="s">
        <v>128</v>
      </c>
      <c r="C639" s="1499"/>
      <c r="D639" s="1499"/>
      <c r="E639" s="1499"/>
      <c r="F639" s="1499"/>
      <c r="G639" s="1499"/>
      <c r="H639" s="1499"/>
      <c r="I639" s="1499"/>
      <c r="J639" s="1499"/>
      <c r="K639" s="1499"/>
      <c r="L639" s="1499"/>
      <c r="M639" s="1499"/>
      <c r="N639" s="1499"/>
      <c r="O639" s="1499"/>
      <c r="P639" s="1499"/>
      <c r="Q639" s="1499"/>
      <c r="R639" s="1499"/>
      <c r="S639" s="1499"/>
      <c r="T639" s="1499"/>
      <c r="U639" s="1499"/>
      <c r="V639" s="1499"/>
      <c r="W639" s="1499"/>
      <c r="X639" s="1499"/>
      <c r="Y639" s="1499"/>
      <c r="Z639" s="1499"/>
      <c r="AA639" s="1499"/>
      <c r="AB639" s="1499"/>
      <c r="AC639" s="1499"/>
      <c r="AD639" s="1499"/>
      <c r="AE639" s="1499"/>
      <c r="AF639" s="1499"/>
      <c r="AG639" s="1499"/>
      <c r="AH639" s="1499"/>
      <c r="AI639" s="1499"/>
      <c r="AJ639" s="1499"/>
      <c r="AK639" s="1499"/>
      <c r="AL639" s="1499"/>
      <c r="AM639" s="1499"/>
      <c r="AN639" s="1501"/>
      <c r="AO639" s="1616">
        <f>SUM(AO627:AR638)</f>
        <v>30011030</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BN639" s="1364">
        <f>IF(J775="SRO/Studio",O775,0)</f>
        <v>0</v>
      </c>
      <c r="BO639" s="1365"/>
      <c r="BP639" s="1365"/>
      <c r="BQ639" s="1365"/>
      <c r="BR639" s="1366"/>
      <c r="BS639" s="1363">
        <f>IF(J775="1 Bedroom",O775,0)</f>
        <v>0</v>
      </c>
      <c r="BT639" s="1363"/>
      <c r="BU639" s="1363"/>
      <c r="BV639" s="1363"/>
      <c r="BW639" s="1363"/>
      <c r="BX639" s="1363">
        <f>IF(J775="2 Bedrooms",O775,0)</f>
        <v>0</v>
      </c>
      <c r="BY639" s="1363"/>
      <c r="BZ639" s="1363"/>
      <c r="CA639" s="1363"/>
      <c r="CB639" s="1363"/>
      <c r="CC639" s="1363">
        <f>IF(J775="3 Bedrooms",O775,0)</f>
        <v>0</v>
      </c>
      <c r="CD639" s="1363"/>
      <c r="CE639" s="1363"/>
      <c r="CF639" s="1363"/>
      <c r="CG639" s="1363"/>
      <c r="CH639" s="1363">
        <f>IF(J775="4 Bedrooms",O775,0)</f>
        <v>0</v>
      </c>
      <c r="CI639" s="1363"/>
      <c r="CJ639" s="1363"/>
      <c r="CK639" s="1363"/>
      <c r="CL639" s="1363"/>
      <c r="CM639" s="1363">
        <f>IF(J775="5 Bedrooms",O775,0)</f>
        <v>0</v>
      </c>
      <c r="CN639" s="1363"/>
      <c r="CO639" s="1363"/>
      <c r="CP639" s="1363"/>
      <c r="CQ639" s="1363"/>
      <c r="CR639" s="1047"/>
      <c r="CV639" s="3"/>
      <c r="CW639" s="3"/>
      <c r="CX639" s="3"/>
      <c r="CY639" s="3"/>
      <c r="CZ639" s="3"/>
      <c r="DA639" s="3"/>
      <c r="DB639" s="3"/>
      <c r="DC639" s="3"/>
      <c r="DD639" s="3"/>
      <c r="DE639" s="3"/>
      <c r="DF639" s="3"/>
      <c r="DX639" s="1356" t="e">
        <f t="shared" si="29"/>
        <v>#VALUE!</v>
      </c>
      <c r="DY639" s="1356"/>
      <c r="DZ639" s="1356"/>
      <c r="EA639" s="1356"/>
      <c r="EB639" s="1356"/>
      <c r="EC639" s="1356">
        <f t="shared" si="24"/>
        <v>116.44444444444444</v>
      </c>
      <c r="ED639" s="1356"/>
      <c r="EE639" s="1356"/>
      <c r="EF639" s="1356"/>
      <c r="EG639" s="1356"/>
      <c r="EH639" s="1356" t="e">
        <f t="shared" si="25"/>
        <v>#VALUE!</v>
      </c>
      <c r="EI639" s="1356"/>
      <c r="EJ639" s="1356"/>
      <c r="EK639" s="1356"/>
      <c r="EL639" s="1356"/>
      <c r="EM639" s="1356" t="e">
        <f t="shared" si="26"/>
        <v>#VALUE!</v>
      </c>
      <c r="EN639" s="1356"/>
      <c r="EO639" s="1356"/>
      <c r="EP639" s="1356"/>
      <c r="EQ639" s="1356"/>
      <c r="ER639" s="1356" t="e">
        <f t="shared" si="27"/>
        <v>#VALUE!</v>
      </c>
      <c r="ES639" s="1356"/>
      <c r="ET639" s="1356"/>
      <c r="EU639" s="1356"/>
      <c r="EV639" s="1356"/>
      <c r="EW639" s="1356" t="e">
        <f t="shared" si="28"/>
        <v>#VALUE!</v>
      </c>
      <c r="EX639" s="1356"/>
      <c r="EY639" s="1356"/>
      <c r="EZ639" s="1356"/>
      <c r="FA639" s="1356"/>
    </row>
    <row r="640" spans="2:157" ht="12.95" customHeight="1">
      <c r="B640" s="1498" t="s">
        <v>268</v>
      </c>
      <c r="C640" s="1499"/>
      <c r="D640" s="1499"/>
      <c r="E640" s="1499"/>
      <c r="F640" s="1499"/>
      <c r="G640" s="1499"/>
      <c r="H640" s="1499"/>
      <c r="I640" s="1499"/>
      <c r="J640" s="1499"/>
      <c r="K640" s="1499"/>
      <c r="L640" s="1499"/>
      <c r="M640" s="1499"/>
      <c r="N640" s="1499"/>
      <c r="O640" s="1499"/>
      <c r="P640" s="1499"/>
      <c r="Q640" s="1499"/>
      <c r="R640" s="1499"/>
      <c r="S640" s="1499"/>
      <c r="T640" s="1499"/>
      <c r="U640" s="1499"/>
      <c r="V640" s="1499"/>
      <c r="W640" s="1499"/>
      <c r="X640" s="1499"/>
      <c r="Y640" s="1499"/>
      <c r="Z640" s="1499"/>
      <c r="AA640" s="1499"/>
      <c r="AB640" s="1499"/>
      <c r="AC640" s="1499"/>
      <c r="AD640" s="1499"/>
      <c r="AE640" s="1499"/>
      <c r="AF640" s="1499"/>
      <c r="AG640" s="1499"/>
      <c r="AH640" s="1499"/>
      <c r="AI640" s="1499"/>
      <c r="AJ640" s="1499"/>
      <c r="AK640" s="1499"/>
      <c r="AL640" s="1499"/>
      <c r="AM640" s="1499"/>
      <c r="AN640" s="1501"/>
      <c r="AO640" s="1523">
        <v>16925030</v>
      </c>
      <c r="AP640" s="1524"/>
      <c r="AQ640" s="1524"/>
      <c r="AR640" s="1524"/>
      <c r="AS640" s="1525"/>
      <c r="AV640" s="3"/>
      <c r="AW640" s="3"/>
      <c r="AX640" s="3"/>
      <c r="AY640" s="3"/>
      <c r="AZ640" s="34"/>
      <c r="BA640" s="34"/>
      <c r="BB640" s="34"/>
      <c r="BC640" s="34"/>
      <c r="BD640" s="34"/>
      <c r="BE640" s="34"/>
      <c r="BF640" s="34"/>
      <c r="BG640" s="34"/>
      <c r="BH640" s="34"/>
      <c r="BI640" s="34"/>
      <c r="BJ640" s="34"/>
      <c r="BK640" s="34"/>
      <c r="BL640" s="34"/>
      <c r="BM640" s="34"/>
      <c r="BN640" s="1364">
        <f>IF(J776="SRO/Studio",O776,0)</f>
        <v>0</v>
      </c>
      <c r="BO640" s="1365"/>
      <c r="BP640" s="1365"/>
      <c r="BQ640" s="1365"/>
      <c r="BR640" s="1366"/>
      <c r="BS640" s="1363">
        <f>IF(J776="1 Bedroom",O776,0)</f>
        <v>0</v>
      </c>
      <c r="BT640" s="1363"/>
      <c r="BU640" s="1363"/>
      <c r="BV640" s="1363"/>
      <c r="BW640" s="1363"/>
      <c r="BX640" s="1363">
        <f>IF(J776="2 Bedrooms",O776,0)</f>
        <v>0</v>
      </c>
      <c r="BY640" s="1363"/>
      <c r="BZ640" s="1363"/>
      <c r="CA640" s="1363"/>
      <c r="CB640" s="1363"/>
      <c r="CC640" s="1363">
        <f>IF(J776="3 Bedrooms",O776,0)</f>
        <v>0</v>
      </c>
      <c r="CD640" s="1363"/>
      <c r="CE640" s="1363"/>
      <c r="CF640" s="1363"/>
      <c r="CG640" s="1363"/>
      <c r="CH640" s="1363">
        <f>IF(J776="4 Bedrooms",O776,0)</f>
        <v>0</v>
      </c>
      <c r="CI640" s="1363"/>
      <c r="CJ640" s="1363"/>
      <c r="CK640" s="1363"/>
      <c r="CL640" s="1363"/>
      <c r="CM640" s="1363">
        <f>IF(J776="5 Bedrooms",O776,0)</f>
        <v>0</v>
      </c>
      <c r="CN640" s="1363"/>
      <c r="CO640" s="1363"/>
      <c r="CP640" s="1363"/>
      <c r="CQ640" s="1363"/>
      <c r="CV640" s="3"/>
      <c r="CW640" s="3"/>
      <c r="CX640" s="3"/>
      <c r="CY640" s="3"/>
      <c r="CZ640" s="3"/>
      <c r="DA640" s="3"/>
      <c r="DB640" s="3"/>
      <c r="DC640" s="3"/>
      <c r="DD640" s="3"/>
      <c r="DE640" s="3"/>
      <c r="DF640" s="3"/>
      <c r="DX640" s="1356" t="e">
        <f t="shared" si="29"/>
        <v>#VALUE!</v>
      </c>
      <c r="DY640" s="1356"/>
      <c r="DZ640" s="1356"/>
      <c r="EA640" s="1356"/>
      <c r="EB640" s="1356"/>
      <c r="EC640" s="1356">
        <f t="shared" si="24"/>
        <v>916.5</v>
      </c>
      <c r="ED640" s="1356"/>
      <c r="EE640" s="1356"/>
      <c r="EF640" s="1356"/>
      <c r="EG640" s="1356"/>
      <c r="EH640" s="1356" t="e">
        <f t="shared" si="25"/>
        <v>#VALUE!</v>
      </c>
      <c r="EI640" s="1356"/>
      <c r="EJ640" s="1356"/>
      <c r="EK640" s="1356"/>
      <c r="EL640" s="1356"/>
      <c r="EM640" s="1356" t="e">
        <f t="shared" si="26"/>
        <v>#VALUE!</v>
      </c>
      <c r="EN640" s="1356"/>
      <c r="EO640" s="1356"/>
      <c r="EP640" s="1356"/>
      <c r="EQ640" s="1356"/>
      <c r="ER640" s="1356" t="e">
        <f t="shared" si="27"/>
        <v>#VALUE!</v>
      </c>
      <c r="ES640" s="1356"/>
      <c r="ET640" s="1356"/>
      <c r="EU640" s="1356"/>
      <c r="EV640" s="1356"/>
      <c r="EW640" s="1356" t="e">
        <f t="shared" si="28"/>
        <v>#VALUE!</v>
      </c>
      <c r="EX640" s="1356"/>
      <c r="EY640" s="1356"/>
      <c r="EZ640" s="1356"/>
      <c r="FA640" s="1356"/>
    </row>
    <row r="641" spans="1:157" ht="12.95" customHeight="1">
      <c r="B641" s="1840" t="s">
        <v>269</v>
      </c>
      <c r="C641" s="1500"/>
      <c r="D641" s="1500"/>
      <c r="E641" s="1500"/>
      <c r="F641" s="1500"/>
      <c r="G641" s="1500"/>
      <c r="H641" s="1500"/>
      <c r="I641" s="1500"/>
      <c r="J641" s="1500"/>
      <c r="K641" s="1500"/>
      <c r="L641" s="1500"/>
      <c r="M641" s="1500"/>
      <c r="N641" s="1500"/>
      <c r="O641" s="1500"/>
      <c r="P641" s="1500"/>
      <c r="Q641" s="1500"/>
      <c r="R641" s="1500"/>
      <c r="S641" s="1500"/>
      <c r="T641" s="1500"/>
      <c r="U641" s="1500"/>
      <c r="V641" s="1500"/>
      <c r="W641" s="1500"/>
      <c r="X641" s="1500"/>
      <c r="Y641" s="1500"/>
      <c r="Z641" s="1500"/>
      <c r="AA641" s="1500"/>
      <c r="AB641" s="1500"/>
      <c r="AC641" s="1500"/>
      <c r="AD641" s="1500"/>
      <c r="AE641" s="1500"/>
      <c r="AF641" s="1500"/>
      <c r="AG641" s="1500"/>
      <c r="AH641" s="1500"/>
      <c r="AI641" s="1500"/>
      <c r="AJ641" s="1500"/>
      <c r="AK641" s="1500"/>
      <c r="AL641" s="1500"/>
      <c r="AM641" s="1500"/>
      <c r="AN641" s="1841"/>
      <c r="AO641" s="1616">
        <f>AO639+AO640</f>
        <v>46936060</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BN641" s="1367">
        <f>SUM(BN637:BR640)</f>
        <v>0</v>
      </c>
      <c r="BO641" s="1519"/>
      <c r="BP641" s="1519"/>
      <c r="BQ641" s="1519"/>
      <c r="BR641" s="1368"/>
      <c r="BS641" s="1692">
        <f>SUM(BS637:BW640)</f>
        <v>0</v>
      </c>
      <c r="BT641" s="1693"/>
      <c r="BU641" s="1693"/>
      <c r="BV641" s="1693"/>
      <c r="BW641" s="1694"/>
      <c r="BX641" s="1692">
        <f>SUM(BX637:CB640)</f>
        <v>1</v>
      </c>
      <c r="BY641" s="1693"/>
      <c r="BZ641" s="1693"/>
      <c r="CA641" s="1693"/>
      <c r="CB641" s="1694"/>
      <c r="CC641" s="1692">
        <f>SUM(CC637:CG640)</f>
        <v>0</v>
      </c>
      <c r="CD641" s="1693"/>
      <c r="CE641" s="1693"/>
      <c r="CF641" s="1693"/>
      <c r="CG641" s="1694"/>
      <c r="CH641" s="1692">
        <f>SUM(CH637:CL640)</f>
        <v>0</v>
      </c>
      <c r="CI641" s="1693"/>
      <c r="CJ641" s="1693"/>
      <c r="CK641" s="1693"/>
      <c r="CL641" s="1694"/>
      <c r="CM641" s="1692">
        <f>SUM(CM637:CQ640)</f>
        <v>0</v>
      </c>
      <c r="CN641" s="1693"/>
      <c r="CO641" s="1693"/>
      <c r="CP641" s="1693"/>
      <c r="CQ641" s="1694"/>
      <c r="CS641" s="895">
        <f>BN641+BS641+BX641+CC641+CH641+CM641</f>
        <v>1</v>
      </c>
      <c r="CT641" s="57" t="s">
        <v>2050</v>
      </c>
      <c r="CU641" s="3"/>
      <c r="CV641" s="3"/>
      <c r="CW641" s="3"/>
      <c r="CX641" s="3"/>
      <c r="CY641" s="3"/>
      <c r="CZ641" s="3"/>
      <c r="DA641" s="3"/>
      <c r="DB641" s="3"/>
      <c r="DC641" s="3"/>
      <c r="DD641" s="3"/>
      <c r="DE641" s="3"/>
      <c r="DF641" s="3"/>
      <c r="DX641" s="1356" t="e">
        <f t="shared" si="29"/>
        <v>#VALUE!</v>
      </c>
      <c r="DY641" s="1356"/>
      <c r="DZ641" s="1356"/>
      <c r="EA641" s="1356"/>
      <c r="EB641" s="1356"/>
      <c r="EC641" s="1356" t="e">
        <f t="shared" si="24"/>
        <v>#VALUE!</v>
      </c>
      <c r="ED641" s="1356"/>
      <c r="EE641" s="1356"/>
      <c r="EF641" s="1356"/>
      <c r="EG641" s="1356"/>
      <c r="EH641" s="1356">
        <f t="shared" si="25"/>
        <v>80.13333333333334</v>
      </c>
      <c r="EI641" s="1356"/>
      <c r="EJ641" s="1356"/>
      <c r="EK641" s="1356"/>
      <c r="EL641" s="1356"/>
      <c r="EM641" s="1356" t="e">
        <f t="shared" si="26"/>
        <v>#VALUE!</v>
      </c>
      <c r="EN641" s="1356"/>
      <c r="EO641" s="1356"/>
      <c r="EP641" s="1356"/>
      <c r="EQ641" s="1356"/>
      <c r="ER641" s="1356" t="e">
        <f t="shared" si="27"/>
        <v>#VALUE!</v>
      </c>
      <c r="ES641" s="1356"/>
      <c r="ET641" s="1356"/>
      <c r="EU641" s="1356"/>
      <c r="EV641" s="1356"/>
      <c r="EW641" s="1356" t="e">
        <f t="shared" si="28"/>
        <v>#VALUE!</v>
      </c>
      <c r="EX641" s="1356"/>
      <c r="EY641" s="1356"/>
      <c r="EZ641" s="1356"/>
      <c r="FA641" s="135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356" t="e">
        <f t="shared" si="29"/>
        <v>#VALUE!</v>
      </c>
      <c r="DY642" s="1356"/>
      <c r="DZ642" s="1356"/>
      <c r="EA642" s="1356"/>
      <c r="EB642" s="1356"/>
      <c r="EC642" s="1356" t="e">
        <f t="shared" si="24"/>
        <v>#VALUE!</v>
      </c>
      <c r="ED642" s="1356"/>
      <c r="EE642" s="1356"/>
      <c r="EF642" s="1356"/>
      <c r="EG642" s="1356"/>
      <c r="EH642" s="1356">
        <f t="shared" si="25"/>
        <v>139.13333333333333</v>
      </c>
      <c r="EI642" s="1356"/>
      <c r="EJ642" s="1356"/>
      <c r="EK642" s="1356"/>
      <c r="EL642" s="1356"/>
      <c r="EM642" s="1356" t="e">
        <f t="shared" si="26"/>
        <v>#VALUE!</v>
      </c>
      <c r="EN642" s="1356"/>
      <c r="EO642" s="1356"/>
      <c r="EP642" s="1356"/>
      <c r="EQ642" s="1356"/>
      <c r="ER642" s="1356" t="e">
        <f t="shared" si="27"/>
        <v>#VALUE!</v>
      </c>
      <c r="ES642" s="1356"/>
      <c r="ET642" s="1356"/>
      <c r="EU642" s="1356"/>
      <c r="EV642" s="1356"/>
      <c r="EW642" s="1356" t="e">
        <f t="shared" si="28"/>
        <v>#VALUE!</v>
      </c>
      <c r="EX642" s="1356"/>
      <c r="EY642" s="1356"/>
      <c r="EZ642" s="1356"/>
      <c r="FA642" s="1356"/>
    </row>
    <row r="643" spans="1:157" ht="12.95" customHeight="1">
      <c r="A643" s="55" t="s">
        <v>112</v>
      </c>
      <c r="B643" t="s">
        <v>472</v>
      </c>
      <c r="G643" s="1517" t="str">
        <f>C627</f>
        <v>Perm Bond Proceeds</v>
      </c>
      <c r="H643" s="1517"/>
      <c r="I643" s="1517"/>
      <c r="J643" s="1517"/>
      <c r="K643" s="1517"/>
      <c r="L643" s="1517"/>
      <c r="M643" s="1517"/>
      <c r="N643" s="1517"/>
      <c r="O643" s="1517"/>
      <c r="P643" s="1517"/>
      <c r="Q643" s="1517"/>
      <c r="R643" s="1517"/>
      <c r="S643" s="8"/>
      <c r="T643" s="55" t="s">
        <v>113</v>
      </c>
      <c r="U643" t="s">
        <v>472</v>
      </c>
      <c r="Z643" s="1517" t="str">
        <f>C628</f>
        <v xml:space="preserve">Seller Note </v>
      </c>
      <c r="AA643" s="1517"/>
      <c r="AB643" s="1517"/>
      <c r="AC643" s="1517"/>
      <c r="AD643" s="1517"/>
      <c r="AE643" s="1517"/>
      <c r="AF643" s="1517"/>
      <c r="AG643" s="1517"/>
      <c r="AH643" s="1517"/>
      <c r="AI643" s="1517"/>
      <c r="AJ643" s="1517"/>
      <c r="AK643" s="151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6" t="e">
        <f t="shared" si="29"/>
        <v>#VALUE!</v>
      </c>
      <c r="DY643" s="1356"/>
      <c r="DZ643" s="1356"/>
      <c r="EA643" s="1356"/>
      <c r="EB643" s="1356"/>
      <c r="EC643" s="1356" t="e">
        <f t="shared" si="24"/>
        <v>#VALUE!</v>
      </c>
      <c r="ED643" s="1356"/>
      <c r="EE643" s="1356"/>
      <c r="EF643" s="1356"/>
      <c r="EG643" s="1356"/>
      <c r="EH643" s="1356">
        <f t="shared" si="25"/>
        <v>1180.0444444444445</v>
      </c>
      <c r="EI643" s="1356"/>
      <c r="EJ643" s="1356"/>
      <c r="EK643" s="1356"/>
      <c r="EL643" s="1356"/>
      <c r="EM643" s="1356" t="e">
        <f t="shared" si="26"/>
        <v>#VALUE!</v>
      </c>
      <c r="EN643" s="1356"/>
      <c r="EO643" s="1356"/>
      <c r="EP643" s="1356"/>
      <c r="EQ643" s="1356"/>
      <c r="ER643" s="1356" t="e">
        <f t="shared" si="27"/>
        <v>#VALUE!</v>
      </c>
      <c r="ES643" s="1356"/>
      <c r="ET643" s="1356"/>
      <c r="EU643" s="1356"/>
      <c r="EV643" s="1356"/>
      <c r="EW643" s="1356" t="e">
        <f t="shared" si="28"/>
        <v>#VALUE!</v>
      </c>
      <c r="EX643" s="1356"/>
      <c r="EY643" s="1356"/>
      <c r="EZ643" s="1356"/>
      <c r="FA643" s="1356"/>
    </row>
    <row r="644" spans="1:157" ht="12.95" customHeight="1">
      <c r="A644" s="22"/>
      <c r="B644" t="s">
        <v>85</v>
      </c>
      <c r="G644" s="1467" t="s">
        <v>2765</v>
      </c>
      <c r="H644" s="1467"/>
      <c r="I644" s="1467"/>
      <c r="J644" s="1467"/>
      <c r="K644" s="1467"/>
      <c r="L644" s="1467"/>
      <c r="M644" s="1467"/>
      <c r="N644" s="1467"/>
      <c r="O644" s="1467"/>
      <c r="P644" s="1467"/>
      <c r="Q644" s="1467"/>
      <c r="R644" s="1467"/>
      <c r="S644" s="8"/>
      <c r="T644" s="22"/>
      <c r="U644" t="s">
        <v>85</v>
      </c>
      <c r="Z644" s="1467" t="s">
        <v>2662</v>
      </c>
      <c r="AA644" s="1467"/>
      <c r="AB644" s="1467"/>
      <c r="AC644" s="1467"/>
      <c r="AD644" s="1467"/>
      <c r="AE644" s="1467"/>
      <c r="AF644" s="1467"/>
      <c r="AG644" s="1467"/>
      <c r="AH644" s="1467"/>
      <c r="AI644" s="1467"/>
      <c r="AJ644" s="1467"/>
      <c r="AK644" s="1467"/>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56" t="e">
        <f t="shared" si="29"/>
        <v>#VALUE!</v>
      </c>
      <c r="DY644" s="1356"/>
      <c r="DZ644" s="1356"/>
      <c r="EA644" s="1356"/>
      <c r="EB644" s="1356"/>
      <c r="EC644" s="1356" t="e">
        <f t="shared" si="24"/>
        <v>#VALUE!</v>
      </c>
      <c r="ED644" s="1356"/>
      <c r="EE644" s="1356"/>
      <c r="EF644" s="1356"/>
      <c r="EG644" s="1356"/>
      <c r="EH644" s="1356" t="e">
        <f t="shared" si="25"/>
        <v>#VALUE!</v>
      </c>
      <c r="EI644" s="1356"/>
      <c r="EJ644" s="1356"/>
      <c r="EK644" s="1356"/>
      <c r="EL644" s="1356"/>
      <c r="EM644" s="1356">
        <f t="shared" si="26"/>
        <v>57.728571428571428</v>
      </c>
      <c r="EN644" s="1356"/>
      <c r="EO644" s="1356"/>
      <c r="EP644" s="1356"/>
      <c r="EQ644" s="1356"/>
      <c r="ER644" s="1356" t="e">
        <f t="shared" si="27"/>
        <v>#VALUE!</v>
      </c>
      <c r="ES644" s="1356"/>
      <c r="ET644" s="1356"/>
      <c r="EU644" s="1356"/>
      <c r="EV644" s="1356"/>
      <c r="EW644" s="1356" t="e">
        <f t="shared" si="28"/>
        <v>#VALUE!</v>
      </c>
      <c r="EX644" s="1356"/>
      <c r="EY644" s="1356"/>
      <c r="EZ644" s="1356"/>
      <c r="FA644" s="1356"/>
    </row>
    <row r="645" spans="1:157" ht="12.95" customHeight="1">
      <c r="A645" s="22"/>
      <c r="B645" t="s">
        <v>589</v>
      </c>
      <c r="G645" s="1467" t="s">
        <v>2743</v>
      </c>
      <c r="H645" s="1467"/>
      <c r="I645" s="1467"/>
      <c r="J645" s="1467"/>
      <c r="K645" s="1467"/>
      <c r="L645" s="1467"/>
      <c r="M645" s="1467"/>
      <c r="N645" s="1467"/>
      <c r="O645" s="1467"/>
      <c r="P645" s="1467"/>
      <c r="Q645" s="1467"/>
      <c r="R645" s="1467"/>
      <c r="T645" s="22"/>
      <c r="U645" t="s">
        <v>589</v>
      </c>
      <c r="Z645" s="1417" t="s">
        <v>2745</v>
      </c>
      <c r="AA645" s="1417"/>
      <c r="AB645" s="1417"/>
      <c r="AC645" s="1417"/>
      <c r="AD645" s="1417"/>
      <c r="AE645" s="1417"/>
      <c r="AF645" s="1417"/>
      <c r="AG645" s="1417"/>
      <c r="AH645" s="1417"/>
      <c r="AI645" s="1417"/>
      <c r="AJ645" s="1417"/>
      <c r="AK645" s="1417"/>
      <c r="AV645" s="3"/>
      <c r="AW645" s="3"/>
      <c r="AX645" s="3"/>
      <c r="AY645" s="3"/>
      <c r="AZ645" s="3"/>
      <c r="BA645" s="3"/>
      <c r="BB645" s="3"/>
      <c r="BC645" s="3"/>
      <c r="BD645" s="3"/>
      <c r="BE645" s="3"/>
      <c r="BF645" s="3"/>
      <c r="BG645" s="3"/>
      <c r="BH645" s="3"/>
      <c r="BI645" s="3"/>
      <c r="BJ645" s="3"/>
      <c r="BK645" s="3"/>
      <c r="BL645" s="3"/>
      <c r="BM645" s="3"/>
      <c r="BN645" s="1364">
        <f t="shared" ref="BN645:BN654" si="30">IF(J787="SRO/Studio",O787,0)</f>
        <v>0</v>
      </c>
      <c r="BO645" s="1365"/>
      <c r="BP645" s="1365"/>
      <c r="BQ645" s="1365"/>
      <c r="BR645" s="1366"/>
      <c r="BS645" s="1363">
        <f t="shared" ref="BS645:BS654" si="31">IF(J787="1 Bedroom",O787,0)</f>
        <v>0</v>
      </c>
      <c r="BT645" s="1363"/>
      <c r="BU645" s="1363"/>
      <c r="BV645" s="1363"/>
      <c r="BW645" s="1363"/>
      <c r="BX645" s="1363">
        <f t="shared" ref="BX645:BX654" si="32">IF(J787="2 Bedrooms",O787,0)</f>
        <v>0</v>
      </c>
      <c r="BY645" s="1363"/>
      <c r="BZ645" s="1363"/>
      <c r="CA645" s="1363"/>
      <c r="CB645" s="1363"/>
      <c r="CC645" s="1363">
        <f t="shared" ref="CC645:CC654" si="33">IF(J787="3 Bedrooms",O787,0)</f>
        <v>0</v>
      </c>
      <c r="CD645" s="1363"/>
      <c r="CE645" s="1363"/>
      <c r="CF645" s="1363"/>
      <c r="CG645" s="1363"/>
      <c r="CH645" s="1363">
        <f t="shared" ref="CH645:CH654" si="34">IF(J787="4 Bedrooms",O787,0)</f>
        <v>0</v>
      </c>
      <c r="CI645" s="1363"/>
      <c r="CJ645" s="1363"/>
      <c r="CK645" s="1363"/>
      <c r="CL645" s="1363"/>
      <c r="CM645" s="1363">
        <f t="shared" ref="CM645:CM654" si="35">IF(J787="5 Bedrooms",O787,0)</f>
        <v>0</v>
      </c>
      <c r="CN645" s="1363"/>
      <c r="CO645" s="1363"/>
      <c r="CP645" s="1363"/>
      <c r="CQ645" s="1363"/>
      <c r="CR645" s="6"/>
      <c r="CS645" s="1364">
        <f t="shared" ref="CS645:CS654" si="36">IF(AND(BN645&gt;=1,AH787&gt;=0.1,AH787&lt;=1),O787,0)</f>
        <v>0</v>
      </c>
      <c r="CT645" s="1365"/>
      <c r="CU645" s="1365"/>
      <c r="CV645" s="1365"/>
      <c r="CW645" s="1366"/>
      <c r="CX645" s="1364">
        <f t="shared" ref="CX645:CX654" si="37">IF(AND(BS645&gt;=1,AH787&gt;=0.1,AH787&lt;=1),O787,0)</f>
        <v>0</v>
      </c>
      <c r="CY645" s="1365"/>
      <c r="CZ645" s="1365"/>
      <c r="DA645" s="1365"/>
      <c r="DB645" s="1366"/>
      <c r="DC645" s="1364">
        <f t="shared" ref="DC645:DC654" si="38">IF(AND(BX645&gt;=1,AH787&gt;=0.1,AH787&lt;=1),O787,0)</f>
        <v>0</v>
      </c>
      <c r="DD645" s="1365"/>
      <c r="DE645" s="1365"/>
      <c r="DF645" s="1365"/>
      <c r="DG645" s="1366"/>
      <c r="DH645" s="1364">
        <f t="shared" ref="DH645:DH654" si="39">IF(AND(CC645&gt;=1,AH787&gt;=0.1,AH787&lt;=1),O787,0)</f>
        <v>0</v>
      </c>
      <c r="DI645" s="1365"/>
      <c r="DJ645" s="1365"/>
      <c r="DK645" s="1365"/>
      <c r="DL645" s="1366"/>
      <c r="DM645" s="1364">
        <f t="shared" ref="DM645:DM654" si="40">IF(AND(CH645&gt;=1,AH787&gt;=0.1,AH787&lt;=1),O787,0)</f>
        <v>0</v>
      </c>
      <c r="DN645" s="1365"/>
      <c r="DO645" s="1365"/>
      <c r="DP645" s="1365"/>
      <c r="DQ645" s="1366"/>
      <c r="DR645" s="1364">
        <f t="shared" ref="DR645:DR654" si="41">IF(AND(CM645&gt;=1,AH787&gt;=0.1,AH787&lt;=1),O787,0)</f>
        <v>0</v>
      </c>
      <c r="DS645" s="1365"/>
      <c r="DT645" s="1365"/>
      <c r="DU645" s="1365"/>
      <c r="DV645" s="1366"/>
      <c r="DX645" s="1356" t="e">
        <f t="shared" si="29"/>
        <v>#VALUE!</v>
      </c>
      <c r="DY645" s="1356"/>
      <c r="DZ645" s="1356"/>
      <c r="EA645" s="1356"/>
      <c r="EB645" s="1356"/>
      <c r="EC645" s="1356" t="e">
        <f t="shared" si="24"/>
        <v>#VALUE!</v>
      </c>
      <c r="ED645" s="1356"/>
      <c r="EE645" s="1356"/>
      <c r="EF645" s="1356"/>
      <c r="EG645" s="1356"/>
      <c r="EH645" s="1356" t="e">
        <f t="shared" si="25"/>
        <v>#VALUE!</v>
      </c>
      <c r="EI645" s="1356"/>
      <c r="EJ645" s="1356"/>
      <c r="EK645" s="1356"/>
      <c r="EL645" s="1356"/>
      <c r="EM645" s="1356">
        <f t="shared" si="26"/>
        <v>67.666666666666657</v>
      </c>
      <c r="EN645" s="1356"/>
      <c r="EO645" s="1356"/>
      <c r="EP645" s="1356"/>
      <c r="EQ645" s="1356"/>
      <c r="ER645" s="1356" t="e">
        <f t="shared" si="27"/>
        <v>#VALUE!</v>
      </c>
      <c r="ES645" s="1356"/>
      <c r="ET645" s="1356"/>
      <c r="EU645" s="1356"/>
      <c r="EV645" s="1356"/>
      <c r="EW645" s="1356" t="e">
        <f t="shared" si="28"/>
        <v>#VALUE!</v>
      </c>
      <c r="EX645" s="1356"/>
      <c r="EY645" s="1356"/>
      <c r="EZ645" s="1356"/>
      <c r="FA645" s="1356"/>
    </row>
    <row r="646" spans="1:157" ht="12.95" customHeight="1">
      <c r="A646" s="22"/>
      <c r="B646" t="s">
        <v>17</v>
      </c>
      <c r="G646" s="1467" t="s">
        <v>2764</v>
      </c>
      <c r="H646" s="1467"/>
      <c r="I646" s="1467"/>
      <c r="J646" s="1467"/>
      <c r="K646" s="1467"/>
      <c r="L646" s="1467"/>
      <c r="M646" s="1467"/>
      <c r="N646" s="1467"/>
      <c r="O646" s="1467"/>
      <c r="P646" s="1467"/>
      <c r="Q646" s="1467"/>
      <c r="R646" s="1467"/>
      <c r="S646" s="8"/>
      <c r="T646" s="22"/>
      <c r="U646" t="s">
        <v>17</v>
      </c>
      <c r="Z646" s="1417" t="s">
        <v>2746</v>
      </c>
      <c r="AA646" s="1417"/>
      <c r="AB646" s="1417"/>
      <c r="AC646" s="1417"/>
      <c r="AD646" s="1417"/>
      <c r="AE646" s="1417"/>
      <c r="AF646" s="1417"/>
      <c r="AG646" s="1417"/>
      <c r="AH646" s="1417"/>
      <c r="AI646" s="1417"/>
      <c r="AJ646" s="1417"/>
      <c r="AK646" s="1417"/>
      <c r="AZ646" s="3"/>
      <c r="BA646" s="3"/>
      <c r="BB646" s="3"/>
      <c r="BC646" s="3"/>
      <c r="BD646" s="3"/>
      <c r="BE646" s="3"/>
      <c r="BF646" s="3"/>
      <c r="BG646" s="3"/>
      <c r="BH646" s="3"/>
      <c r="BI646" s="3"/>
      <c r="BJ646" s="3"/>
      <c r="BK646" s="3"/>
      <c r="BL646" s="3"/>
      <c r="BM646" s="3"/>
      <c r="BN646" s="1364">
        <f t="shared" si="30"/>
        <v>0</v>
      </c>
      <c r="BO646" s="1365"/>
      <c r="BP646" s="1365"/>
      <c r="BQ646" s="1365"/>
      <c r="BR646" s="1366"/>
      <c r="BS646" s="1363">
        <f t="shared" si="31"/>
        <v>0</v>
      </c>
      <c r="BT646" s="1363"/>
      <c r="BU646" s="1363"/>
      <c r="BV646" s="1363"/>
      <c r="BW646" s="1363"/>
      <c r="BX646" s="1363">
        <f t="shared" si="32"/>
        <v>0</v>
      </c>
      <c r="BY646" s="1363"/>
      <c r="BZ646" s="1363"/>
      <c r="CA646" s="1363"/>
      <c r="CB646" s="1363"/>
      <c r="CC646" s="1363">
        <f t="shared" si="33"/>
        <v>0</v>
      </c>
      <c r="CD646" s="1363"/>
      <c r="CE646" s="1363"/>
      <c r="CF646" s="1363"/>
      <c r="CG646" s="1363"/>
      <c r="CH646" s="1363">
        <f t="shared" si="34"/>
        <v>0</v>
      </c>
      <c r="CI646" s="1363"/>
      <c r="CJ646" s="1363"/>
      <c r="CK646" s="1363"/>
      <c r="CL646" s="1363"/>
      <c r="CM646" s="1363">
        <f t="shared" si="35"/>
        <v>0</v>
      </c>
      <c r="CN646" s="1363"/>
      <c r="CO646" s="1363"/>
      <c r="CP646" s="1363"/>
      <c r="CQ646" s="1363"/>
      <c r="CR646" s="6"/>
      <c r="CS646" s="1364">
        <f t="shared" si="36"/>
        <v>0</v>
      </c>
      <c r="CT646" s="1365"/>
      <c r="CU646" s="1365"/>
      <c r="CV646" s="1365"/>
      <c r="CW646" s="1366"/>
      <c r="CX646" s="1364">
        <f t="shared" si="37"/>
        <v>0</v>
      </c>
      <c r="CY646" s="1365"/>
      <c r="CZ646" s="1365"/>
      <c r="DA646" s="1365"/>
      <c r="DB646" s="1366"/>
      <c r="DC646" s="1364">
        <f t="shared" si="38"/>
        <v>0</v>
      </c>
      <c r="DD646" s="1365"/>
      <c r="DE646" s="1365"/>
      <c r="DF646" s="1365"/>
      <c r="DG646" s="1366"/>
      <c r="DH646" s="1364">
        <f t="shared" si="39"/>
        <v>0</v>
      </c>
      <c r="DI646" s="1365"/>
      <c r="DJ646" s="1365"/>
      <c r="DK646" s="1365"/>
      <c r="DL646" s="1366"/>
      <c r="DM646" s="1364">
        <f t="shared" si="40"/>
        <v>0</v>
      </c>
      <c r="DN646" s="1365"/>
      <c r="DO646" s="1365"/>
      <c r="DP646" s="1365"/>
      <c r="DQ646" s="1366"/>
      <c r="DR646" s="1364">
        <f t="shared" si="41"/>
        <v>0</v>
      </c>
      <c r="DS646" s="1365"/>
      <c r="DT646" s="1365"/>
      <c r="DU646" s="1365"/>
      <c r="DV646" s="1366"/>
      <c r="DX646" s="1356" t="e">
        <f t="shared" si="29"/>
        <v>#VALUE!</v>
      </c>
      <c r="DY646" s="1356"/>
      <c r="DZ646" s="1356"/>
      <c r="EA646" s="1356"/>
      <c r="EB646" s="1356"/>
      <c r="EC646" s="1356" t="e">
        <f t="shared" si="24"/>
        <v>#VALUE!</v>
      </c>
      <c r="ED646" s="1356"/>
      <c r="EE646" s="1356"/>
      <c r="EF646" s="1356"/>
      <c r="EG646" s="1356"/>
      <c r="EH646" s="1356" t="e">
        <f t="shared" si="25"/>
        <v>#VALUE!</v>
      </c>
      <c r="EI646" s="1356"/>
      <c r="EJ646" s="1356"/>
      <c r="EK646" s="1356"/>
      <c r="EL646" s="1356"/>
      <c r="EM646" s="1356">
        <f t="shared" si="26"/>
        <v>1522.1095238095238</v>
      </c>
      <c r="EN646" s="1356"/>
      <c r="EO646" s="1356"/>
      <c r="EP646" s="1356"/>
      <c r="EQ646" s="1356"/>
      <c r="ER646" s="1356" t="e">
        <f t="shared" si="27"/>
        <v>#VALUE!</v>
      </c>
      <c r="ES646" s="1356"/>
      <c r="ET646" s="1356"/>
      <c r="EU646" s="1356"/>
      <c r="EV646" s="1356"/>
      <c r="EW646" s="1356" t="e">
        <f t="shared" si="28"/>
        <v>#VALUE!</v>
      </c>
      <c r="EX646" s="1356"/>
      <c r="EY646" s="1356"/>
      <c r="EZ646" s="1356"/>
      <c r="FA646" s="1356"/>
    </row>
    <row r="647" spans="1:157" ht="12.95" customHeight="1">
      <c r="A647" s="22"/>
      <c r="B647" t="s">
        <v>317</v>
      </c>
      <c r="G647" s="1551" t="s">
        <v>2744</v>
      </c>
      <c r="H647" s="1466"/>
      <c r="I647" s="1466"/>
      <c r="J647" s="1466"/>
      <c r="K647" s="1466"/>
      <c r="L647" s="1466"/>
      <c r="O647" s="33" t="s">
        <v>207</v>
      </c>
      <c r="P647" s="1406"/>
      <c r="Q647" s="1406"/>
      <c r="R647" s="1406"/>
      <c r="S647" s="10"/>
      <c r="T647" s="22"/>
      <c r="U647" t="s">
        <v>317</v>
      </c>
      <c r="Z647" s="1466" t="s">
        <v>2665</v>
      </c>
      <c r="AA647" s="1466"/>
      <c r="AB647" s="1466"/>
      <c r="AC647" s="1466"/>
      <c r="AD647" s="1466"/>
      <c r="AE647" s="1466"/>
      <c r="AH647" s="33" t="s">
        <v>207</v>
      </c>
      <c r="AI647" s="1406"/>
      <c r="AJ647" s="1406"/>
      <c r="AK647" s="1406"/>
      <c r="AZ647" s="34"/>
      <c r="BA647" s="34"/>
      <c r="BB647" s="34"/>
      <c r="BC647" s="34"/>
      <c r="BD647" s="34"/>
      <c r="BE647" s="34"/>
      <c r="BF647" s="34"/>
      <c r="BG647" s="34"/>
      <c r="BH647" s="34"/>
      <c r="BI647" s="34"/>
      <c r="BJ647" s="34"/>
      <c r="BK647" s="34"/>
      <c r="BL647" s="34"/>
      <c r="BM647" s="34"/>
      <c r="BN647" s="1364">
        <f t="shared" si="30"/>
        <v>0</v>
      </c>
      <c r="BO647" s="1365"/>
      <c r="BP647" s="1365"/>
      <c r="BQ647" s="1365"/>
      <c r="BR647" s="1366"/>
      <c r="BS647" s="1363">
        <f t="shared" si="31"/>
        <v>0</v>
      </c>
      <c r="BT647" s="1363"/>
      <c r="BU647" s="1363"/>
      <c r="BV647" s="1363"/>
      <c r="BW647" s="1363"/>
      <c r="BX647" s="1363">
        <f t="shared" si="32"/>
        <v>0</v>
      </c>
      <c r="BY647" s="1363"/>
      <c r="BZ647" s="1363"/>
      <c r="CA647" s="1363"/>
      <c r="CB647" s="1363"/>
      <c r="CC647" s="1363">
        <f t="shared" si="33"/>
        <v>0</v>
      </c>
      <c r="CD647" s="1363"/>
      <c r="CE647" s="1363"/>
      <c r="CF647" s="1363"/>
      <c r="CG647" s="1363"/>
      <c r="CH647" s="1363">
        <f t="shared" si="34"/>
        <v>0</v>
      </c>
      <c r="CI647" s="1363"/>
      <c r="CJ647" s="1363"/>
      <c r="CK647" s="1363"/>
      <c r="CL647" s="1363"/>
      <c r="CM647" s="1363">
        <f t="shared" si="35"/>
        <v>0</v>
      </c>
      <c r="CN647" s="1363"/>
      <c r="CO647" s="1363"/>
      <c r="CP647" s="1363"/>
      <c r="CQ647" s="1363"/>
      <c r="CR647" s="6"/>
      <c r="CS647" s="1364">
        <f t="shared" si="36"/>
        <v>0</v>
      </c>
      <c r="CT647" s="1365"/>
      <c r="CU647" s="1365"/>
      <c r="CV647" s="1365"/>
      <c r="CW647" s="1366"/>
      <c r="CX647" s="1364">
        <f t="shared" si="37"/>
        <v>0</v>
      </c>
      <c r="CY647" s="1365"/>
      <c r="CZ647" s="1365"/>
      <c r="DA647" s="1365"/>
      <c r="DB647" s="1366"/>
      <c r="DC647" s="1364">
        <f t="shared" si="38"/>
        <v>0</v>
      </c>
      <c r="DD647" s="1365"/>
      <c r="DE647" s="1365"/>
      <c r="DF647" s="1365"/>
      <c r="DG647" s="1366"/>
      <c r="DH647" s="1364">
        <f t="shared" si="39"/>
        <v>0</v>
      </c>
      <c r="DI647" s="1365"/>
      <c r="DJ647" s="1365"/>
      <c r="DK647" s="1365"/>
      <c r="DL647" s="1366"/>
      <c r="DM647" s="1364">
        <f t="shared" si="40"/>
        <v>0</v>
      </c>
      <c r="DN647" s="1365"/>
      <c r="DO647" s="1365"/>
      <c r="DP647" s="1365"/>
      <c r="DQ647" s="1366"/>
      <c r="DR647" s="1364">
        <f t="shared" si="41"/>
        <v>0</v>
      </c>
      <c r="DS647" s="1365"/>
      <c r="DT647" s="1365"/>
      <c r="DU647" s="1365"/>
      <c r="DV647" s="1366"/>
      <c r="DX647" s="1356" t="e">
        <f t="shared" si="29"/>
        <v>#VALUE!</v>
      </c>
      <c r="DY647" s="1356"/>
      <c r="DZ647" s="1356"/>
      <c r="EA647" s="1356"/>
      <c r="EB647" s="1356"/>
      <c r="EC647" s="1356" t="e">
        <f t="shared" si="24"/>
        <v>#VALUE!</v>
      </c>
      <c r="ED647" s="1356"/>
      <c r="EE647" s="1356"/>
      <c r="EF647" s="1356"/>
      <c r="EG647" s="1356"/>
      <c r="EH647" s="1356" t="e">
        <f t="shared" si="25"/>
        <v>#VALUE!</v>
      </c>
      <c r="EI647" s="1356"/>
      <c r="EJ647" s="1356"/>
      <c r="EK647" s="1356"/>
      <c r="EL647" s="1356"/>
      <c r="EM647" s="1356" t="e">
        <f t="shared" si="26"/>
        <v>#VALUE!</v>
      </c>
      <c r="EN647" s="1356"/>
      <c r="EO647" s="1356"/>
      <c r="EP647" s="1356"/>
      <c r="EQ647" s="1356"/>
      <c r="ER647" s="1356">
        <f t="shared" si="27"/>
        <v>106</v>
      </c>
      <c r="ES647" s="1356"/>
      <c r="ET647" s="1356"/>
      <c r="EU647" s="1356"/>
      <c r="EV647" s="1356"/>
      <c r="EW647" s="1356" t="e">
        <f t="shared" si="28"/>
        <v>#VALUE!</v>
      </c>
      <c r="EX647" s="1356"/>
      <c r="EY647" s="1356"/>
      <c r="EZ647" s="1356"/>
      <c r="FA647" s="1356"/>
    </row>
    <row r="648" spans="1:157" ht="12.95" customHeight="1">
      <c r="A648" s="22"/>
      <c r="B648" t="s">
        <v>18</v>
      </c>
      <c r="H648" s="1467" t="s">
        <v>2783</v>
      </c>
      <c r="I648" s="1467"/>
      <c r="J648" s="1467"/>
      <c r="K648" s="1467"/>
      <c r="L648" s="1467"/>
      <c r="M648" s="1467"/>
      <c r="N648" s="1467"/>
      <c r="O648" s="1467"/>
      <c r="P648" s="1467"/>
      <c r="Q648" s="1467"/>
      <c r="R648" s="1467"/>
      <c r="S648" s="8"/>
      <c r="T648" s="22"/>
      <c r="U648" t="s">
        <v>18</v>
      </c>
      <c r="AA648" s="1467" t="s">
        <v>2715</v>
      </c>
      <c r="AB648" s="1467"/>
      <c r="AC648" s="1467"/>
      <c r="AD648" s="1467"/>
      <c r="AE648" s="1467"/>
      <c r="AF648" s="1467"/>
      <c r="AG648" s="1467"/>
      <c r="AH648" s="1467"/>
      <c r="AI648" s="1467"/>
      <c r="AJ648" s="1467"/>
      <c r="AK648" s="1467"/>
      <c r="AZ648" s="34"/>
      <c r="BA648" s="34"/>
      <c r="BB648" s="34"/>
      <c r="BC648" s="34"/>
      <c r="BD648" s="34"/>
      <c r="BE648" s="34"/>
      <c r="BF648" s="34"/>
      <c r="BG648" s="34"/>
      <c r="BH648" s="34"/>
      <c r="BI648" s="34"/>
      <c r="BJ648" s="34"/>
      <c r="BK648" s="34"/>
      <c r="BL648" s="34"/>
      <c r="BM648" s="34"/>
      <c r="BN648" s="1364">
        <f t="shared" si="30"/>
        <v>0</v>
      </c>
      <c r="BO648" s="1365"/>
      <c r="BP648" s="1365"/>
      <c r="BQ648" s="1365"/>
      <c r="BR648" s="1366"/>
      <c r="BS648" s="1363">
        <f t="shared" si="31"/>
        <v>0</v>
      </c>
      <c r="BT648" s="1363"/>
      <c r="BU648" s="1363"/>
      <c r="BV648" s="1363"/>
      <c r="BW648" s="1363"/>
      <c r="BX648" s="1363">
        <f t="shared" si="32"/>
        <v>0</v>
      </c>
      <c r="BY648" s="1363"/>
      <c r="BZ648" s="1363"/>
      <c r="CA648" s="1363"/>
      <c r="CB648" s="1363"/>
      <c r="CC648" s="1363">
        <f t="shared" si="33"/>
        <v>0</v>
      </c>
      <c r="CD648" s="1363"/>
      <c r="CE648" s="1363"/>
      <c r="CF648" s="1363"/>
      <c r="CG648" s="1363"/>
      <c r="CH648" s="1363">
        <f t="shared" si="34"/>
        <v>0</v>
      </c>
      <c r="CI648" s="1363"/>
      <c r="CJ648" s="1363"/>
      <c r="CK648" s="1363"/>
      <c r="CL648" s="1363"/>
      <c r="CM648" s="1363">
        <f t="shared" si="35"/>
        <v>0</v>
      </c>
      <c r="CN648" s="1363"/>
      <c r="CO648" s="1363"/>
      <c r="CP648" s="1363"/>
      <c r="CQ648" s="1363"/>
      <c r="CR648" s="6"/>
      <c r="CS648" s="1364">
        <f t="shared" si="36"/>
        <v>0</v>
      </c>
      <c r="CT648" s="1365"/>
      <c r="CU648" s="1365"/>
      <c r="CV648" s="1365"/>
      <c r="CW648" s="1366"/>
      <c r="CX648" s="1364">
        <f t="shared" si="37"/>
        <v>0</v>
      </c>
      <c r="CY648" s="1365"/>
      <c r="CZ648" s="1365"/>
      <c r="DA648" s="1365"/>
      <c r="DB648" s="1366"/>
      <c r="DC648" s="1364">
        <f t="shared" si="38"/>
        <v>0</v>
      </c>
      <c r="DD648" s="1365"/>
      <c r="DE648" s="1365"/>
      <c r="DF648" s="1365"/>
      <c r="DG648" s="1366"/>
      <c r="DH648" s="1364">
        <f t="shared" si="39"/>
        <v>0</v>
      </c>
      <c r="DI648" s="1365"/>
      <c r="DJ648" s="1365"/>
      <c r="DK648" s="1365"/>
      <c r="DL648" s="1366"/>
      <c r="DM648" s="1364">
        <f t="shared" si="40"/>
        <v>0</v>
      </c>
      <c r="DN648" s="1365"/>
      <c r="DO648" s="1365"/>
      <c r="DP648" s="1365"/>
      <c r="DQ648" s="1366"/>
      <c r="DR648" s="1364">
        <f t="shared" si="41"/>
        <v>0</v>
      </c>
      <c r="DS648" s="1365"/>
      <c r="DT648" s="1365"/>
      <c r="DU648" s="1365"/>
      <c r="DV648" s="1366"/>
      <c r="DX648" s="1356" t="e">
        <f t="shared" si="29"/>
        <v>#VALUE!</v>
      </c>
      <c r="DY648" s="1356"/>
      <c r="DZ648" s="1356"/>
      <c r="EA648" s="1356"/>
      <c r="EB648" s="1356"/>
      <c r="EC648" s="1356" t="e">
        <f t="shared" si="24"/>
        <v>#VALUE!</v>
      </c>
      <c r="ED648" s="1356"/>
      <c r="EE648" s="1356"/>
      <c r="EF648" s="1356"/>
      <c r="EG648" s="1356"/>
      <c r="EH648" s="1356" t="e">
        <f t="shared" si="25"/>
        <v>#VALUE!</v>
      </c>
      <c r="EI648" s="1356"/>
      <c r="EJ648" s="1356"/>
      <c r="EK648" s="1356"/>
      <c r="EL648" s="1356"/>
      <c r="EM648" s="1356" t="e">
        <f t="shared" si="26"/>
        <v>#VALUE!</v>
      </c>
      <c r="EN648" s="1356"/>
      <c r="EO648" s="1356"/>
      <c r="EP648" s="1356"/>
      <c r="EQ648" s="1356"/>
      <c r="ER648" s="1356">
        <f t="shared" si="27"/>
        <v>1639.75</v>
      </c>
      <c r="ES648" s="1356"/>
      <c r="ET648" s="1356"/>
      <c r="EU648" s="1356"/>
      <c r="EV648" s="1356"/>
      <c r="EW648" s="1356" t="e">
        <f t="shared" si="28"/>
        <v>#VALUE!</v>
      </c>
      <c r="EX648" s="1356"/>
      <c r="EY648" s="1356"/>
      <c r="EZ648" s="1356"/>
      <c r="FA648" s="1356"/>
    </row>
    <row r="649" spans="1:157" ht="12.95" customHeight="1">
      <c r="A649" s="22"/>
      <c r="B649" t="s">
        <v>20</v>
      </c>
      <c r="N649" s="1428" t="s">
        <v>554</v>
      </c>
      <c r="O649" s="1428"/>
      <c r="T649" s="22"/>
      <c r="U649" t="s">
        <v>20</v>
      </c>
      <c r="AG649" s="1428" t="s">
        <v>554</v>
      </c>
      <c r="AH649" s="1428"/>
      <c r="AZ649" s="34"/>
      <c r="BA649" s="34"/>
      <c r="BB649" s="34"/>
      <c r="BC649" s="34"/>
      <c r="BD649" s="34"/>
      <c r="BE649" s="34"/>
      <c r="BF649" s="34"/>
      <c r="BG649" s="34"/>
      <c r="BH649" s="34"/>
      <c r="BI649" s="34"/>
      <c r="BJ649" s="34"/>
      <c r="BK649" s="34"/>
      <c r="BL649" s="34"/>
      <c r="BM649" s="34"/>
      <c r="BN649" s="1364">
        <f t="shared" si="30"/>
        <v>0</v>
      </c>
      <c r="BO649" s="1365"/>
      <c r="BP649" s="1365"/>
      <c r="BQ649" s="1365"/>
      <c r="BR649" s="1366"/>
      <c r="BS649" s="1363">
        <f t="shared" si="31"/>
        <v>0</v>
      </c>
      <c r="BT649" s="1363"/>
      <c r="BU649" s="1363"/>
      <c r="BV649" s="1363"/>
      <c r="BW649" s="1363"/>
      <c r="BX649" s="1363">
        <f t="shared" si="32"/>
        <v>0</v>
      </c>
      <c r="BY649" s="1363"/>
      <c r="BZ649" s="1363"/>
      <c r="CA649" s="1363"/>
      <c r="CB649" s="1363"/>
      <c r="CC649" s="1363">
        <f t="shared" si="33"/>
        <v>0</v>
      </c>
      <c r="CD649" s="1363"/>
      <c r="CE649" s="1363"/>
      <c r="CF649" s="1363"/>
      <c r="CG649" s="1363"/>
      <c r="CH649" s="1363">
        <f t="shared" si="34"/>
        <v>0</v>
      </c>
      <c r="CI649" s="1363"/>
      <c r="CJ649" s="1363"/>
      <c r="CK649" s="1363"/>
      <c r="CL649" s="1363"/>
      <c r="CM649" s="1363">
        <f t="shared" si="35"/>
        <v>0</v>
      </c>
      <c r="CN649" s="1363"/>
      <c r="CO649" s="1363"/>
      <c r="CP649" s="1363"/>
      <c r="CQ649" s="1363"/>
      <c r="CR649" s="6"/>
      <c r="CS649" s="1364">
        <f t="shared" si="36"/>
        <v>0</v>
      </c>
      <c r="CT649" s="1365"/>
      <c r="CU649" s="1365"/>
      <c r="CV649" s="1365"/>
      <c r="CW649" s="1366"/>
      <c r="CX649" s="1364">
        <f t="shared" si="37"/>
        <v>0</v>
      </c>
      <c r="CY649" s="1365"/>
      <c r="CZ649" s="1365"/>
      <c r="DA649" s="1365"/>
      <c r="DB649" s="1366"/>
      <c r="DC649" s="1364">
        <f t="shared" si="38"/>
        <v>0</v>
      </c>
      <c r="DD649" s="1365"/>
      <c r="DE649" s="1365"/>
      <c r="DF649" s="1365"/>
      <c r="DG649" s="1366"/>
      <c r="DH649" s="1364">
        <f t="shared" si="39"/>
        <v>0</v>
      </c>
      <c r="DI649" s="1365"/>
      <c r="DJ649" s="1365"/>
      <c r="DK649" s="1365"/>
      <c r="DL649" s="1366"/>
      <c r="DM649" s="1364">
        <f t="shared" si="40"/>
        <v>0</v>
      </c>
      <c r="DN649" s="1365"/>
      <c r="DO649" s="1365"/>
      <c r="DP649" s="1365"/>
      <c r="DQ649" s="1366"/>
      <c r="DR649" s="1364">
        <f t="shared" si="41"/>
        <v>0</v>
      </c>
      <c r="DS649" s="1365"/>
      <c r="DT649" s="1365"/>
      <c r="DU649" s="1365"/>
      <c r="DV649" s="1366"/>
      <c r="DX649" s="1356" t="e">
        <f t="shared" si="29"/>
        <v>#VALUE!</v>
      </c>
      <c r="DY649" s="1356"/>
      <c r="DZ649" s="1356"/>
      <c r="EA649" s="1356"/>
      <c r="EB649" s="1356"/>
      <c r="EC649" s="1356" t="e">
        <f t="shared" si="24"/>
        <v>#VALUE!</v>
      </c>
      <c r="ED649" s="1356"/>
      <c r="EE649" s="1356"/>
      <c r="EF649" s="1356"/>
      <c r="EG649" s="1356"/>
      <c r="EH649" s="1356" t="e">
        <f t="shared" si="25"/>
        <v>#VALUE!</v>
      </c>
      <c r="EI649" s="1356"/>
      <c r="EJ649" s="1356"/>
      <c r="EK649" s="1356"/>
      <c r="EL649" s="1356"/>
      <c r="EM649" s="1356" t="e">
        <f t="shared" si="26"/>
        <v>#VALUE!</v>
      </c>
      <c r="EN649" s="1356"/>
      <c r="EO649" s="1356"/>
      <c r="EP649" s="1356"/>
      <c r="EQ649" s="1356"/>
      <c r="ER649" s="1356" t="e">
        <f t="shared" si="27"/>
        <v>#VALUE!</v>
      </c>
      <c r="ES649" s="1356"/>
      <c r="ET649" s="1356"/>
      <c r="EU649" s="1356"/>
      <c r="EV649" s="1356"/>
      <c r="EW649" s="1356" t="e">
        <f t="shared" si="28"/>
        <v>#VALUE!</v>
      </c>
      <c r="EX649" s="1356"/>
      <c r="EY649" s="1356"/>
      <c r="EZ649" s="1356"/>
      <c r="FA649" s="1356"/>
    </row>
    <row r="650" spans="1:157" ht="12.95" customHeight="1">
      <c r="A650" s="22"/>
      <c r="T650" s="22"/>
      <c r="AZ650" s="34"/>
      <c r="BA650" s="34"/>
      <c r="BB650" s="34"/>
      <c r="BC650" s="34"/>
      <c r="BD650" s="34"/>
      <c r="BE650" s="34"/>
      <c r="BF650" s="34"/>
      <c r="BG650" s="34"/>
      <c r="BH650" s="34"/>
      <c r="BI650" s="34"/>
      <c r="BJ650" s="34"/>
      <c r="BK650" s="34"/>
      <c r="BL650" s="34"/>
      <c r="BM650" s="34"/>
      <c r="BN650" s="1364">
        <f t="shared" si="30"/>
        <v>0</v>
      </c>
      <c r="BO650" s="1365"/>
      <c r="BP650" s="1365"/>
      <c r="BQ650" s="1365"/>
      <c r="BR650" s="1366"/>
      <c r="BS650" s="1363">
        <f t="shared" si="31"/>
        <v>0</v>
      </c>
      <c r="BT650" s="1363"/>
      <c r="BU650" s="1363"/>
      <c r="BV650" s="1363"/>
      <c r="BW650" s="1363"/>
      <c r="BX650" s="1363">
        <f t="shared" si="32"/>
        <v>0</v>
      </c>
      <c r="BY650" s="1363"/>
      <c r="BZ650" s="1363"/>
      <c r="CA650" s="1363"/>
      <c r="CB650" s="1363"/>
      <c r="CC650" s="1363">
        <f t="shared" si="33"/>
        <v>0</v>
      </c>
      <c r="CD650" s="1363"/>
      <c r="CE650" s="1363"/>
      <c r="CF650" s="1363"/>
      <c r="CG650" s="1363"/>
      <c r="CH650" s="1363">
        <f t="shared" si="34"/>
        <v>0</v>
      </c>
      <c r="CI650" s="1363"/>
      <c r="CJ650" s="1363"/>
      <c r="CK650" s="1363"/>
      <c r="CL650" s="1363"/>
      <c r="CM650" s="1363">
        <f t="shared" si="35"/>
        <v>0</v>
      </c>
      <c r="CN650" s="1363"/>
      <c r="CO650" s="1363"/>
      <c r="CP650" s="1363"/>
      <c r="CQ650" s="1363"/>
      <c r="CR650" s="6"/>
      <c r="CS650" s="1364">
        <f t="shared" si="36"/>
        <v>0</v>
      </c>
      <c r="CT650" s="1365"/>
      <c r="CU650" s="1365"/>
      <c r="CV650" s="1365"/>
      <c r="CW650" s="1366"/>
      <c r="CX650" s="1364">
        <f t="shared" si="37"/>
        <v>0</v>
      </c>
      <c r="CY650" s="1365"/>
      <c r="CZ650" s="1365"/>
      <c r="DA650" s="1365"/>
      <c r="DB650" s="1366"/>
      <c r="DC650" s="1364">
        <f t="shared" si="38"/>
        <v>0</v>
      </c>
      <c r="DD650" s="1365"/>
      <c r="DE650" s="1365"/>
      <c r="DF650" s="1365"/>
      <c r="DG650" s="1366"/>
      <c r="DH650" s="1364">
        <f t="shared" si="39"/>
        <v>0</v>
      </c>
      <c r="DI650" s="1365"/>
      <c r="DJ650" s="1365"/>
      <c r="DK650" s="1365"/>
      <c r="DL650" s="1366"/>
      <c r="DM650" s="1364">
        <f t="shared" si="40"/>
        <v>0</v>
      </c>
      <c r="DN650" s="1365"/>
      <c r="DO650" s="1365"/>
      <c r="DP650" s="1365"/>
      <c r="DQ650" s="1366"/>
      <c r="DR650" s="1364">
        <f t="shared" si="41"/>
        <v>0</v>
      </c>
      <c r="DS650" s="1365"/>
      <c r="DT650" s="1365"/>
      <c r="DU650" s="1365"/>
      <c r="DV650" s="1366"/>
      <c r="DX650" s="1356" t="e">
        <f t="shared" si="29"/>
        <v>#VALUE!</v>
      </c>
      <c r="DY650" s="1356"/>
      <c r="DZ650" s="1356"/>
      <c r="EA650" s="1356"/>
      <c r="EB650" s="1356"/>
      <c r="EC650" s="1356" t="e">
        <f t="shared" si="24"/>
        <v>#VALUE!</v>
      </c>
      <c r="ED650" s="1356"/>
      <c r="EE650" s="1356"/>
      <c r="EF650" s="1356"/>
      <c r="EG650" s="1356"/>
      <c r="EH650" s="1356" t="e">
        <f t="shared" si="25"/>
        <v>#VALUE!</v>
      </c>
      <c r="EI650" s="1356"/>
      <c r="EJ650" s="1356"/>
      <c r="EK650" s="1356"/>
      <c r="EL650" s="1356"/>
      <c r="EM650" s="1356" t="e">
        <f t="shared" si="26"/>
        <v>#VALUE!</v>
      </c>
      <c r="EN650" s="1356"/>
      <c r="EO650" s="1356"/>
      <c r="EP650" s="1356"/>
      <c r="EQ650" s="1356"/>
      <c r="ER650" s="1356" t="e">
        <f t="shared" si="27"/>
        <v>#VALUE!</v>
      </c>
      <c r="ES650" s="1356"/>
      <c r="ET650" s="1356"/>
      <c r="EU650" s="1356"/>
      <c r="EV650" s="1356"/>
      <c r="EW650" s="1356" t="e">
        <f t="shared" si="28"/>
        <v>#VALUE!</v>
      </c>
      <c r="EX650" s="1356"/>
      <c r="EY650" s="1356"/>
      <c r="EZ650" s="1356"/>
      <c r="FA650" s="1356"/>
    </row>
    <row r="651" spans="1:157" ht="12.95" customHeight="1">
      <c r="A651" s="55" t="s">
        <v>119</v>
      </c>
      <c r="B651" t="s">
        <v>472</v>
      </c>
      <c r="G651" s="1517" t="str">
        <f>C629</f>
        <v xml:space="preserve">Seller Credit </v>
      </c>
      <c r="H651" s="1517"/>
      <c r="I651" s="1517"/>
      <c r="J651" s="1517"/>
      <c r="K651" s="1517"/>
      <c r="L651" s="1517"/>
      <c r="M651" s="1517"/>
      <c r="N651" s="1517"/>
      <c r="O651" s="1517"/>
      <c r="P651" s="1517"/>
      <c r="Q651" s="1517"/>
      <c r="R651" s="1517"/>
      <c r="T651" s="55" t="s">
        <v>590</v>
      </c>
      <c r="U651" t="s">
        <v>472</v>
      </c>
      <c r="Z651" s="1517" t="str">
        <f>C630</f>
        <v xml:space="preserve">Operating Income </v>
      </c>
      <c r="AA651" s="1517"/>
      <c r="AB651" s="1517"/>
      <c r="AC651" s="1517"/>
      <c r="AD651" s="1517"/>
      <c r="AE651" s="1517"/>
      <c r="AF651" s="1517"/>
      <c r="AG651" s="1517"/>
      <c r="AH651" s="1517"/>
      <c r="AI651" s="1517"/>
      <c r="AJ651" s="1517"/>
      <c r="AK651" s="1517"/>
      <c r="AZ651" s="34"/>
      <c r="BA651" s="34"/>
      <c r="BB651" s="34"/>
      <c r="BC651" s="34"/>
      <c r="BD651" s="34"/>
      <c r="BE651" s="34"/>
      <c r="BF651" s="34"/>
      <c r="BG651" s="34"/>
      <c r="BH651" s="34"/>
      <c r="BI651" s="34"/>
      <c r="BJ651" s="34"/>
      <c r="BK651" s="34"/>
      <c r="BL651" s="34"/>
      <c r="BM651" s="34"/>
      <c r="BN651" s="1364">
        <f t="shared" si="30"/>
        <v>0</v>
      </c>
      <c r="BO651" s="1365"/>
      <c r="BP651" s="1365"/>
      <c r="BQ651" s="1365"/>
      <c r="BR651" s="1366"/>
      <c r="BS651" s="1363">
        <f t="shared" si="31"/>
        <v>0</v>
      </c>
      <c r="BT651" s="1363"/>
      <c r="BU651" s="1363"/>
      <c r="BV651" s="1363"/>
      <c r="BW651" s="1363"/>
      <c r="BX651" s="1363">
        <f t="shared" si="32"/>
        <v>0</v>
      </c>
      <c r="BY651" s="1363"/>
      <c r="BZ651" s="1363"/>
      <c r="CA651" s="1363"/>
      <c r="CB651" s="1363"/>
      <c r="CC651" s="1363">
        <f t="shared" si="33"/>
        <v>0</v>
      </c>
      <c r="CD651" s="1363"/>
      <c r="CE651" s="1363"/>
      <c r="CF651" s="1363"/>
      <c r="CG651" s="1363"/>
      <c r="CH651" s="1363">
        <f t="shared" si="34"/>
        <v>0</v>
      </c>
      <c r="CI651" s="1363"/>
      <c r="CJ651" s="1363"/>
      <c r="CK651" s="1363"/>
      <c r="CL651" s="1363"/>
      <c r="CM651" s="1363">
        <f t="shared" si="35"/>
        <v>0</v>
      </c>
      <c r="CN651" s="1363"/>
      <c r="CO651" s="1363"/>
      <c r="CP651" s="1363"/>
      <c r="CQ651" s="1363"/>
      <c r="CR651" s="6"/>
      <c r="CS651" s="1364">
        <f t="shared" si="36"/>
        <v>0</v>
      </c>
      <c r="CT651" s="1365"/>
      <c r="CU651" s="1365"/>
      <c r="CV651" s="1365"/>
      <c r="CW651" s="1366"/>
      <c r="CX651" s="1364">
        <f t="shared" si="37"/>
        <v>0</v>
      </c>
      <c r="CY651" s="1365"/>
      <c r="CZ651" s="1365"/>
      <c r="DA651" s="1365"/>
      <c r="DB651" s="1366"/>
      <c r="DC651" s="1364">
        <f t="shared" si="38"/>
        <v>0</v>
      </c>
      <c r="DD651" s="1365"/>
      <c r="DE651" s="1365"/>
      <c r="DF651" s="1365"/>
      <c r="DG651" s="1366"/>
      <c r="DH651" s="1364">
        <f t="shared" si="39"/>
        <v>0</v>
      </c>
      <c r="DI651" s="1365"/>
      <c r="DJ651" s="1365"/>
      <c r="DK651" s="1365"/>
      <c r="DL651" s="1366"/>
      <c r="DM651" s="1364">
        <f t="shared" si="40"/>
        <v>0</v>
      </c>
      <c r="DN651" s="1365"/>
      <c r="DO651" s="1365"/>
      <c r="DP651" s="1365"/>
      <c r="DQ651" s="1366"/>
      <c r="DR651" s="1364">
        <f t="shared" si="41"/>
        <v>0</v>
      </c>
      <c r="DS651" s="1365"/>
      <c r="DT651" s="1365"/>
      <c r="DU651" s="1365"/>
      <c r="DV651" s="1366"/>
      <c r="DX651" s="1356" t="e">
        <f t="shared" si="29"/>
        <v>#VALUE!</v>
      </c>
      <c r="DY651" s="1356"/>
      <c r="DZ651" s="1356"/>
      <c r="EA651" s="1356"/>
      <c r="EB651" s="1356"/>
      <c r="EC651" s="1356" t="e">
        <f t="shared" si="24"/>
        <v>#VALUE!</v>
      </c>
      <c r="ED651" s="1356"/>
      <c r="EE651" s="1356"/>
      <c r="EF651" s="1356"/>
      <c r="EG651" s="1356"/>
      <c r="EH651" s="1356" t="e">
        <f t="shared" si="25"/>
        <v>#VALUE!</v>
      </c>
      <c r="EI651" s="1356"/>
      <c r="EJ651" s="1356"/>
      <c r="EK651" s="1356"/>
      <c r="EL651" s="1356"/>
      <c r="EM651" s="1356" t="e">
        <f t="shared" si="26"/>
        <v>#VALUE!</v>
      </c>
      <c r="EN651" s="1356"/>
      <c r="EO651" s="1356"/>
      <c r="EP651" s="1356"/>
      <c r="EQ651" s="1356"/>
      <c r="ER651" s="1356" t="e">
        <f t="shared" si="27"/>
        <v>#VALUE!</v>
      </c>
      <c r="ES651" s="1356"/>
      <c r="ET651" s="1356"/>
      <c r="EU651" s="1356"/>
      <c r="EV651" s="1356"/>
      <c r="EW651" s="1356" t="e">
        <f t="shared" si="28"/>
        <v>#VALUE!</v>
      </c>
      <c r="EX651" s="1356"/>
      <c r="EY651" s="1356"/>
      <c r="EZ651" s="1356"/>
      <c r="FA651" s="1356"/>
    </row>
    <row r="652" spans="1:157" ht="12.95" customHeight="1">
      <c r="A652" s="22"/>
      <c r="B652" t="s">
        <v>85</v>
      </c>
      <c r="G652" s="1467" t="s">
        <v>2662</v>
      </c>
      <c r="H652" s="1467"/>
      <c r="I652" s="1467"/>
      <c r="J652" s="1467"/>
      <c r="K652" s="1467"/>
      <c r="L652" s="1467"/>
      <c r="M652" s="1467"/>
      <c r="N652" s="1467"/>
      <c r="O652" s="1467"/>
      <c r="P652" s="1467"/>
      <c r="Q652" s="1467"/>
      <c r="R652" s="1467"/>
      <c r="T652" s="22"/>
      <c r="U652" t="s">
        <v>85</v>
      </c>
      <c r="Z652" s="1467" t="s">
        <v>2662</v>
      </c>
      <c r="AA652" s="1467"/>
      <c r="AB652" s="1467"/>
      <c r="AC652" s="1467"/>
      <c r="AD652" s="1467"/>
      <c r="AE652" s="1467"/>
      <c r="AF652" s="1467"/>
      <c r="AG652" s="1467"/>
      <c r="AH652" s="1467"/>
      <c r="AI652" s="1467"/>
      <c r="AJ652" s="1467"/>
      <c r="AK652" s="1467"/>
      <c r="AZ652" s="34"/>
      <c r="BA652" s="34"/>
      <c r="BB652" s="34"/>
      <c r="BC652" s="34"/>
      <c r="BD652" s="34"/>
      <c r="BE652" s="34"/>
      <c r="BF652" s="34"/>
      <c r="BG652" s="34"/>
      <c r="BH652" s="34"/>
      <c r="BI652" s="34"/>
      <c r="BJ652" s="34"/>
      <c r="BK652" s="34"/>
      <c r="BL652" s="34"/>
      <c r="BM652" s="34"/>
      <c r="BN652" s="1364">
        <f t="shared" si="30"/>
        <v>0</v>
      </c>
      <c r="BO652" s="1365"/>
      <c r="BP652" s="1365"/>
      <c r="BQ652" s="1365"/>
      <c r="BR652" s="1366"/>
      <c r="BS652" s="1363">
        <f t="shared" si="31"/>
        <v>0</v>
      </c>
      <c r="BT652" s="1363"/>
      <c r="BU652" s="1363"/>
      <c r="BV652" s="1363"/>
      <c r="BW652" s="1363"/>
      <c r="BX652" s="1363">
        <f t="shared" si="32"/>
        <v>0</v>
      </c>
      <c r="BY652" s="1363"/>
      <c r="BZ652" s="1363"/>
      <c r="CA652" s="1363"/>
      <c r="CB652" s="1363"/>
      <c r="CC652" s="1363">
        <f t="shared" si="33"/>
        <v>0</v>
      </c>
      <c r="CD652" s="1363"/>
      <c r="CE652" s="1363"/>
      <c r="CF652" s="1363"/>
      <c r="CG652" s="1363"/>
      <c r="CH652" s="1363">
        <f t="shared" si="34"/>
        <v>0</v>
      </c>
      <c r="CI652" s="1363"/>
      <c r="CJ652" s="1363"/>
      <c r="CK652" s="1363"/>
      <c r="CL652" s="1363"/>
      <c r="CM652" s="1363">
        <f t="shared" si="35"/>
        <v>0</v>
      </c>
      <c r="CN652" s="1363"/>
      <c r="CO652" s="1363"/>
      <c r="CP652" s="1363"/>
      <c r="CQ652" s="1363"/>
      <c r="CR652" s="6"/>
      <c r="CS652" s="1364">
        <f t="shared" si="36"/>
        <v>0</v>
      </c>
      <c r="CT652" s="1365"/>
      <c r="CU652" s="1365"/>
      <c r="CV652" s="1365"/>
      <c r="CW652" s="1366"/>
      <c r="CX652" s="1364">
        <f t="shared" si="37"/>
        <v>0</v>
      </c>
      <c r="CY652" s="1365"/>
      <c r="CZ652" s="1365"/>
      <c r="DA652" s="1365"/>
      <c r="DB652" s="1366"/>
      <c r="DC652" s="1364">
        <f t="shared" si="38"/>
        <v>0</v>
      </c>
      <c r="DD652" s="1365"/>
      <c r="DE652" s="1365"/>
      <c r="DF652" s="1365"/>
      <c r="DG652" s="1366"/>
      <c r="DH652" s="1364">
        <f t="shared" si="39"/>
        <v>0</v>
      </c>
      <c r="DI652" s="1365"/>
      <c r="DJ652" s="1365"/>
      <c r="DK652" s="1365"/>
      <c r="DL652" s="1366"/>
      <c r="DM652" s="1364">
        <f t="shared" si="40"/>
        <v>0</v>
      </c>
      <c r="DN652" s="1365"/>
      <c r="DO652" s="1365"/>
      <c r="DP652" s="1365"/>
      <c r="DQ652" s="1366"/>
      <c r="DR652" s="1364">
        <f t="shared" si="41"/>
        <v>0</v>
      </c>
      <c r="DS652" s="1365"/>
      <c r="DT652" s="1365"/>
      <c r="DU652" s="1365"/>
      <c r="DV652" s="1366"/>
      <c r="DX652" s="1356" t="e">
        <f t="shared" si="29"/>
        <v>#VALUE!</v>
      </c>
      <c r="DY652" s="1356"/>
      <c r="DZ652" s="1356"/>
      <c r="EA652" s="1356"/>
      <c r="EB652" s="1356"/>
      <c r="EC652" s="1356" t="e">
        <f t="shared" si="24"/>
        <v>#VALUE!</v>
      </c>
      <c r="ED652" s="1356"/>
      <c r="EE652" s="1356"/>
      <c r="EF652" s="1356"/>
      <c r="EG652" s="1356"/>
      <c r="EH652" s="1356" t="e">
        <f t="shared" si="25"/>
        <v>#VALUE!</v>
      </c>
      <c r="EI652" s="1356"/>
      <c r="EJ652" s="1356"/>
      <c r="EK652" s="1356"/>
      <c r="EL652" s="1356"/>
      <c r="EM652" s="1356" t="e">
        <f t="shared" si="26"/>
        <v>#VALUE!</v>
      </c>
      <c r="EN652" s="1356"/>
      <c r="EO652" s="1356"/>
      <c r="EP652" s="1356"/>
      <c r="EQ652" s="1356"/>
      <c r="ER652" s="1356" t="e">
        <f t="shared" si="27"/>
        <v>#VALUE!</v>
      </c>
      <c r="ES652" s="1356"/>
      <c r="ET652" s="1356"/>
      <c r="EU652" s="1356"/>
      <c r="EV652" s="1356"/>
      <c r="EW652" s="1356" t="e">
        <f t="shared" si="28"/>
        <v>#VALUE!</v>
      </c>
      <c r="EX652" s="1356"/>
      <c r="EY652" s="1356"/>
      <c r="EZ652" s="1356"/>
      <c r="FA652" s="1356"/>
    </row>
    <row r="653" spans="1:157" ht="12.95" customHeight="1">
      <c r="A653" s="22"/>
      <c r="B653" t="s">
        <v>589</v>
      </c>
      <c r="G653" s="1417" t="s">
        <v>2745</v>
      </c>
      <c r="H653" s="1417"/>
      <c r="I653" s="1417"/>
      <c r="J653" s="1417"/>
      <c r="K653" s="1417"/>
      <c r="L653" s="1417"/>
      <c r="M653" s="1417"/>
      <c r="N653" s="1417"/>
      <c r="O653" s="1417"/>
      <c r="P653" s="1417"/>
      <c r="Q653" s="1417"/>
      <c r="R653" s="1417"/>
      <c r="T653" s="22"/>
      <c r="U653" t="s">
        <v>589</v>
      </c>
      <c r="Z653" s="1417" t="s">
        <v>2745</v>
      </c>
      <c r="AA653" s="1417"/>
      <c r="AB653" s="1417"/>
      <c r="AC653" s="1417"/>
      <c r="AD653" s="1417"/>
      <c r="AE653" s="1417"/>
      <c r="AF653" s="1417"/>
      <c r="AG653" s="1417"/>
      <c r="AH653" s="1417"/>
      <c r="AI653" s="1417"/>
      <c r="AJ653" s="1417"/>
      <c r="AK653" s="1417"/>
      <c r="AZ653" s="34"/>
      <c r="BA653" s="34"/>
      <c r="BB653" s="34"/>
      <c r="BC653" s="34"/>
      <c r="BD653" s="34"/>
      <c r="BE653" s="34"/>
      <c r="BF653" s="34"/>
      <c r="BG653" s="34"/>
      <c r="BH653" s="34"/>
      <c r="BI653" s="34"/>
      <c r="BJ653" s="34"/>
      <c r="BK653" s="34"/>
      <c r="BL653" s="34"/>
      <c r="BM653" s="34"/>
      <c r="BN653" s="1364">
        <f t="shared" si="30"/>
        <v>0</v>
      </c>
      <c r="BO653" s="1365"/>
      <c r="BP653" s="1365"/>
      <c r="BQ653" s="1365"/>
      <c r="BR653" s="1366"/>
      <c r="BS653" s="1363">
        <f t="shared" si="31"/>
        <v>0</v>
      </c>
      <c r="BT653" s="1363"/>
      <c r="BU653" s="1363"/>
      <c r="BV653" s="1363"/>
      <c r="BW653" s="1363"/>
      <c r="BX653" s="1363">
        <f t="shared" si="32"/>
        <v>0</v>
      </c>
      <c r="BY653" s="1363"/>
      <c r="BZ653" s="1363"/>
      <c r="CA653" s="1363"/>
      <c r="CB653" s="1363"/>
      <c r="CC653" s="1363">
        <f t="shared" si="33"/>
        <v>0</v>
      </c>
      <c r="CD653" s="1363"/>
      <c r="CE653" s="1363"/>
      <c r="CF653" s="1363"/>
      <c r="CG653" s="1363"/>
      <c r="CH653" s="1363">
        <f t="shared" si="34"/>
        <v>0</v>
      </c>
      <c r="CI653" s="1363"/>
      <c r="CJ653" s="1363"/>
      <c r="CK653" s="1363"/>
      <c r="CL653" s="1363"/>
      <c r="CM653" s="1363">
        <f t="shared" si="35"/>
        <v>0</v>
      </c>
      <c r="CN653" s="1363"/>
      <c r="CO653" s="1363"/>
      <c r="CP653" s="1363"/>
      <c r="CQ653" s="1363"/>
      <c r="CR653" s="6"/>
      <c r="CS653" s="1364">
        <f t="shared" si="36"/>
        <v>0</v>
      </c>
      <c r="CT653" s="1365"/>
      <c r="CU653" s="1365"/>
      <c r="CV653" s="1365"/>
      <c r="CW653" s="1366"/>
      <c r="CX653" s="1364">
        <f t="shared" si="37"/>
        <v>0</v>
      </c>
      <c r="CY653" s="1365"/>
      <c r="CZ653" s="1365"/>
      <c r="DA653" s="1365"/>
      <c r="DB653" s="1366"/>
      <c r="DC653" s="1364">
        <f t="shared" si="38"/>
        <v>0</v>
      </c>
      <c r="DD653" s="1365"/>
      <c r="DE653" s="1365"/>
      <c r="DF653" s="1365"/>
      <c r="DG653" s="1366"/>
      <c r="DH653" s="1364">
        <f t="shared" si="39"/>
        <v>0</v>
      </c>
      <c r="DI653" s="1365"/>
      <c r="DJ653" s="1365"/>
      <c r="DK653" s="1365"/>
      <c r="DL653" s="1366"/>
      <c r="DM653" s="1364">
        <f t="shared" si="40"/>
        <v>0</v>
      </c>
      <c r="DN653" s="1365"/>
      <c r="DO653" s="1365"/>
      <c r="DP653" s="1365"/>
      <c r="DQ653" s="1366"/>
      <c r="DR653" s="1364">
        <f t="shared" si="41"/>
        <v>0</v>
      </c>
      <c r="DS653" s="1365"/>
      <c r="DT653" s="1365"/>
      <c r="DU653" s="1365"/>
      <c r="DV653" s="1366"/>
      <c r="DX653" s="1356" t="e">
        <f t="shared" si="29"/>
        <v>#VALUE!</v>
      </c>
      <c r="DY653" s="1356"/>
      <c r="DZ653" s="1356"/>
      <c r="EA653" s="1356"/>
      <c r="EB653" s="1356"/>
      <c r="EC653" s="1356" t="e">
        <f t="shared" si="24"/>
        <v>#VALUE!</v>
      </c>
      <c r="ED653" s="1356"/>
      <c r="EE653" s="1356"/>
      <c r="EF653" s="1356"/>
      <c r="EG653" s="1356"/>
      <c r="EH653" s="1356" t="e">
        <f t="shared" si="25"/>
        <v>#VALUE!</v>
      </c>
      <c r="EI653" s="1356"/>
      <c r="EJ653" s="1356"/>
      <c r="EK653" s="1356"/>
      <c r="EL653" s="1356"/>
      <c r="EM653" s="1356" t="e">
        <f t="shared" si="26"/>
        <v>#VALUE!</v>
      </c>
      <c r="EN653" s="1356"/>
      <c r="EO653" s="1356"/>
      <c r="EP653" s="1356"/>
      <c r="EQ653" s="1356"/>
      <c r="ER653" s="1356" t="e">
        <f t="shared" si="27"/>
        <v>#VALUE!</v>
      </c>
      <c r="ES653" s="1356"/>
      <c r="ET653" s="1356"/>
      <c r="EU653" s="1356"/>
      <c r="EV653" s="1356"/>
      <c r="EW653" s="1356" t="e">
        <f t="shared" si="28"/>
        <v>#VALUE!</v>
      </c>
      <c r="EX653" s="1356"/>
      <c r="EY653" s="1356"/>
      <c r="EZ653" s="1356"/>
      <c r="FA653" s="1356"/>
    </row>
    <row r="654" spans="1:157" ht="12.95" customHeight="1">
      <c r="A654" s="22"/>
      <c r="B654" t="s">
        <v>17</v>
      </c>
      <c r="G654" s="1417" t="s">
        <v>2746</v>
      </c>
      <c r="H654" s="1417"/>
      <c r="I654" s="1417"/>
      <c r="J654" s="1417"/>
      <c r="K654" s="1417"/>
      <c r="L654" s="1417"/>
      <c r="M654" s="1417"/>
      <c r="N654" s="1417"/>
      <c r="O654" s="1417"/>
      <c r="P654" s="1417"/>
      <c r="Q654" s="1417"/>
      <c r="R654" s="1417"/>
      <c r="T654" s="22"/>
      <c r="U654" t="s">
        <v>17</v>
      </c>
      <c r="Z654" s="1417" t="s">
        <v>2746</v>
      </c>
      <c r="AA654" s="1417"/>
      <c r="AB654" s="1417"/>
      <c r="AC654" s="1417"/>
      <c r="AD654" s="1417"/>
      <c r="AE654" s="1417"/>
      <c r="AF654" s="1417"/>
      <c r="AG654" s="1417"/>
      <c r="AH654" s="1417"/>
      <c r="AI654" s="1417"/>
      <c r="AJ654" s="1417"/>
      <c r="AK654" s="1417"/>
      <c r="AZ654" s="34"/>
      <c r="BA654" s="34"/>
      <c r="BB654" s="34"/>
      <c r="BC654" s="34"/>
      <c r="BD654" s="34"/>
      <c r="BE654" s="34"/>
      <c r="BF654" s="34"/>
      <c r="BG654" s="34"/>
      <c r="BH654" s="34"/>
      <c r="BI654" s="34"/>
      <c r="BJ654" s="34"/>
      <c r="BK654" s="34"/>
      <c r="BL654" s="34"/>
      <c r="BM654" s="34"/>
      <c r="BN654" s="1364">
        <f t="shared" si="30"/>
        <v>0</v>
      </c>
      <c r="BO654" s="1365"/>
      <c r="BP654" s="1365"/>
      <c r="BQ654" s="1365"/>
      <c r="BR654" s="1366"/>
      <c r="BS654" s="1363">
        <f t="shared" si="31"/>
        <v>0</v>
      </c>
      <c r="BT654" s="1363"/>
      <c r="BU654" s="1363"/>
      <c r="BV654" s="1363"/>
      <c r="BW654" s="1363"/>
      <c r="BX654" s="1363">
        <f t="shared" si="32"/>
        <v>0</v>
      </c>
      <c r="BY654" s="1363"/>
      <c r="BZ654" s="1363"/>
      <c r="CA654" s="1363"/>
      <c r="CB654" s="1363"/>
      <c r="CC654" s="1363">
        <f t="shared" si="33"/>
        <v>0</v>
      </c>
      <c r="CD654" s="1363"/>
      <c r="CE654" s="1363"/>
      <c r="CF654" s="1363"/>
      <c r="CG654" s="1363"/>
      <c r="CH654" s="1363">
        <f t="shared" si="34"/>
        <v>0</v>
      </c>
      <c r="CI654" s="1363"/>
      <c r="CJ654" s="1363"/>
      <c r="CK654" s="1363"/>
      <c r="CL654" s="1363"/>
      <c r="CM654" s="1363">
        <f t="shared" si="35"/>
        <v>0</v>
      </c>
      <c r="CN654" s="1363"/>
      <c r="CO654" s="1363"/>
      <c r="CP654" s="1363"/>
      <c r="CQ654" s="1363"/>
      <c r="CR654" s="6"/>
      <c r="CS654" s="1364">
        <f t="shared" si="36"/>
        <v>0</v>
      </c>
      <c r="CT654" s="1365"/>
      <c r="CU654" s="1365"/>
      <c r="CV654" s="1365"/>
      <c r="CW654" s="1366"/>
      <c r="CX654" s="1364">
        <f t="shared" si="37"/>
        <v>0</v>
      </c>
      <c r="CY654" s="1365"/>
      <c r="CZ654" s="1365"/>
      <c r="DA654" s="1365"/>
      <c r="DB654" s="1366"/>
      <c r="DC654" s="1364">
        <f t="shared" si="38"/>
        <v>0</v>
      </c>
      <c r="DD654" s="1365"/>
      <c r="DE654" s="1365"/>
      <c r="DF654" s="1365"/>
      <c r="DG654" s="1366"/>
      <c r="DH654" s="1364">
        <f t="shared" si="39"/>
        <v>0</v>
      </c>
      <c r="DI654" s="1365"/>
      <c r="DJ654" s="1365"/>
      <c r="DK654" s="1365"/>
      <c r="DL654" s="1366"/>
      <c r="DM654" s="1364">
        <f t="shared" si="40"/>
        <v>0</v>
      </c>
      <c r="DN654" s="1365"/>
      <c r="DO654" s="1365"/>
      <c r="DP654" s="1365"/>
      <c r="DQ654" s="1366"/>
      <c r="DR654" s="1364">
        <f t="shared" si="41"/>
        <v>0</v>
      </c>
      <c r="DS654" s="1365"/>
      <c r="DT654" s="1365"/>
      <c r="DU654" s="1365"/>
      <c r="DV654" s="1366"/>
      <c r="DX654" s="1356" t="e">
        <f t="shared" si="29"/>
        <v>#VALUE!</v>
      </c>
      <c r="DY654" s="1356"/>
      <c r="DZ654" s="1356"/>
      <c r="EA654" s="1356"/>
      <c r="EB654" s="1356"/>
      <c r="EC654" s="1356" t="e">
        <f t="shared" si="24"/>
        <v>#VALUE!</v>
      </c>
      <c r="ED654" s="1356"/>
      <c r="EE654" s="1356"/>
      <c r="EF654" s="1356"/>
      <c r="EG654" s="1356"/>
      <c r="EH654" s="1356" t="e">
        <f t="shared" si="25"/>
        <v>#VALUE!</v>
      </c>
      <c r="EI654" s="1356"/>
      <c r="EJ654" s="1356"/>
      <c r="EK654" s="1356"/>
      <c r="EL654" s="1356"/>
      <c r="EM654" s="1356" t="e">
        <f t="shared" si="26"/>
        <v>#VALUE!</v>
      </c>
      <c r="EN654" s="1356"/>
      <c r="EO654" s="1356"/>
      <c r="EP654" s="1356"/>
      <c r="EQ654" s="1356"/>
      <c r="ER654" s="1356" t="e">
        <f t="shared" si="27"/>
        <v>#VALUE!</v>
      </c>
      <c r="ES654" s="1356"/>
      <c r="ET654" s="1356"/>
      <c r="EU654" s="1356"/>
      <c r="EV654" s="1356"/>
      <c r="EW654" s="1356" t="e">
        <f t="shared" si="28"/>
        <v>#VALUE!</v>
      </c>
      <c r="EX654" s="1356"/>
      <c r="EY654" s="1356"/>
      <c r="EZ654" s="1356"/>
      <c r="FA654" s="1356"/>
    </row>
    <row r="655" spans="1:157" ht="12.95" customHeight="1">
      <c r="A655" s="22"/>
      <c r="B655" t="s">
        <v>317</v>
      </c>
      <c r="G655" s="1466" t="s">
        <v>2665</v>
      </c>
      <c r="H655" s="1466"/>
      <c r="I655" s="1466"/>
      <c r="J655" s="1466"/>
      <c r="K655" s="1466"/>
      <c r="L655" s="1466"/>
      <c r="O655" s="33" t="s">
        <v>207</v>
      </c>
      <c r="P655" s="1406"/>
      <c r="Q655" s="1406"/>
      <c r="R655" s="1406"/>
      <c r="T655" s="22"/>
      <c r="U655" t="s">
        <v>317</v>
      </c>
      <c r="Z655" s="1466" t="s">
        <v>2665</v>
      </c>
      <c r="AA655" s="1466"/>
      <c r="AB655" s="1466"/>
      <c r="AC655" s="1466"/>
      <c r="AD655" s="1466"/>
      <c r="AE655" s="1466"/>
      <c r="AH655" s="33" t="s">
        <v>207</v>
      </c>
      <c r="AI655" s="1406"/>
      <c r="AJ655" s="1406"/>
      <c r="AK655" s="1406"/>
      <c r="AZ655" s="34"/>
      <c r="BA655" s="34"/>
      <c r="BB655" s="34"/>
      <c r="BC655" s="34"/>
      <c r="BD655" s="34"/>
      <c r="BE655" s="34"/>
      <c r="BF655" s="34"/>
      <c r="BG655" s="34"/>
      <c r="BH655" s="34"/>
      <c r="BI655" s="34"/>
      <c r="BJ655" s="34"/>
      <c r="BK655" s="34"/>
      <c r="BL655" s="34"/>
      <c r="BM655" s="34"/>
      <c r="BN655" s="1367">
        <f>SUM(BN645:BR654)</f>
        <v>0</v>
      </c>
      <c r="BO655" s="1519"/>
      <c r="BP655" s="1519"/>
      <c r="BQ655" s="1519"/>
      <c r="BR655" s="1368"/>
      <c r="BS655" s="1692">
        <f>SUM(BS645:BW654)</f>
        <v>0</v>
      </c>
      <c r="BT655" s="1693"/>
      <c r="BU655" s="1693"/>
      <c r="BV655" s="1693"/>
      <c r="BW655" s="1694"/>
      <c r="BX655" s="1692">
        <f>SUM(BX645:CB654)</f>
        <v>0</v>
      </c>
      <c r="BY655" s="1693"/>
      <c r="BZ655" s="1693"/>
      <c r="CA655" s="1693"/>
      <c r="CB655" s="1694"/>
      <c r="CC655" s="1692">
        <f>SUM(CC645:CG654)</f>
        <v>0</v>
      </c>
      <c r="CD655" s="1693"/>
      <c r="CE655" s="1693"/>
      <c r="CF655" s="1693"/>
      <c r="CG655" s="1694"/>
      <c r="CH655" s="1692">
        <f>SUM(CH645:CL654)</f>
        <v>0</v>
      </c>
      <c r="CI655" s="1693"/>
      <c r="CJ655" s="1693"/>
      <c r="CK655" s="1693"/>
      <c r="CL655" s="1694"/>
      <c r="CM655" s="1692">
        <f>SUM(CM645:CQ654)</f>
        <v>0</v>
      </c>
      <c r="CN655" s="1693"/>
      <c r="CO655" s="1693"/>
      <c r="CP655" s="1693"/>
      <c r="CQ655" s="1694"/>
      <c r="CR655" s="1047"/>
      <c r="CS655" s="1360">
        <f>SUM(CS645:CW654)</f>
        <v>0</v>
      </c>
      <c r="CT655" s="1360"/>
      <c r="CU655" s="1360"/>
      <c r="CV655" s="1360"/>
      <c r="CW655" s="1360"/>
      <c r="CX655" s="1360">
        <f>SUM(CX645:DB654)</f>
        <v>0</v>
      </c>
      <c r="CY655" s="1360"/>
      <c r="CZ655" s="1360"/>
      <c r="DA655" s="1360"/>
      <c r="DB655" s="1360"/>
      <c r="DC655" s="1360">
        <f>SUM(DC645:DG654)</f>
        <v>0</v>
      </c>
      <c r="DD655" s="1360"/>
      <c r="DE655" s="1360"/>
      <c r="DF655" s="1360"/>
      <c r="DG655" s="1360"/>
      <c r="DH655" s="1360">
        <f>SUM(DH645:DL654)</f>
        <v>0</v>
      </c>
      <c r="DI655" s="1360"/>
      <c r="DJ655" s="1360"/>
      <c r="DK655" s="1360"/>
      <c r="DL655" s="1360"/>
      <c r="DM655" s="1360">
        <f>SUM(DM645:DQ654)</f>
        <v>0</v>
      </c>
      <c r="DN655" s="1360"/>
      <c r="DO655" s="1360"/>
      <c r="DP655" s="1360"/>
      <c r="DQ655" s="1360"/>
      <c r="DR655" s="1360">
        <f>SUM(DR645:DV654)</f>
        <v>0</v>
      </c>
      <c r="DS655" s="1360"/>
      <c r="DT655" s="1360"/>
      <c r="DU655" s="1360"/>
      <c r="DV655" s="1360"/>
      <c r="DX655" s="1356" t="e">
        <f t="shared" si="29"/>
        <v>#VALUE!</v>
      </c>
      <c r="DY655" s="1356"/>
      <c r="DZ655" s="1356"/>
      <c r="EA655" s="1356"/>
      <c r="EB655" s="1356"/>
      <c r="EC655" s="1356" t="e">
        <f t="shared" si="24"/>
        <v>#VALUE!</v>
      </c>
      <c r="ED655" s="1356"/>
      <c r="EE655" s="1356"/>
      <c r="EF655" s="1356"/>
      <c r="EG655" s="1356"/>
      <c r="EH655" s="1356" t="e">
        <f t="shared" si="25"/>
        <v>#VALUE!</v>
      </c>
      <c r="EI655" s="1356"/>
      <c r="EJ655" s="1356"/>
      <c r="EK655" s="1356"/>
      <c r="EL655" s="1356"/>
      <c r="EM655" s="1356" t="e">
        <f t="shared" si="26"/>
        <v>#VALUE!</v>
      </c>
      <c r="EN655" s="1356"/>
      <c r="EO655" s="1356"/>
      <c r="EP655" s="1356"/>
      <c r="EQ655" s="1356"/>
      <c r="ER655" s="1356" t="e">
        <f t="shared" si="27"/>
        <v>#VALUE!</v>
      </c>
      <c r="ES655" s="1356"/>
      <c r="ET655" s="1356"/>
      <c r="EU655" s="1356"/>
      <c r="EV655" s="1356"/>
      <c r="EW655" s="1356" t="e">
        <f t="shared" si="28"/>
        <v>#VALUE!</v>
      </c>
      <c r="EX655" s="1356"/>
      <c r="EY655" s="1356"/>
      <c r="EZ655" s="1356"/>
      <c r="FA655" s="1356"/>
    </row>
    <row r="656" spans="1:157" ht="12.95" customHeight="1">
      <c r="A656" s="22"/>
      <c r="B656" t="s">
        <v>18</v>
      </c>
      <c r="H656" s="1467" t="s">
        <v>2778</v>
      </c>
      <c r="I656" s="1467"/>
      <c r="J656" s="1467"/>
      <c r="K656" s="1467"/>
      <c r="L656" s="1467"/>
      <c r="M656" s="1467"/>
      <c r="N656" s="1467"/>
      <c r="O656" s="1467"/>
      <c r="P656" s="1467"/>
      <c r="Q656" s="1467"/>
      <c r="R656" s="1467"/>
      <c r="T656" s="22"/>
      <c r="U656" t="s">
        <v>18</v>
      </c>
      <c r="AA656" s="1467" t="s">
        <v>2440</v>
      </c>
      <c r="AB656" s="1467"/>
      <c r="AC656" s="1467"/>
      <c r="AD656" s="1467"/>
      <c r="AE656" s="1467"/>
      <c r="AF656" s="1467"/>
      <c r="AG656" s="1467"/>
      <c r="AH656" s="1467"/>
      <c r="AI656" s="1467"/>
      <c r="AJ656" s="1467"/>
      <c r="AK656" s="1467"/>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6" t="e">
        <f t="shared" si="29"/>
        <v>#VALUE!</v>
      </c>
      <c r="DY656" s="1356"/>
      <c r="DZ656" s="1356"/>
      <c r="EA656" s="1356"/>
      <c r="EB656" s="1356"/>
      <c r="EC656" s="1356" t="e">
        <f t="shared" si="24"/>
        <v>#VALUE!</v>
      </c>
      <c r="ED656" s="1356"/>
      <c r="EE656" s="1356"/>
      <c r="EF656" s="1356"/>
      <c r="EG656" s="1356"/>
      <c r="EH656" s="1356" t="e">
        <f t="shared" si="25"/>
        <v>#VALUE!</v>
      </c>
      <c r="EI656" s="1356"/>
      <c r="EJ656" s="1356"/>
      <c r="EK656" s="1356"/>
      <c r="EL656" s="1356"/>
      <c r="EM656" s="1356" t="e">
        <f t="shared" si="26"/>
        <v>#VALUE!</v>
      </c>
      <c r="EN656" s="1356"/>
      <c r="EO656" s="1356"/>
      <c r="EP656" s="1356"/>
      <c r="EQ656" s="1356"/>
      <c r="ER656" s="1356" t="e">
        <f t="shared" si="27"/>
        <v>#VALUE!</v>
      </c>
      <c r="ES656" s="1356"/>
      <c r="ET656" s="1356"/>
      <c r="EU656" s="1356"/>
      <c r="EV656" s="1356"/>
      <c r="EW656" s="1356" t="e">
        <f t="shared" si="28"/>
        <v>#VALUE!</v>
      </c>
      <c r="EX656" s="1356"/>
      <c r="EY656" s="1356"/>
      <c r="EZ656" s="1356"/>
      <c r="FA656" s="1356"/>
    </row>
    <row r="657" spans="1:157" ht="12.95" customHeight="1">
      <c r="A657" s="22"/>
      <c r="B657" t="s">
        <v>20</v>
      </c>
      <c r="N657" s="1428" t="s">
        <v>554</v>
      </c>
      <c r="O657" s="1428"/>
      <c r="T657" s="22"/>
      <c r="U657" t="s">
        <v>20</v>
      </c>
      <c r="AG657" s="1428" t="s">
        <v>554</v>
      </c>
      <c r="AH657" s="1428"/>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56">
        <f>SUM(CS655:DV655)</f>
        <v>0</v>
      </c>
      <c r="DS657" s="1356"/>
      <c r="DT657" s="1356"/>
      <c r="DU657" s="1356"/>
      <c r="DV657" s="1356"/>
      <c r="DX657" s="1356" t="e">
        <f t="shared" si="29"/>
        <v>#VALUE!</v>
      </c>
      <c r="DY657" s="1356"/>
      <c r="DZ657" s="1356"/>
      <c r="EA657" s="1356"/>
      <c r="EB657" s="1356"/>
      <c r="EC657" s="1356" t="e">
        <f t="shared" si="24"/>
        <v>#VALUE!</v>
      </c>
      <c r="ED657" s="1356"/>
      <c r="EE657" s="1356"/>
      <c r="EF657" s="1356"/>
      <c r="EG657" s="1356"/>
      <c r="EH657" s="1356" t="e">
        <f t="shared" si="25"/>
        <v>#VALUE!</v>
      </c>
      <c r="EI657" s="1356"/>
      <c r="EJ657" s="1356"/>
      <c r="EK657" s="1356"/>
      <c r="EL657" s="1356"/>
      <c r="EM657" s="1356" t="e">
        <f t="shared" si="26"/>
        <v>#VALUE!</v>
      </c>
      <c r="EN657" s="1356"/>
      <c r="EO657" s="1356"/>
      <c r="EP657" s="1356"/>
      <c r="EQ657" s="1356"/>
      <c r="ER657" s="1356" t="e">
        <f t="shared" si="27"/>
        <v>#VALUE!</v>
      </c>
      <c r="ES657" s="1356"/>
      <c r="ET657" s="1356"/>
      <c r="EU657" s="1356"/>
      <c r="EV657" s="1356"/>
      <c r="EW657" s="1356" t="e">
        <f t="shared" si="28"/>
        <v>#VALUE!</v>
      </c>
      <c r="EX657" s="1356"/>
      <c r="EY657" s="1356"/>
      <c r="EZ657" s="1356"/>
      <c r="FA657" s="135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56" t="e">
        <f t="shared" ref="DX658:DX667" si="42">DX620*(BN620/$BN$632)</f>
        <v>#VALUE!</v>
      </c>
      <c r="DY658" s="1356"/>
      <c r="DZ658" s="1356"/>
      <c r="EA658" s="1356"/>
      <c r="EB658" s="1356"/>
      <c r="EC658" s="1356" t="e">
        <f t="shared" ref="EC658:EC667" si="43">EC620*(BS620/$BS$632)</f>
        <v>#VALUE!</v>
      </c>
      <c r="ED658" s="1356"/>
      <c r="EE658" s="1356"/>
      <c r="EF658" s="1356"/>
      <c r="EG658" s="1356"/>
      <c r="EH658" s="1356" t="e">
        <f t="shared" ref="EH658:EH667" si="44">EH620*(BX620/$BX$632)</f>
        <v>#VALUE!</v>
      </c>
      <c r="EI658" s="1356"/>
      <c r="EJ658" s="1356"/>
      <c r="EK658" s="1356"/>
      <c r="EL658" s="1356"/>
      <c r="EM658" s="1356" t="e">
        <f t="shared" ref="EM658:EM667" si="45">EM620*(CC620/$CC$632)</f>
        <v>#VALUE!</v>
      </c>
      <c r="EN658" s="1356"/>
      <c r="EO658" s="1356"/>
      <c r="EP658" s="1356"/>
      <c r="EQ658" s="1356"/>
      <c r="ER658" s="1356" t="e">
        <f t="shared" ref="ER658:ER667" si="46">ER620*(CH620/$CH$632)</f>
        <v>#VALUE!</v>
      </c>
      <c r="ES658" s="1356"/>
      <c r="ET658" s="1356"/>
      <c r="EU658" s="1356"/>
      <c r="EV658" s="1356"/>
      <c r="EW658" s="1356" t="e">
        <f t="shared" ref="EW658:EW667" si="47">EW620*(CM620/$CM$632)</f>
        <v>#VALUE!</v>
      </c>
      <c r="EX658" s="1356"/>
      <c r="EY658" s="1356"/>
      <c r="EZ658" s="1356"/>
      <c r="FA658" s="1356"/>
    </row>
    <row r="659" spans="1:157" ht="12.95" customHeight="1">
      <c r="A659" s="55" t="s">
        <v>773</v>
      </c>
      <c r="B659" t="s">
        <v>472</v>
      </c>
      <c r="G659" s="1517" t="str">
        <f>C631</f>
        <v>Deferred Developer Fee</v>
      </c>
      <c r="H659" s="1517"/>
      <c r="I659" s="1517"/>
      <c r="J659" s="1517"/>
      <c r="K659" s="1517"/>
      <c r="L659" s="1517"/>
      <c r="M659" s="1517"/>
      <c r="N659" s="1517"/>
      <c r="O659" s="1517"/>
      <c r="P659" s="1517"/>
      <c r="Q659" s="1517"/>
      <c r="R659" s="1517"/>
      <c r="T659" s="55" t="s">
        <v>593</v>
      </c>
      <c r="U659" t="s">
        <v>472</v>
      </c>
      <c r="Z659" s="1517">
        <f>C632</f>
        <v>0</v>
      </c>
      <c r="AA659" s="1517"/>
      <c r="AB659" s="1517"/>
      <c r="AC659" s="1517"/>
      <c r="AD659" s="1517"/>
      <c r="AE659" s="1517"/>
      <c r="AF659" s="1517"/>
      <c r="AG659" s="1517"/>
      <c r="AH659" s="1517"/>
      <c r="AI659" s="1517"/>
      <c r="AJ659" s="1517"/>
      <c r="AK659" s="1517"/>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6" t="e">
        <f t="shared" si="42"/>
        <v>#VALUE!</v>
      </c>
      <c r="DY659" s="1356"/>
      <c r="DZ659" s="1356"/>
      <c r="EA659" s="1356"/>
      <c r="EB659" s="1356"/>
      <c r="EC659" s="1356" t="e">
        <f t="shared" si="43"/>
        <v>#VALUE!</v>
      </c>
      <c r="ED659" s="1356"/>
      <c r="EE659" s="1356"/>
      <c r="EF659" s="1356"/>
      <c r="EG659" s="1356"/>
      <c r="EH659" s="1356" t="e">
        <f t="shared" si="44"/>
        <v>#VALUE!</v>
      </c>
      <c r="EI659" s="1356"/>
      <c r="EJ659" s="1356"/>
      <c r="EK659" s="1356"/>
      <c r="EL659" s="1356"/>
      <c r="EM659" s="1356" t="e">
        <f t="shared" si="45"/>
        <v>#VALUE!</v>
      </c>
      <c r="EN659" s="1356"/>
      <c r="EO659" s="1356"/>
      <c r="EP659" s="1356"/>
      <c r="EQ659" s="1356"/>
      <c r="ER659" s="1356" t="e">
        <f t="shared" si="46"/>
        <v>#VALUE!</v>
      </c>
      <c r="ES659" s="1356"/>
      <c r="ET659" s="1356"/>
      <c r="EU659" s="1356"/>
      <c r="EV659" s="1356"/>
      <c r="EW659" s="1356" t="e">
        <f t="shared" si="47"/>
        <v>#VALUE!</v>
      </c>
      <c r="EX659" s="1356"/>
      <c r="EY659" s="1356"/>
      <c r="EZ659" s="1356"/>
      <c r="FA659" s="1356"/>
    </row>
    <row r="660" spans="1:157" ht="12.95" customHeight="1">
      <c r="A660" s="22"/>
      <c r="B660" t="s">
        <v>85</v>
      </c>
      <c r="G660" s="1467" t="s">
        <v>2662</v>
      </c>
      <c r="H660" s="1467"/>
      <c r="I660" s="1467"/>
      <c r="J660" s="1467"/>
      <c r="K660" s="1467"/>
      <c r="L660" s="1467"/>
      <c r="M660" s="1467"/>
      <c r="N660" s="1467"/>
      <c r="O660" s="1467"/>
      <c r="P660" s="1467"/>
      <c r="Q660" s="1467"/>
      <c r="R660" s="1467"/>
      <c r="T660" s="22"/>
      <c r="U660" t="s">
        <v>85</v>
      </c>
      <c r="Z660" s="1467"/>
      <c r="AA660" s="1467"/>
      <c r="AB660" s="1467"/>
      <c r="AC660" s="1467"/>
      <c r="AD660" s="1467"/>
      <c r="AE660" s="1467"/>
      <c r="AF660" s="1467"/>
      <c r="AG660" s="1467"/>
      <c r="AH660" s="1467"/>
      <c r="AI660" s="1467"/>
      <c r="AJ660" s="1467"/>
      <c r="AK660" s="1467"/>
      <c r="AZ660" s="34"/>
      <c r="BA660" s="34"/>
      <c r="BB660" s="34"/>
      <c r="BC660" s="34"/>
      <c r="BD660" s="34"/>
      <c r="BE660" s="34"/>
      <c r="BF660" s="34"/>
      <c r="BG660" s="34"/>
      <c r="BH660" s="34"/>
      <c r="BI660" s="34"/>
      <c r="BJ660" s="34"/>
      <c r="BK660" s="34"/>
      <c r="BL660" s="34"/>
      <c r="BM660" s="34"/>
      <c r="BN660" s="1692">
        <f>BN632+BN641+BN655</f>
        <v>10</v>
      </c>
      <c r="BO660" s="1693"/>
      <c r="BP660" s="1693"/>
      <c r="BQ660" s="1693"/>
      <c r="BR660" s="1694"/>
      <c r="BS660" s="1692">
        <f>BS632+BS641+BS655</f>
        <v>18</v>
      </c>
      <c r="BT660" s="1693"/>
      <c r="BU660" s="1693"/>
      <c r="BV660" s="1693"/>
      <c r="BW660" s="1694"/>
      <c r="BX660" s="1692">
        <f>BX632+BX641+BX655</f>
        <v>28</v>
      </c>
      <c r="BY660" s="1693"/>
      <c r="BZ660" s="1693"/>
      <c r="CA660" s="1693"/>
      <c r="CB660" s="1694"/>
      <c r="CC660" s="1692">
        <f>CC632+CC641+CC655</f>
        <v>42</v>
      </c>
      <c r="CD660" s="1693"/>
      <c r="CE660" s="1693"/>
      <c r="CF660" s="1693"/>
      <c r="CG660" s="1694"/>
      <c r="CH660" s="1692">
        <f>CH632+CH641+CH655</f>
        <v>8</v>
      </c>
      <c r="CI660" s="1693"/>
      <c r="CJ660" s="1693"/>
      <c r="CK660" s="1693"/>
      <c r="CL660" s="1694"/>
      <c r="CM660" s="1357">
        <f>CM655+CM641+CM632</f>
        <v>0</v>
      </c>
      <c r="CN660" s="1358"/>
      <c r="CO660" s="1358"/>
      <c r="CP660" s="1358"/>
      <c r="CQ660" s="1359"/>
      <c r="CR660" s="3"/>
      <c r="CS660" s="895">
        <f>CS634+CS658</f>
        <v>240</v>
      </c>
      <c r="CT660" s="57" t="s">
        <v>2054</v>
      </c>
      <c r="CU660" s="3"/>
      <c r="CV660" s="3"/>
      <c r="CW660" s="3"/>
      <c r="CX660" s="3"/>
      <c r="CY660" s="3"/>
      <c r="CZ660" s="3"/>
      <c r="DA660" s="3"/>
      <c r="DB660" s="3"/>
      <c r="DC660" s="3"/>
      <c r="DD660" s="3"/>
      <c r="DE660" s="3"/>
      <c r="DF660" s="3"/>
      <c r="DX660" s="1356" t="e">
        <f t="shared" si="42"/>
        <v>#VALUE!</v>
      </c>
      <c r="DY660" s="1356"/>
      <c r="DZ660" s="1356"/>
      <c r="EA660" s="1356"/>
      <c r="EB660" s="1356"/>
      <c r="EC660" s="1356" t="e">
        <f t="shared" si="43"/>
        <v>#VALUE!</v>
      </c>
      <c r="ED660" s="1356"/>
      <c r="EE660" s="1356"/>
      <c r="EF660" s="1356"/>
      <c r="EG660" s="1356"/>
      <c r="EH660" s="1356" t="e">
        <f t="shared" si="44"/>
        <v>#VALUE!</v>
      </c>
      <c r="EI660" s="1356"/>
      <c r="EJ660" s="1356"/>
      <c r="EK660" s="1356"/>
      <c r="EL660" s="1356"/>
      <c r="EM660" s="1356" t="e">
        <f t="shared" si="45"/>
        <v>#VALUE!</v>
      </c>
      <c r="EN660" s="1356"/>
      <c r="EO660" s="1356"/>
      <c r="EP660" s="1356"/>
      <c r="EQ660" s="1356"/>
      <c r="ER660" s="1356" t="e">
        <f t="shared" si="46"/>
        <v>#VALUE!</v>
      </c>
      <c r="ES660" s="1356"/>
      <c r="ET660" s="1356"/>
      <c r="EU660" s="1356"/>
      <c r="EV660" s="1356"/>
      <c r="EW660" s="1356" t="e">
        <f t="shared" si="47"/>
        <v>#VALUE!</v>
      </c>
      <c r="EX660" s="1356"/>
      <c r="EY660" s="1356"/>
      <c r="EZ660" s="1356"/>
      <c r="FA660" s="1356"/>
    </row>
    <row r="661" spans="1:157" ht="12.95" customHeight="1">
      <c r="A661" s="22"/>
      <c r="B661" t="s">
        <v>589</v>
      </c>
      <c r="G661" s="1467" t="s">
        <v>2745</v>
      </c>
      <c r="H661" s="1467"/>
      <c r="I661" s="1467"/>
      <c r="J661" s="1467"/>
      <c r="K661" s="1467"/>
      <c r="L661" s="1467"/>
      <c r="M661" s="1467"/>
      <c r="N661" s="1467"/>
      <c r="O661" s="1467"/>
      <c r="P661" s="1467"/>
      <c r="Q661" s="1467"/>
      <c r="R661" s="1467"/>
      <c r="T661" s="22"/>
      <c r="U661" t="s">
        <v>589</v>
      </c>
      <c r="Z661" s="1417"/>
      <c r="AA661" s="1417"/>
      <c r="AB661" s="1417"/>
      <c r="AC661" s="1417"/>
      <c r="AD661" s="1417"/>
      <c r="AE661" s="1417"/>
      <c r="AF661" s="1417"/>
      <c r="AG661" s="1417"/>
      <c r="AH661" s="1417"/>
      <c r="AI661" s="1417"/>
      <c r="AJ661" s="1417"/>
      <c r="AK661" s="1417"/>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6" t="e">
        <f t="shared" si="42"/>
        <v>#VALUE!</v>
      </c>
      <c r="DY661" s="1356"/>
      <c r="DZ661" s="1356"/>
      <c r="EA661" s="1356"/>
      <c r="EB661" s="1356"/>
      <c r="EC661" s="1356" t="e">
        <f t="shared" si="43"/>
        <v>#VALUE!</v>
      </c>
      <c r="ED661" s="1356"/>
      <c r="EE661" s="1356"/>
      <c r="EF661" s="1356"/>
      <c r="EG661" s="1356"/>
      <c r="EH661" s="1356" t="e">
        <f t="shared" si="44"/>
        <v>#VALUE!</v>
      </c>
      <c r="EI661" s="1356"/>
      <c r="EJ661" s="1356"/>
      <c r="EK661" s="1356"/>
      <c r="EL661" s="1356"/>
      <c r="EM661" s="1356" t="e">
        <f t="shared" si="45"/>
        <v>#VALUE!</v>
      </c>
      <c r="EN661" s="1356"/>
      <c r="EO661" s="1356"/>
      <c r="EP661" s="1356"/>
      <c r="EQ661" s="1356"/>
      <c r="ER661" s="1356" t="e">
        <f t="shared" si="46"/>
        <v>#VALUE!</v>
      </c>
      <c r="ES661" s="1356"/>
      <c r="ET661" s="1356"/>
      <c r="EU661" s="1356"/>
      <c r="EV661" s="1356"/>
      <c r="EW661" s="1356" t="e">
        <f t="shared" si="47"/>
        <v>#VALUE!</v>
      </c>
      <c r="EX661" s="1356"/>
      <c r="EY661" s="1356"/>
      <c r="EZ661" s="1356"/>
      <c r="FA661" s="1356"/>
    </row>
    <row r="662" spans="1:157" ht="12.95" customHeight="1">
      <c r="A662" s="22"/>
      <c r="B662" t="s">
        <v>17</v>
      </c>
      <c r="G662" s="1467" t="s">
        <v>2746</v>
      </c>
      <c r="H662" s="1467"/>
      <c r="I662" s="1467"/>
      <c r="J662" s="1467"/>
      <c r="K662" s="1467"/>
      <c r="L662" s="1467"/>
      <c r="M662" s="1467"/>
      <c r="N662" s="1467"/>
      <c r="O662" s="1467"/>
      <c r="P662" s="1467"/>
      <c r="Q662" s="1467"/>
      <c r="R662" s="1467"/>
      <c r="T662" s="22"/>
      <c r="U662" t="s">
        <v>17</v>
      </c>
      <c r="Z662" s="1417"/>
      <c r="AA662" s="1417"/>
      <c r="AB662" s="1417"/>
      <c r="AC662" s="1417"/>
      <c r="AD662" s="1417"/>
      <c r="AE662" s="1417"/>
      <c r="AF662" s="1417"/>
      <c r="AG662" s="1417"/>
      <c r="AH662" s="1417"/>
      <c r="AI662" s="1417"/>
      <c r="AJ662" s="1417"/>
      <c r="AK662" s="141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6" t="e">
        <f t="shared" si="42"/>
        <v>#VALUE!</v>
      </c>
      <c r="DY662" s="1356"/>
      <c r="DZ662" s="1356"/>
      <c r="EA662" s="1356"/>
      <c r="EB662" s="1356"/>
      <c r="EC662" s="1356" t="e">
        <f t="shared" si="43"/>
        <v>#VALUE!</v>
      </c>
      <c r="ED662" s="1356"/>
      <c r="EE662" s="1356"/>
      <c r="EF662" s="1356"/>
      <c r="EG662" s="1356"/>
      <c r="EH662" s="1356" t="e">
        <f t="shared" si="44"/>
        <v>#VALUE!</v>
      </c>
      <c r="EI662" s="1356"/>
      <c r="EJ662" s="1356"/>
      <c r="EK662" s="1356"/>
      <c r="EL662" s="1356"/>
      <c r="EM662" s="1356" t="e">
        <f t="shared" si="45"/>
        <v>#VALUE!</v>
      </c>
      <c r="EN662" s="1356"/>
      <c r="EO662" s="1356"/>
      <c r="EP662" s="1356"/>
      <c r="EQ662" s="1356"/>
      <c r="ER662" s="1356" t="e">
        <f t="shared" si="46"/>
        <v>#VALUE!</v>
      </c>
      <c r="ES662" s="1356"/>
      <c r="ET662" s="1356"/>
      <c r="EU662" s="1356"/>
      <c r="EV662" s="1356"/>
      <c r="EW662" s="1356" t="e">
        <f t="shared" si="47"/>
        <v>#VALUE!</v>
      </c>
      <c r="EX662" s="1356"/>
      <c r="EY662" s="1356"/>
      <c r="EZ662" s="1356"/>
      <c r="FA662" s="1356"/>
    </row>
    <row r="663" spans="1:157" ht="12.95" customHeight="1">
      <c r="A663" s="22"/>
      <c r="B663" t="s">
        <v>317</v>
      </c>
      <c r="G663" s="1466" t="s">
        <v>2665</v>
      </c>
      <c r="H663" s="1466"/>
      <c r="I663" s="1466"/>
      <c r="J663" s="1466"/>
      <c r="K663" s="1466"/>
      <c r="L663" s="1466"/>
      <c r="O663" s="33" t="s">
        <v>207</v>
      </c>
      <c r="P663" s="1406"/>
      <c r="Q663" s="1406"/>
      <c r="R663" s="1406"/>
      <c r="T663" s="22"/>
      <c r="U663" t="s">
        <v>317</v>
      </c>
      <c r="Z663" s="1466"/>
      <c r="AA663" s="1466"/>
      <c r="AB663" s="1466"/>
      <c r="AC663" s="1466"/>
      <c r="AD663" s="1466"/>
      <c r="AE663" s="1466"/>
      <c r="AH663" s="33" t="s">
        <v>207</v>
      </c>
      <c r="AI663" s="1406"/>
      <c r="AJ663" s="1406"/>
      <c r="AK663" s="140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6" t="e">
        <f t="shared" si="42"/>
        <v>#VALUE!</v>
      </c>
      <c r="DY663" s="1356"/>
      <c r="DZ663" s="1356"/>
      <c r="EA663" s="1356"/>
      <c r="EB663" s="1356"/>
      <c r="EC663" s="1356" t="e">
        <f t="shared" si="43"/>
        <v>#VALUE!</v>
      </c>
      <c r="ED663" s="1356"/>
      <c r="EE663" s="1356"/>
      <c r="EF663" s="1356"/>
      <c r="EG663" s="1356"/>
      <c r="EH663" s="1356" t="e">
        <f t="shared" si="44"/>
        <v>#VALUE!</v>
      </c>
      <c r="EI663" s="1356"/>
      <c r="EJ663" s="1356"/>
      <c r="EK663" s="1356"/>
      <c r="EL663" s="1356"/>
      <c r="EM663" s="1356" t="e">
        <f t="shared" si="45"/>
        <v>#VALUE!</v>
      </c>
      <c r="EN663" s="1356"/>
      <c r="EO663" s="1356"/>
      <c r="EP663" s="1356"/>
      <c r="EQ663" s="1356"/>
      <c r="ER663" s="1356" t="e">
        <f t="shared" si="46"/>
        <v>#VALUE!</v>
      </c>
      <c r="ES663" s="1356"/>
      <c r="ET663" s="1356"/>
      <c r="EU663" s="1356"/>
      <c r="EV663" s="1356"/>
      <c r="EW663" s="1356" t="e">
        <f t="shared" si="47"/>
        <v>#VALUE!</v>
      </c>
      <c r="EX663" s="1356"/>
      <c r="EY663" s="1356"/>
      <c r="EZ663" s="1356"/>
      <c r="FA663" s="1356"/>
    </row>
    <row r="664" spans="1:157" ht="12.95" customHeight="1">
      <c r="A664" s="22"/>
      <c r="B664" t="s">
        <v>18</v>
      </c>
      <c r="H664" s="1467" t="s">
        <v>1850</v>
      </c>
      <c r="I664" s="1467"/>
      <c r="J664" s="1467"/>
      <c r="K664" s="1467"/>
      <c r="L664" s="1467"/>
      <c r="M664" s="1467"/>
      <c r="N664" s="1467"/>
      <c r="O664" s="1467"/>
      <c r="P664" s="1467"/>
      <c r="Q664" s="1467"/>
      <c r="R664" s="1467"/>
      <c r="T664" s="22"/>
      <c r="U664" t="s">
        <v>18</v>
      </c>
      <c r="AA664" s="1467"/>
      <c r="AB664" s="1467"/>
      <c r="AC664" s="1467"/>
      <c r="AD664" s="1467"/>
      <c r="AE664" s="1467"/>
      <c r="AF664" s="1467"/>
      <c r="AG664" s="1467"/>
      <c r="AH664" s="1467"/>
      <c r="AI664" s="1467"/>
      <c r="AJ664" s="1467"/>
      <c r="AK664" s="146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6" t="e">
        <f t="shared" si="42"/>
        <v>#VALUE!</v>
      </c>
      <c r="DY664" s="1356"/>
      <c r="DZ664" s="1356"/>
      <c r="EA664" s="1356"/>
      <c r="EB664" s="1356"/>
      <c r="EC664" s="1356" t="e">
        <f t="shared" si="43"/>
        <v>#VALUE!</v>
      </c>
      <c r="ED664" s="1356"/>
      <c r="EE664" s="1356"/>
      <c r="EF664" s="1356"/>
      <c r="EG664" s="1356"/>
      <c r="EH664" s="1356" t="e">
        <f t="shared" si="44"/>
        <v>#VALUE!</v>
      </c>
      <c r="EI664" s="1356"/>
      <c r="EJ664" s="1356"/>
      <c r="EK664" s="1356"/>
      <c r="EL664" s="1356"/>
      <c r="EM664" s="1356" t="e">
        <f t="shared" si="45"/>
        <v>#VALUE!</v>
      </c>
      <c r="EN664" s="1356"/>
      <c r="EO664" s="1356"/>
      <c r="EP664" s="1356"/>
      <c r="EQ664" s="1356"/>
      <c r="ER664" s="1356" t="e">
        <f t="shared" si="46"/>
        <v>#VALUE!</v>
      </c>
      <c r="ES664" s="1356"/>
      <c r="ET664" s="1356"/>
      <c r="EU664" s="1356"/>
      <c r="EV664" s="1356"/>
      <c r="EW664" s="1356" t="e">
        <f t="shared" si="47"/>
        <v>#VALUE!</v>
      </c>
      <c r="EX664" s="1356"/>
      <c r="EY664" s="1356"/>
      <c r="EZ664" s="1356"/>
      <c r="FA664" s="1356"/>
    </row>
    <row r="665" spans="1:157" ht="12.95" customHeight="1">
      <c r="A665" s="22"/>
      <c r="B665" t="s">
        <v>20</v>
      </c>
      <c r="N665" s="1428" t="s">
        <v>554</v>
      </c>
      <c r="O665" s="1428"/>
      <c r="T665" s="22"/>
      <c r="U665" t="s">
        <v>20</v>
      </c>
      <c r="AG665" s="1428" t="s">
        <v>678</v>
      </c>
      <c r="AH665" s="142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6" t="e">
        <f t="shared" si="42"/>
        <v>#VALUE!</v>
      </c>
      <c r="DY665" s="1356"/>
      <c r="DZ665" s="1356"/>
      <c r="EA665" s="1356"/>
      <c r="EB665" s="1356"/>
      <c r="EC665" s="1356" t="e">
        <f t="shared" si="43"/>
        <v>#VALUE!</v>
      </c>
      <c r="ED665" s="1356"/>
      <c r="EE665" s="1356"/>
      <c r="EF665" s="1356"/>
      <c r="EG665" s="1356"/>
      <c r="EH665" s="1356" t="e">
        <f t="shared" si="44"/>
        <v>#VALUE!</v>
      </c>
      <c r="EI665" s="1356"/>
      <c r="EJ665" s="1356"/>
      <c r="EK665" s="1356"/>
      <c r="EL665" s="1356"/>
      <c r="EM665" s="1356" t="e">
        <f t="shared" si="45"/>
        <v>#VALUE!</v>
      </c>
      <c r="EN665" s="1356"/>
      <c r="EO665" s="1356"/>
      <c r="EP665" s="1356"/>
      <c r="EQ665" s="1356"/>
      <c r="ER665" s="1356" t="e">
        <f t="shared" si="46"/>
        <v>#VALUE!</v>
      </c>
      <c r="ES665" s="1356"/>
      <c r="ET665" s="1356"/>
      <c r="EU665" s="1356"/>
      <c r="EV665" s="1356"/>
      <c r="EW665" s="1356" t="e">
        <f t="shared" si="47"/>
        <v>#VALUE!</v>
      </c>
      <c r="EX665" s="1356"/>
      <c r="EY665" s="1356"/>
      <c r="EZ665" s="1356"/>
      <c r="FA665" s="1356"/>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6" t="e">
        <f t="shared" si="42"/>
        <v>#VALUE!</v>
      </c>
      <c r="DY666" s="1356"/>
      <c r="DZ666" s="1356"/>
      <c r="EA666" s="1356"/>
      <c r="EB666" s="1356"/>
      <c r="EC666" s="1356" t="e">
        <f t="shared" si="43"/>
        <v>#VALUE!</v>
      </c>
      <c r="ED666" s="1356"/>
      <c r="EE666" s="1356"/>
      <c r="EF666" s="1356"/>
      <c r="EG666" s="1356"/>
      <c r="EH666" s="1356" t="e">
        <f t="shared" si="44"/>
        <v>#VALUE!</v>
      </c>
      <c r="EI666" s="1356"/>
      <c r="EJ666" s="1356"/>
      <c r="EK666" s="1356"/>
      <c r="EL666" s="1356"/>
      <c r="EM666" s="1356" t="e">
        <f t="shared" si="45"/>
        <v>#VALUE!</v>
      </c>
      <c r="EN666" s="1356"/>
      <c r="EO666" s="1356"/>
      <c r="EP666" s="1356"/>
      <c r="EQ666" s="1356"/>
      <c r="ER666" s="1356" t="e">
        <f t="shared" si="46"/>
        <v>#VALUE!</v>
      </c>
      <c r="ES666" s="1356"/>
      <c r="ET666" s="1356"/>
      <c r="EU666" s="1356"/>
      <c r="EV666" s="1356"/>
      <c r="EW666" s="1356" t="e">
        <f t="shared" si="47"/>
        <v>#VALUE!</v>
      </c>
      <c r="EX666" s="1356"/>
      <c r="EY666" s="1356"/>
      <c r="EZ666" s="1356"/>
      <c r="FA666" s="1356"/>
    </row>
    <row r="667" spans="1:157" ht="12.95" customHeight="1">
      <c r="A667" s="55" t="s">
        <v>464</v>
      </c>
      <c r="B667" t="s">
        <v>472</v>
      </c>
      <c r="G667" s="1517">
        <f>C633</f>
        <v>0</v>
      </c>
      <c r="H667" s="1517"/>
      <c r="I667" s="1517"/>
      <c r="J667" s="1517"/>
      <c r="K667" s="1517"/>
      <c r="L667" s="1517"/>
      <c r="M667" s="1517"/>
      <c r="N667" s="1517"/>
      <c r="O667" s="1517"/>
      <c r="P667" s="1517"/>
      <c r="Q667" s="1517"/>
      <c r="R667" s="1517"/>
      <c r="T667" s="55" t="s">
        <v>465</v>
      </c>
      <c r="U667" t="s">
        <v>472</v>
      </c>
      <c r="Z667" s="1517">
        <f>C634</f>
        <v>0</v>
      </c>
      <c r="AA667" s="1517"/>
      <c r="AB667" s="1517"/>
      <c r="AC667" s="1517"/>
      <c r="AD667" s="1517"/>
      <c r="AE667" s="1517"/>
      <c r="AF667" s="1517"/>
      <c r="AG667" s="1517"/>
      <c r="AH667" s="1517"/>
      <c r="AI667" s="1517"/>
      <c r="AJ667" s="1517"/>
      <c r="AK667" s="1517"/>
      <c r="AZ667" s="3"/>
      <c r="BA667" s="118">
        <f t="shared" ref="BA667:BA699" si="48">IF($G718=0,"N/A",VLOOKUP($T$189,TC_Rent,(MATCH($B718,bedrooms,FALSE))))</f>
        <v>2064</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6" t="e">
        <f t="shared" si="42"/>
        <v>#VALUE!</v>
      </c>
      <c r="DY667" s="1356"/>
      <c r="DZ667" s="1356"/>
      <c r="EA667" s="1356"/>
      <c r="EB667" s="1356"/>
      <c r="EC667" s="1356" t="e">
        <f t="shared" si="43"/>
        <v>#VALUE!</v>
      </c>
      <c r="ED667" s="1356"/>
      <c r="EE667" s="1356"/>
      <c r="EF667" s="1356"/>
      <c r="EG667" s="1356"/>
      <c r="EH667" s="1356" t="e">
        <f t="shared" si="44"/>
        <v>#VALUE!</v>
      </c>
      <c r="EI667" s="1356"/>
      <c r="EJ667" s="1356"/>
      <c r="EK667" s="1356"/>
      <c r="EL667" s="1356"/>
      <c r="EM667" s="1356" t="e">
        <f t="shared" si="45"/>
        <v>#VALUE!</v>
      </c>
      <c r="EN667" s="1356"/>
      <c r="EO667" s="1356"/>
      <c r="EP667" s="1356"/>
      <c r="EQ667" s="1356"/>
      <c r="ER667" s="1356" t="e">
        <f t="shared" si="46"/>
        <v>#VALUE!</v>
      </c>
      <c r="ES667" s="1356"/>
      <c r="ET667" s="1356"/>
      <c r="EU667" s="1356"/>
      <c r="EV667" s="1356"/>
      <c r="EW667" s="1356" t="e">
        <f t="shared" si="47"/>
        <v>#VALUE!</v>
      </c>
      <c r="EX667" s="1356"/>
      <c r="EY667" s="1356"/>
      <c r="EZ667" s="1356"/>
      <c r="FA667" s="1356"/>
    </row>
    <row r="668" spans="1:157" ht="12.95" customHeight="1">
      <c r="A668" s="22"/>
      <c r="B668" t="s">
        <v>85</v>
      </c>
      <c r="G668" s="1467"/>
      <c r="H668" s="1467"/>
      <c r="I668" s="1467"/>
      <c r="J668" s="1467"/>
      <c r="K668" s="1467"/>
      <c r="L668" s="1467"/>
      <c r="M668" s="1467"/>
      <c r="N668" s="1467"/>
      <c r="O668" s="1467"/>
      <c r="P668" s="1467"/>
      <c r="Q668" s="1467"/>
      <c r="R668" s="1467"/>
      <c r="T668" s="22"/>
      <c r="U668" t="s">
        <v>85</v>
      </c>
      <c r="Z668" s="1467"/>
      <c r="AA668" s="1467"/>
      <c r="AB668" s="1467"/>
      <c r="AC668" s="1467"/>
      <c r="AD668" s="1467"/>
      <c r="AE668" s="1467"/>
      <c r="AF668" s="1467"/>
      <c r="AG668" s="1467"/>
      <c r="AH668" s="1467"/>
      <c r="AI668" s="1467"/>
      <c r="AJ668" s="1467"/>
      <c r="AK668" s="1467"/>
      <c r="AZ668" s="3"/>
      <c r="BA668" s="118">
        <f t="shared" si="48"/>
        <v>2064</v>
      </c>
      <c r="BB668" s="3"/>
      <c r="BC668" s="3"/>
      <c r="BD668" s="3"/>
      <c r="BE668" s="3"/>
      <c r="BF668" s="218"/>
      <c r="BG668" s="315">
        <f t="shared" ref="BG668:BG700" si="49">G718</f>
        <v>1</v>
      </c>
      <c r="BH668" s="319">
        <f t="shared" ref="BH668:BH702" si="50">IF($BG$703=0,0,BG668/$BG$703)</f>
        <v>9.5238095238095247E-3</v>
      </c>
      <c r="BI668" s="320">
        <f t="shared" ref="BI668:BI691" si="51">IF(BH668=0,"",BH668*AC718)</f>
        <v>2.8571428571428571E-3</v>
      </c>
      <c r="BJ668" s="3"/>
      <c r="BK668" s="3"/>
      <c r="BL668" s="3"/>
      <c r="BM668" s="3"/>
      <c r="BN668" s="3"/>
      <c r="BO668" s="3"/>
      <c r="BT668" s="315">
        <f t="shared" ref="BT668:BT700" si="52">G718</f>
        <v>1</v>
      </c>
      <c r="BU668" s="319">
        <f t="shared" ref="BU668:BU702" si="53">IF($BT$703=0,0,BT668/$BT$703)</f>
        <v>9.5238095238095247E-3</v>
      </c>
      <c r="BV668" s="320">
        <f t="shared" ref="BV668:BV700" si="54">IF(BU668=0,"",BU668*AH718)</f>
        <v>2.857142857142858E-3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6" t="e">
        <f>DX630*(BN630/$BN$632)</f>
        <v>#VALUE!</v>
      </c>
      <c r="DY668" s="1356"/>
      <c r="DZ668" s="1356"/>
      <c r="EA668" s="1356"/>
      <c r="EB668" s="1356"/>
      <c r="EC668" s="1356" t="e">
        <f>EC630*(BS630/$BS$632)</f>
        <v>#VALUE!</v>
      </c>
      <c r="ED668" s="1356"/>
      <c r="EE668" s="1356"/>
      <c r="EF668" s="1356"/>
      <c r="EG668" s="1356"/>
      <c r="EH668" s="1356" t="e">
        <f>EH630*(BX630/$BX$632)</f>
        <v>#VALUE!</v>
      </c>
      <c r="EI668" s="1356"/>
      <c r="EJ668" s="1356"/>
      <c r="EK668" s="1356"/>
      <c r="EL668" s="1356"/>
      <c r="EM668" s="1356" t="e">
        <f>EM630*(CC630/$CC$632)</f>
        <v>#VALUE!</v>
      </c>
      <c r="EN668" s="1356"/>
      <c r="EO668" s="1356"/>
      <c r="EP668" s="1356"/>
      <c r="EQ668" s="1356"/>
      <c r="ER668" s="1356" t="e">
        <f>ER630*(CH630/$CH$632)</f>
        <v>#VALUE!</v>
      </c>
      <c r="ES668" s="1356"/>
      <c r="ET668" s="1356"/>
      <c r="EU668" s="1356"/>
      <c r="EV668" s="1356"/>
      <c r="EW668" s="1356" t="e">
        <f>EW630*(CM630/$CM$632)</f>
        <v>#VALUE!</v>
      </c>
      <c r="EX668" s="1356"/>
      <c r="EY668" s="1356"/>
      <c r="EZ668" s="1356"/>
      <c r="FA668" s="1356"/>
    </row>
    <row r="669" spans="1:157" ht="12.95" customHeight="1">
      <c r="A669" s="22"/>
      <c r="B669" t="s">
        <v>589</v>
      </c>
      <c r="G669" s="1467"/>
      <c r="H669" s="1467"/>
      <c r="I669" s="1467"/>
      <c r="J669" s="1467"/>
      <c r="K669" s="1467"/>
      <c r="L669" s="1467"/>
      <c r="M669" s="1467"/>
      <c r="N669" s="1467"/>
      <c r="O669" s="1467"/>
      <c r="P669" s="1467"/>
      <c r="Q669" s="1467"/>
      <c r="R669" s="1467"/>
      <c r="T669" s="22"/>
      <c r="U669" t="s">
        <v>589</v>
      </c>
      <c r="Z669" s="1417"/>
      <c r="AA669" s="1417"/>
      <c r="AB669" s="1417"/>
      <c r="AC669" s="1417"/>
      <c r="AD669" s="1417"/>
      <c r="AE669" s="1417"/>
      <c r="AF669" s="1417"/>
      <c r="AG669" s="1417"/>
      <c r="AH669" s="1417"/>
      <c r="AI669" s="1417"/>
      <c r="AJ669" s="1417"/>
      <c r="AK669" s="1417"/>
      <c r="AZ669" s="3"/>
      <c r="BA669" s="118">
        <f t="shared" si="48"/>
        <v>2064</v>
      </c>
      <c r="BB669" s="3"/>
      <c r="BC669" s="3"/>
      <c r="BD669" s="3"/>
      <c r="BE669" s="3"/>
      <c r="BF669" s="218"/>
      <c r="BG669" s="316">
        <f t="shared" si="49"/>
        <v>3</v>
      </c>
      <c r="BH669" s="319">
        <f t="shared" si="50"/>
        <v>2.8571428571428571E-2</v>
      </c>
      <c r="BI669" s="320">
        <f t="shared" si="51"/>
        <v>1.4285714285714285E-2</v>
      </c>
      <c r="BJ669" s="3"/>
      <c r="BK669" s="3"/>
      <c r="BL669" s="3"/>
      <c r="BM669" s="3"/>
      <c r="BN669" s="3"/>
      <c r="BO669" s="3"/>
      <c r="BT669" s="316">
        <f t="shared" si="52"/>
        <v>3</v>
      </c>
      <c r="BU669" s="319">
        <f t="shared" si="53"/>
        <v>2.8571428571428571E-2</v>
      </c>
      <c r="BV669" s="320">
        <f t="shared" si="54"/>
        <v>1.4285714285714285E-2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6" t="e">
        <f>DX631*(BN631/$BN$632)</f>
        <v>#VALUE!</v>
      </c>
      <c r="DY669" s="1356"/>
      <c r="DZ669" s="1356"/>
      <c r="EA669" s="1356"/>
      <c r="EB669" s="1356"/>
      <c r="EC669" s="1356" t="e">
        <f>EC631*(BS631/$BS$632)</f>
        <v>#VALUE!</v>
      </c>
      <c r="ED669" s="1356"/>
      <c r="EE669" s="1356"/>
      <c r="EF669" s="1356"/>
      <c r="EG669" s="1356"/>
      <c r="EH669" s="1356" t="e">
        <f>EH631*(BX631/$BX$632)</f>
        <v>#VALUE!</v>
      </c>
      <c r="EI669" s="1356"/>
      <c r="EJ669" s="1356"/>
      <c r="EK669" s="1356"/>
      <c r="EL669" s="1356"/>
      <c r="EM669" s="1356" t="e">
        <f>EM631*(CC631/$CC$632)</f>
        <v>#VALUE!</v>
      </c>
      <c r="EN669" s="1356"/>
      <c r="EO669" s="1356"/>
      <c r="EP669" s="1356"/>
      <c r="EQ669" s="1356"/>
      <c r="ER669" s="1356" t="e">
        <f>ER631*(CH631/$CH$632)</f>
        <v>#VALUE!</v>
      </c>
      <c r="ES669" s="1356"/>
      <c r="ET669" s="1356"/>
      <c r="EU669" s="1356"/>
      <c r="EV669" s="1356"/>
      <c r="EW669" s="1356" t="e">
        <f>EW631*(CM631/$CM$632)</f>
        <v>#VALUE!</v>
      </c>
      <c r="EX669" s="1356"/>
      <c r="EY669" s="1356"/>
      <c r="EZ669" s="1356"/>
      <c r="FA669" s="1356"/>
    </row>
    <row r="670" spans="1:157" ht="12.95" customHeight="1">
      <c r="A670" s="22"/>
      <c r="B670" t="s">
        <v>17</v>
      </c>
      <c r="G670" s="1467"/>
      <c r="H670" s="1467"/>
      <c r="I670" s="1467"/>
      <c r="J670" s="1467"/>
      <c r="K670" s="1467"/>
      <c r="L670" s="1467"/>
      <c r="M670" s="1467"/>
      <c r="N670" s="1467"/>
      <c r="O670" s="1467"/>
      <c r="P670" s="1467"/>
      <c r="Q670" s="1467"/>
      <c r="R670" s="1467"/>
      <c r="T670" s="22"/>
      <c r="U670" t="s">
        <v>17</v>
      </c>
      <c r="Z670" s="1417"/>
      <c r="AA670" s="1417"/>
      <c r="AB670" s="1417"/>
      <c r="AC670" s="1417"/>
      <c r="AD670" s="1417"/>
      <c r="AE670" s="1417"/>
      <c r="AF670" s="1417"/>
      <c r="AG670" s="1417"/>
      <c r="AH670" s="1417"/>
      <c r="AI670" s="1417"/>
      <c r="AJ670" s="1417"/>
      <c r="AK670" s="1417"/>
      <c r="AZ670" s="3"/>
      <c r="BA670" s="118">
        <f t="shared" si="48"/>
        <v>2210</v>
      </c>
      <c r="BB670" s="3"/>
      <c r="BC670" s="3"/>
      <c r="BD670" s="3"/>
      <c r="BE670" s="3"/>
      <c r="BF670" s="218"/>
      <c r="BG670" s="316">
        <f t="shared" si="49"/>
        <v>6</v>
      </c>
      <c r="BH670" s="319">
        <f t="shared" si="50"/>
        <v>5.7142857142857141E-2</v>
      </c>
      <c r="BI670" s="320">
        <f t="shared" si="51"/>
        <v>3.428571428571428E-2</v>
      </c>
      <c r="BJ670" s="3"/>
      <c r="BK670" s="3"/>
      <c r="BL670" s="3"/>
      <c r="BM670" s="3"/>
      <c r="BN670" s="3"/>
      <c r="BO670" s="3"/>
      <c r="BT670" s="316">
        <f t="shared" si="52"/>
        <v>6</v>
      </c>
      <c r="BU670" s="319">
        <f t="shared" si="53"/>
        <v>5.7142857142857141E-2</v>
      </c>
      <c r="BV670" s="320">
        <f t="shared" si="54"/>
        <v>3.4296788482834996E-2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6">
        <f>SUMIF(DX635:EB669,"&gt;0")</f>
        <v>1045.8</v>
      </c>
      <c r="DY670" s="1356"/>
      <c r="DZ670" s="1356"/>
      <c r="EA670" s="1356"/>
      <c r="EB670" s="1356"/>
      <c r="EC670" s="1356">
        <f>SUMIF(EC635:EG669,"&gt;0")</f>
        <v>1133.9444444444443</v>
      </c>
      <c r="ED670" s="1356"/>
      <c r="EE670" s="1356"/>
      <c r="EF670" s="1356"/>
      <c r="EG670" s="1356"/>
      <c r="EH670" s="1356">
        <f>SUMIF(EH635:EL669,"&gt;0")</f>
        <v>1399.3111111111111</v>
      </c>
      <c r="EI670" s="1356"/>
      <c r="EJ670" s="1356"/>
      <c r="EK670" s="1356"/>
      <c r="EL670" s="1356"/>
      <c r="EM670" s="1356">
        <f>SUMIF(EM635:EQ669,"&gt;0")</f>
        <v>1647.5047619047618</v>
      </c>
      <c r="EN670" s="1356"/>
      <c r="EO670" s="1356"/>
      <c r="EP670" s="1356"/>
      <c r="EQ670" s="1356"/>
      <c r="ER670" s="1356">
        <f>SUMIF(ER635:EV669,"&gt;0")</f>
        <v>1745.75</v>
      </c>
      <c r="ES670" s="1356"/>
      <c r="ET670" s="1356"/>
      <c r="EU670" s="1356"/>
      <c r="EV670" s="1356"/>
      <c r="EW670" s="1356">
        <f>SUMIF(EW635:FA669,"&gt;0")</f>
        <v>0</v>
      </c>
      <c r="EX670" s="1356"/>
      <c r="EY670" s="1356"/>
      <c r="EZ670" s="1356"/>
      <c r="FA670" s="1356"/>
    </row>
    <row r="671" spans="1:157" ht="12.95" customHeight="1">
      <c r="A671" s="22"/>
      <c r="B671" t="s">
        <v>317</v>
      </c>
      <c r="G671" s="1466"/>
      <c r="H671" s="1466"/>
      <c r="I671" s="1466"/>
      <c r="J671" s="1466"/>
      <c r="K671" s="1466"/>
      <c r="L671" s="1466"/>
      <c r="O671" s="33" t="s">
        <v>207</v>
      </c>
      <c r="P671" s="1406"/>
      <c r="Q671" s="1406"/>
      <c r="R671" s="1406"/>
      <c r="T671" s="22"/>
      <c r="U671" t="s">
        <v>317</v>
      </c>
      <c r="Z671" s="1466"/>
      <c r="AA671" s="1466"/>
      <c r="AB671" s="1466"/>
      <c r="AC671" s="1466"/>
      <c r="AD671" s="1466"/>
      <c r="AE671" s="1466"/>
      <c r="AH671" s="33" t="s">
        <v>207</v>
      </c>
      <c r="AI671" s="1406"/>
      <c r="AJ671" s="1406"/>
      <c r="AK671" s="1406"/>
      <c r="AZ671" s="3"/>
      <c r="BA671" s="118">
        <f t="shared" si="48"/>
        <v>2210</v>
      </c>
      <c r="BB671" s="3"/>
      <c r="BC671" s="3"/>
      <c r="BD671" s="3"/>
      <c r="BE671" s="3"/>
      <c r="BF671" s="218"/>
      <c r="BG671" s="316">
        <f t="shared" si="49"/>
        <v>3</v>
      </c>
      <c r="BH671" s="319">
        <f t="shared" si="50"/>
        <v>2.8571428571428571E-2</v>
      </c>
      <c r="BI671" s="320">
        <f t="shared" si="51"/>
        <v>8.5714285714285701E-3</v>
      </c>
      <c r="BJ671" s="3"/>
      <c r="BK671" s="3"/>
      <c r="BL671" s="3"/>
      <c r="BM671" s="3"/>
      <c r="BN671" s="3"/>
      <c r="BO671" s="3"/>
      <c r="BT671" s="316">
        <f t="shared" si="52"/>
        <v>3</v>
      </c>
      <c r="BU671" s="319">
        <f t="shared" si="53"/>
        <v>2.8571428571428571E-2</v>
      </c>
      <c r="BV671" s="320">
        <f t="shared" si="54"/>
        <v>8.5714285714285701E-3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67"/>
      <c r="I672" s="1467"/>
      <c r="J672" s="1467"/>
      <c r="K672" s="1467"/>
      <c r="L672" s="1467"/>
      <c r="M672" s="1467"/>
      <c r="N672" s="1467"/>
      <c r="O672" s="1467"/>
      <c r="P672" s="1467"/>
      <c r="Q672" s="1467"/>
      <c r="R672" s="1467"/>
      <c r="T672" s="22"/>
      <c r="U672" t="s">
        <v>18</v>
      </c>
      <c r="AA672" s="1467"/>
      <c r="AB672" s="1467"/>
      <c r="AC672" s="1467"/>
      <c r="AD672" s="1467"/>
      <c r="AE672" s="1467"/>
      <c r="AF672" s="1467"/>
      <c r="AG672" s="1467"/>
      <c r="AH672" s="1467"/>
      <c r="AI672" s="1467"/>
      <c r="AJ672" s="1467"/>
      <c r="AK672" s="1467"/>
      <c r="AZ672" s="3"/>
      <c r="BA672" s="118">
        <f t="shared" si="48"/>
        <v>2210</v>
      </c>
      <c r="BB672" s="3"/>
      <c r="BC672" s="3"/>
      <c r="BD672" s="3"/>
      <c r="BE672" s="3"/>
      <c r="BF672" s="218"/>
      <c r="BG672" s="316">
        <f t="shared" si="49"/>
        <v>2</v>
      </c>
      <c r="BH672" s="319">
        <f t="shared" si="50"/>
        <v>1.9047619047619049E-2</v>
      </c>
      <c r="BI672" s="320">
        <f t="shared" si="51"/>
        <v>9.5238095238095247E-3</v>
      </c>
      <c r="BJ672" s="3"/>
      <c r="BK672" s="3"/>
      <c r="BL672" s="3"/>
      <c r="BM672" s="3"/>
      <c r="BN672" s="3"/>
      <c r="BO672" s="3"/>
      <c r="BT672" s="316">
        <f t="shared" si="52"/>
        <v>2</v>
      </c>
      <c r="BU672" s="319">
        <f t="shared" si="53"/>
        <v>1.9047619047619049E-2</v>
      </c>
      <c r="BV672" s="320">
        <f t="shared" si="54"/>
        <v>9.5238095238095247E-3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28" t="s">
        <v>678</v>
      </c>
      <c r="O673" s="1428"/>
      <c r="T673" s="22"/>
      <c r="U673" t="s">
        <v>20</v>
      </c>
      <c r="AG673" s="1428" t="s">
        <v>678</v>
      </c>
      <c r="AH673" s="1428"/>
      <c r="AZ673" s="3"/>
      <c r="BA673" s="118">
        <f t="shared" si="48"/>
        <v>2652</v>
      </c>
      <c r="BB673" s="3"/>
      <c r="BC673" s="3"/>
      <c r="BD673" s="3"/>
      <c r="BE673" s="3"/>
      <c r="BF673" s="218"/>
      <c r="BG673" s="316">
        <f t="shared" si="49"/>
        <v>13</v>
      </c>
      <c r="BH673" s="319">
        <f t="shared" si="50"/>
        <v>0.12380952380952381</v>
      </c>
      <c r="BI673" s="320">
        <f t="shared" si="51"/>
        <v>7.4285714285714288E-2</v>
      </c>
      <c r="BJ673" s="3"/>
      <c r="BK673" s="3"/>
      <c r="BL673" s="3"/>
      <c r="BM673" s="3"/>
      <c r="BN673" s="3"/>
      <c r="BO673" s="3"/>
      <c r="BT673" s="316">
        <f t="shared" si="52"/>
        <v>13</v>
      </c>
      <c r="BU673" s="319">
        <f t="shared" si="53"/>
        <v>0.12380952380952381</v>
      </c>
      <c r="BV673" s="320">
        <f t="shared" si="54"/>
        <v>7.4285714285714288E-2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2652</v>
      </c>
      <c r="BB674" s="3"/>
      <c r="BC674" s="3"/>
      <c r="BD674" s="3"/>
      <c r="BE674" s="3"/>
      <c r="BF674" s="218"/>
      <c r="BG674" s="316">
        <f t="shared" si="49"/>
        <v>3</v>
      </c>
      <c r="BH674" s="319">
        <f t="shared" si="50"/>
        <v>2.8571428571428571E-2</v>
      </c>
      <c r="BI674" s="320">
        <f t="shared" si="51"/>
        <v>8.5714285714285701E-3</v>
      </c>
      <c r="BJ674" s="3"/>
      <c r="BK674" s="3"/>
      <c r="BL674" s="3"/>
      <c r="BM674" s="3"/>
      <c r="BN674" s="3"/>
      <c r="BO674" s="3"/>
      <c r="BT674" s="316">
        <f t="shared" si="52"/>
        <v>3</v>
      </c>
      <c r="BU674" s="319">
        <f t="shared" si="53"/>
        <v>2.8571428571428571E-2</v>
      </c>
      <c r="BV674" s="320">
        <f t="shared" si="54"/>
        <v>8.5671191553544496E-3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517">
        <f>C635</f>
        <v>0</v>
      </c>
      <c r="H675" s="1517"/>
      <c r="I675" s="1517"/>
      <c r="J675" s="1517"/>
      <c r="K675" s="1517"/>
      <c r="L675" s="1517"/>
      <c r="M675" s="1517"/>
      <c r="N675" s="1517"/>
      <c r="O675" s="1517"/>
      <c r="P675" s="1517"/>
      <c r="Q675" s="1517"/>
      <c r="R675" s="1517"/>
      <c r="T675" s="55" t="s">
        <v>655</v>
      </c>
      <c r="U675" t="s">
        <v>472</v>
      </c>
      <c r="Z675" s="1517">
        <f>C636</f>
        <v>0</v>
      </c>
      <c r="AA675" s="1517"/>
      <c r="AB675" s="1517"/>
      <c r="AC675" s="1517"/>
      <c r="AD675" s="1517"/>
      <c r="AE675" s="1517"/>
      <c r="AF675" s="1517"/>
      <c r="AG675" s="1517"/>
      <c r="AH675" s="1517"/>
      <c r="AI675" s="1517"/>
      <c r="AJ675" s="1517"/>
      <c r="AK675" s="1517"/>
      <c r="AZ675" s="3"/>
      <c r="BA675" s="118">
        <f t="shared" si="48"/>
        <v>2652</v>
      </c>
      <c r="BB675" s="3"/>
      <c r="BC675" s="3"/>
      <c r="BD675" s="3"/>
      <c r="BE675" s="3"/>
      <c r="BF675" s="218"/>
      <c r="BG675" s="316">
        <f t="shared" si="49"/>
        <v>3</v>
      </c>
      <c r="BH675" s="319">
        <f t="shared" si="50"/>
        <v>2.8571428571428571E-2</v>
      </c>
      <c r="BI675" s="320">
        <f t="shared" si="51"/>
        <v>1.4285714285714285E-2</v>
      </c>
      <c r="BJ675" s="3"/>
      <c r="BK675" s="3"/>
      <c r="BL675" s="3"/>
      <c r="BM675" s="3"/>
      <c r="BN675" s="3"/>
      <c r="BO675" s="3"/>
      <c r="BT675" s="316">
        <f t="shared" si="52"/>
        <v>3</v>
      </c>
      <c r="BU675" s="319">
        <f t="shared" si="53"/>
        <v>2.8571428571428571E-2</v>
      </c>
      <c r="BV675" s="320">
        <f t="shared" si="54"/>
        <v>1.4287868993751346E-2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67"/>
      <c r="H676" s="1467"/>
      <c r="I676" s="1467"/>
      <c r="J676" s="1467"/>
      <c r="K676" s="1467"/>
      <c r="L676" s="1467"/>
      <c r="M676" s="1467"/>
      <c r="N676" s="1467"/>
      <c r="O676" s="1467"/>
      <c r="P676" s="1467"/>
      <c r="Q676" s="1467"/>
      <c r="R676" s="1467"/>
      <c r="T676" s="22"/>
      <c r="U676" t="s">
        <v>85</v>
      </c>
      <c r="Z676" s="1467"/>
      <c r="AA676" s="1467"/>
      <c r="AB676" s="1467"/>
      <c r="AC676" s="1467"/>
      <c r="AD676" s="1467"/>
      <c r="AE676" s="1467"/>
      <c r="AF676" s="1467"/>
      <c r="AG676" s="1467"/>
      <c r="AH676" s="1467"/>
      <c r="AI676" s="1467"/>
      <c r="AJ676" s="1467"/>
      <c r="AK676" s="1467"/>
      <c r="AZ676" s="3"/>
      <c r="BA676" s="118">
        <f t="shared" si="48"/>
        <v>3064</v>
      </c>
      <c r="BB676" s="3"/>
      <c r="BC676" s="3"/>
      <c r="BD676" s="3"/>
      <c r="BE676" s="3"/>
      <c r="BF676" s="218"/>
      <c r="BG676" s="316">
        <f t="shared" si="49"/>
        <v>21</v>
      </c>
      <c r="BH676" s="319">
        <f t="shared" si="50"/>
        <v>0.2</v>
      </c>
      <c r="BI676" s="320">
        <f t="shared" si="51"/>
        <v>0.12</v>
      </c>
      <c r="BJ676" s="3"/>
      <c r="BK676" s="3"/>
      <c r="BL676" s="3"/>
      <c r="BM676" s="3"/>
      <c r="BN676" s="3"/>
      <c r="BO676" s="3"/>
      <c r="BT676" s="316">
        <f t="shared" si="52"/>
        <v>21</v>
      </c>
      <c r="BU676" s="319">
        <f t="shared" si="53"/>
        <v>0.2</v>
      </c>
      <c r="BV676" s="320">
        <f t="shared" si="54"/>
        <v>0.12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467"/>
      <c r="H677" s="1467"/>
      <c r="I677" s="1467"/>
      <c r="J677" s="1467"/>
      <c r="K677" s="1467"/>
      <c r="L677" s="1467"/>
      <c r="M677" s="1467"/>
      <c r="N677" s="1467"/>
      <c r="O677" s="1467"/>
      <c r="P677" s="1467"/>
      <c r="Q677" s="1467"/>
      <c r="R677" s="1467"/>
      <c r="T677" s="22"/>
      <c r="U677" t="s">
        <v>589</v>
      </c>
      <c r="Z677" s="1417"/>
      <c r="AA677" s="1417"/>
      <c r="AB677" s="1417"/>
      <c r="AC677" s="1417"/>
      <c r="AD677" s="1417"/>
      <c r="AE677" s="1417"/>
      <c r="AF677" s="1417"/>
      <c r="AG677" s="1417"/>
      <c r="AH677" s="1417"/>
      <c r="AI677" s="1417"/>
      <c r="AJ677" s="1417"/>
      <c r="AK677" s="1417"/>
      <c r="AZ677" s="3"/>
      <c r="BA677" s="118">
        <f t="shared" si="48"/>
        <v>3064</v>
      </c>
      <c r="BB677" s="3"/>
      <c r="BC677" s="3"/>
      <c r="BD677" s="3"/>
      <c r="BE677" s="3"/>
      <c r="BF677" s="218"/>
      <c r="BG677" s="316">
        <f t="shared" si="49"/>
        <v>3</v>
      </c>
      <c r="BH677" s="319">
        <f t="shared" si="50"/>
        <v>2.8571428571428571E-2</v>
      </c>
      <c r="BI677" s="320">
        <f t="shared" si="51"/>
        <v>8.5714285714285701E-3</v>
      </c>
      <c r="BJ677" s="3"/>
      <c r="BK677" s="3"/>
      <c r="BL677" s="3"/>
      <c r="BM677" s="3"/>
      <c r="BN677" s="3"/>
      <c r="BO677" s="3"/>
      <c r="BT677" s="316">
        <f t="shared" si="52"/>
        <v>3</v>
      </c>
      <c r="BU677" s="319">
        <f t="shared" si="53"/>
        <v>2.8571428571428571E-2</v>
      </c>
      <c r="BV677" s="320">
        <f t="shared" si="54"/>
        <v>8.5714285714285701E-3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67"/>
      <c r="H678" s="1467"/>
      <c r="I678" s="1467"/>
      <c r="J678" s="1467"/>
      <c r="K678" s="1467"/>
      <c r="L678" s="1467"/>
      <c r="M678" s="1467"/>
      <c r="N678" s="1467"/>
      <c r="O678" s="1467"/>
      <c r="P678" s="1467"/>
      <c r="Q678" s="1467"/>
      <c r="R678" s="1467"/>
      <c r="T678" s="22"/>
      <c r="U678" t="s">
        <v>17</v>
      </c>
      <c r="Z678" s="1417"/>
      <c r="AA678" s="1417"/>
      <c r="AB678" s="1417"/>
      <c r="AC678" s="1417"/>
      <c r="AD678" s="1417"/>
      <c r="AE678" s="1417"/>
      <c r="AF678" s="1417"/>
      <c r="AG678" s="1417"/>
      <c r="AH678" s="1417"/>
      <c r="AI678" s="1417"/>
      <c r="AJ678" s="1417"/>
      <c r="AK678" s="1417"/>
      <c r="AZ678" s="3"/>
      <c r="BA678" s="118">
        <f t="shared" si="48"/>
        <v>3064</v>
      </c>
      <c r="BB678" s="3"/>
      <c r="BC678" s="3"/>
      <c r="BD678" s="3"/>
      <c r="BE678" s="3"/>
      <c r="BF678" s="218"/>
      <c r="BG678" s="316">
        <f t="shared" si="49"/>
        <v>2</v>
      </c>
      <c r="BH678" s="319">
        <f t="shared" si="50"/>
        <v>1.9047619047619049E-2</v>
      </c>
      <c r="BI678" s="320">
        <f t="shared" si="51"/>
        <v>9.5238095238095247E-3</v>
      </c>
      <c r="BJ678" s="3"/>
      <c r="BK678" s="3"/>
      <c r="BL678" s="3"/>
      <c r="BM678" s="3"/>
      <c r="BN678" s="3"/>
      <c r="BO678" s="3"/>
      <c r="BT678" s="316">
        <f t="shared" si="52"/>
        <v>2</v>
      </c>
      <c r="BU678" s="319">
        <f t="shared" si="53"/>
        <v>1.9047619047619049E-2</v>
      </c>
      <c r="BV678" s="320">
        <f t="shared" si="54"/>
        <v>9.5238095238095247E-3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66"/>
      <c r="H679" s="1466"/>
      <c r="I679" s="1466"/>
      <c r="J679" s="1466"/>
      <c r="K679" s="1466"/>
      <c r="L679" s="1466"/>
      <c r="O679" s="33" t="s">
        <v>207</v>
      </c>
      <c r="P679" s="1406"/>
      <c r="Q679" s="1406"/>
      <c r="R679" s="1406"/>
      <c r="T679" s="22"/>
      <c r="U679" t="s">
        <v>317</v>
      </c>
      <c r="Z679" s="1466"/>
      <c r="AA679" s="1466"/>
      <c r="AB679" s="1466"/>
      <c r="AC679" s="1466"/>
      <c r="AD679" s="1466"/>
      <c r="AE679" s="1466"/>
      <c r="AH679" s="33" t="s">
        <v>207</v>
      </c>
      <c r="AI679" s="1406"/>
      <c r="AJ679" s="1406"/>
      <c r="AK679" s="1406"/>
      <c r="AZ679" s="3"/>
      <c r="BA679" s="118">
        <f t="shared" si="48"/>
        <v>3420</v>
      </c>
      <c r="BB679" s="3"/>
      <c r="BC679" s="3"/>
      <c r="BD679" s="3"/>
      <c r="BE679" s="3"/>
      <c r="BF679" s="218"/>
      <c r="BG679" s="316">
        <f t="shared" si="49"/>
        <v>37</v>
      </c>
      <c r="BH679" s="319">
        <f t="shared" si="50"/>
        <v>0.35238095238095241</v>
      </c>
      <c r="BI679" s="320">
        <f t="shared" si="51"/>
        <v>0.21142857142857144</v>
      </c>
      <c r="BJ679" s="3"/>
      <c r="BK679" s="3"/>
      <c r="BL679" s="3"/>
      <c r="BM679" s="3"/>
      <c r="BN679" s="3"/>
      <c r="BO679" s="3"/>
      <c r="BT679" s="316">
        <f t="shared" si="52"/>
        <v>37</v>
      </c>
      <c r="BU679" s="319">
        <f t="shared" si="53"/>
        <v>0.35238095238095241</v>
      </c>
      <c r="BV679" s="320">
        <f t="shared" si="54"/>
        <v>0.21147457416386922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67"/>
      <c r="I680" s="1467"/>
      <c r="J680" s="1467"/>
      <c r="K680" s="1467"/>
      <c r="L680" s="1467"/>
      <c r="M680" s="1467"/>
      <c r="N680" s="1467"/>
      <c r="O680" s="1467"/>
      <c r="P680" s="1467"/>
      <c r="Q680" s="1467"/>
      <c r="R680" s="1467"/>
      <c r="T680" s="22"/>
      <c r="U680" t="s">
        <v>18</v>
      </c>
      <c r="AA680" s="1467"/>
      <c r="AB680" s="1467"/>
      <c r="AC680" s="1467"/>
      <c r="AD680" s="1467"/>
      <c r="AE680" s="1467"/>
      <c r="AF680" s="1467"/>
      <c r="AG680" s="1467"/>
      <c r="AH680" s="1467"/>
      <c r="AI680" s="1467"/>
      <c r="AJ680" s="1467"/>
      <c r="AK680" s="1467"/>
      <c r="AZ680" s="3"/>
      <c r="BA680" s="118">
        <f t="shared" si="48"/>
        <v>3420</v>
      </c>
      <c r="BB680" s="3"/>
      <c r="BC680" s="3"/>
      <c r="BD680" s="3"/>
      <c r="BE680" s="3"/>
      <c r="BF680" s="218"/>
      <c r="BG680" s="316">
        <f t="shared" si="49"/>
        <v>1</v>
      </c>
      <c r="BH680" s="319">
        <f t="shared" si="50"/>
        <v>9.5238095238095247E-3</v>
      </c>
      <c r="BI680" s="320">
        <f t="shared" si="51"/>
        <v>2.8571428571428571E-3</v>
      </c>
      <c r="BJ680" s="3"/>
      <c r="BK680" s="3"/>
      <c r="BL680" s="3"/>
      <c r="BM680" s="3"/>
      <c r="BN680" s="3"/>
      <c r="BO680" s="3"/>
      <c r="BT680" s="316">
        <f t="shared" si="52"/>
        <v>1</v>
      </c>
      <c r="BU680" s="319">
        <f t="shared" si="53"/>
        <v>9.5238095238095247E-3</v>
      </c>
      <c r="BV680" s="320">
        <f t="shared" si="54"/>
        <v>2.8571428571428571E-3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28" t="s">
        <v>678</v>
      </c>
      <c r="O681" s="1428"/>
      <c r="T681" s="22"/>
      <c r="U681" t="s">
        <v>20</v>
      </c>
      <c r="AG681" s="1428" t="s">
        <v>678</v>
      </c>
      <c r="AH681" s="1428"/>
      <c r="AZ681" s="3"/>
      <c r="BA681" s="118" t="str">
        <f t="shared" si="48"/>
        <v>N/A</v>
      </c>
      <c r="BB681" s="3"/>
      <c r="BC681" s="3"/>
      <c r="BD681" s="3"/>
      <c r="BE681" s="3"/>
      <c r="BF681" s="218"/>
      <c r="BG681" s="316">
        <f t="shared" si="49"/>
        <v>7</v>
      </c>
      <c r="BH681" s="319">
        <f t="shared" si="50"/>
        <v>6.6666666666666666E-2</v>
      </c>
      <c r="BI681" s="320">
        <f t="shared" si="51"/>
        <v>0.04</v>
      </c>
      <c r="BJ681" s="3"/>
      <c r="BK681" s="3"/>
      <c r="BL681" s="3"/>
      <c r="BM681" s="3"/>
      <c r="BN681" s="3"/>
      <c r="BO681" s="3"/>
      <c r="BT681" s="316">
        <f t="shared" si="52"/>
        <v>7</v>
      </c>
      <c r="BU681" s="319">
        <f t="shared" si="53"/>
        <v>6.6666666666666666E-2</v>
      </c>
      <c r="BV681" s="320">
        <f t="shared" si="54"/>
        <v>0.04</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517">
        <f>C637</f>
        <v>0</v>
      </c>
      <c r="H683" s="1517"/>
      <c r="I683" s="1517"/>
      <c r="J683" s="1517"/>
      <c r="K683" s="1517"/>
      <c r="L683" s="1517"/>
      <c r="M683" s="1517"/>
      <c r="N683" s="1517"/>
      <c r="O683" s="1517"/>
      <c r="P683" s="1517"/>
      <c r="Q683" s="1517"/>
      <c r="R683" s="1517"/>
      <c r="T683" s="55" t="s">
        <v>364</v>
      </c>
      <c r="U683" t="s">
        <v>472</v>
      </c>
      <c r="Z683" s="1517">
        <f>C638</f>
        <v>0</v>
      </c>
      <c r="AA683" s="1517"/>
      <c r="AB683" s="1517"/>
      <c r="AC683" s="1517"/>
      <c r="AD683" s="1517"/>
      <c r="AE683" s="1517"/>
      <c r="AF683" s="1517"/>
      <c r="AG683" s="1517"/>
      <c r="AH683" s="1517"/>
      <c r="AI683" s="1517"/>
      <c r="AJ683" s="1517"/>
      <c r="AK683" s="1517"/>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67"/>
      <c r="H684" s="1467"/>
      <c r="I684" s="1467"/>
      <c r="J684" s="1467"/>
      <c r="K684" s="1467"/>
      <c r="L684" s="1467"/>
      <c r="M684" s="1467"/>
      <c r="N684" s="1467"/>
      <c r="O684" s="1467"/>
      <c r="P684" s="1467"/>
      <c r="Q684" s="1467"/>
      <c r="R684" s="1467"/>
      <c r="T684" s="22"/>
      <c r="U684" t="s">
        <v>85</v>
      </c>
      <c r="Z684" s="1467"/>
      <c r="AA684" s="1467"/>
      <c r="AB684" s="1467"/>
      <c r="AC684" s="1467"/>
      <c r="AD684" s="1467"/>
      <c r="AE684" s="1467"/>
      <c r="AF684" s="1467"/>
      <c r="AG684" s="1467"/>
      <c r="AH684" s="1467"/>
      <c r="AI684" s="1467"/>
      <c r="AJ684" s="1467"/>
      <c r="AK684" s="1467"/>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467"/>
      <c r="H685" s="1467"/>
      <c r="I685" s="1467"/>
      <c r="J685" s="1467"/>
      <c r="K685" s="1467"/>
      <c r="L685" s="1467"/>
      <c r="M685" s="1467"/>
      <c r="N685" s="1467"/>
      <c r="O685" s="1467"/>
      <c r="P685" s="1467"/>
      <c r="Q685" s="1467"/>
      <c r="R685" s="1467"/>
      <c r="U685" t="s">
        <v>589</v>
      </c>
      <c r="Z685" s="1417"/>
      <c r="AA685" s="1417"/>
      <c r="AB685" s="1417"/>
      <c r="AC685" s="1417"/>
      <c r="AD685" s="1417"/>
      <c r="AE685" s="1417"/>
      <c r="AF685" s="1417"/>
      <c r="AG685" s="1417"/>
      <c r="AH685" s="1417"/>
      <c r="AI685" s="1417"/>
      <c r="AJ685" s="1417"/>
      <c r="AK685" s="1417"/>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67"/>
      <c r="H686" s="1467"/>
      <c r="I686" s="1467"/>
      <c r="J686" s="1467"/>
      <c r="K686" s="1467"/>
      <c r="L686" s="1467"/>
      <c r="M686" s="1467"/>
      <c r="N686" s="1467"/>
      <c r="O686" s="1467"/>
      <c r="P686" s="1467"/>
      <c r="Q686" s="1467"/>
      <c r="R686" s="1467"/>
      <c r="U686" t="s">
        <v>17</v>
      </c>
      <c r="Z686" s="1417"/>
      <c r="AA686" s="1417"/>
      <c r="AB686" s="1417"/>
      <c r="AC686" s="1417"/>
      <c r="AD686" s="1417"/>
      <c r="AE686" s="1417"/>
      <c r="AF686" s="1417"/>
      <c r="AG686" s="1417"/>
      <c r="AH686" s="1417"/>
      <c r="AI686" s="1417"/>
      <c r="AJ686" s="1417"/>
      <c r="AK686" s="1417"/>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66"/>
      <c r="H687" s="1466"/>
      <c r="I687" s="1466"/>
      <c r="J687" s="1466"/>
      <c r="K687" s="1466"/>
      <c r="L687" s="1466"/>
      <c r="O687" s="33" t="s">
        <v>207</v>
      </c>
      <c r="P687" s="1406"/>
      <c r="Q687" s="1406"/>
      <c r="R687" s="1406"/>
      <c r="U687" t="s">
        <v>317</v>
      </c>
      <c r="Z687" s="1466"/>
      <c r="AA687" s="1466"/>
      <c r="AB687" s="1466"/>
      <c r="AC687" s="1466"/>
      <c r="AD687" s="1466"/>
      <c r="AE687" s="1466"/>
      <c r="AH687" s="33" t="s">
        <v>207</v>
      </c>
      <c r="AI687" s="1406"/>
      <c r="AJ687" s="1406"/>
      <c r="AK687" s="1406"/>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67"/>
      <c r="I688" s="1467"/>
      <c r="J688" s="1467"/>
      <c r="K688" s="1467"/>
      <c r="L688" s="1467"/>
      <c r="M688" s="1467"/>
      <c r="N688" s="1467"/>
      <c r="O688" s="1467"/>
      <c r="P688" s="1467"/>
      <c r="Q688" s="1467"/>
      <c r="R688" s="1467"/>
      <c r="U688" t="s">
        <v>18</v>
      </c>
      <c r="AA688" s="1467"/>
      <c r="AB688" s="1467"/>
      <c r="AC688" s="1467"/>
      <c r="AD688" s="1467"/>
      <c r="AE688" s="1467"/>
      <c r="AF688" s="1467"/>
      <c r="AG688" s="1467"/>
      <c r="AH688" s="1467"/>
      <c r="AI688" s="1467"/>
      <c r="AJ688" s="1467"/>
      <c r="AK688" s="1467"/>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28" t="s">
        <v>678</v>
      </c>
      <c r="O689" s="1428"/>
      <c r="U689" t="s">
        <v>20</v>
      </c>
      <c r="AG689" s="1428" t="s">
        <v>678</v>
      </c>
      <c r="AH689" s="142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28" t="s">
        <v>554</v>
      </c>
      <c r="AF693" s="142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28" t="s">
        <v>554</v>
      </c>
      <c r="AF694" s="142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50">
        <v>45531</v>
      </c>
      <c r="AF695" s="1550"/>
      <c r="AG695" s="1550"/>
      <c r="AH695" s="1550"/>
      <c r="AI695" s="1550"/>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601">
        <v>45637</v>
      </c>
      <c r="AF696" s="1601"/>
      <c r="AG696" s="1601"/>
      <c r="AH696" s="1601"/>
      <c r="AI696" s="1601"/>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550">
        <v>45809</v>
      </c>
      <c r="AF698" s="1550"/>
      <c r="AG698" s="1550"/>
      <c r="AH698" s="1550"/>
      <c r="AI698" s="1550"/>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615">
        <f>AO627/SUM('Sources and Uses Budget'!B4,'Sources and Uses Budget'!S107,'Sources and Uses Budget'!T107)</f>
        <v>0.52615495400224321</v>
      </c>
      <c r="AF699" s="1615"/>
      <c r="AG699" s="1615"/>
      <c r="AH699" s="1615"/>
      <c r="AI699" s="161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7" t="str">
        <f>H335</f>
        <v xml:space="preserve">Sacramento Housing &amp; Redevelopment Agency </v>
      </c>
      <c r="X700" s="1517"/>
      <c r="Y700" s="1517"/>
      <c r="Z700" s="1517"/>
      <c r="AA700" s="1517"/>
      <c r="AB700" s="1517"/>
      <c r="AC700" s="1517"/>
      <c r="AD700" s="1517"/>
      <c r="AE700" s="1517"/>
      <c r="AF700" s="1517"/>
      <c r="AG700" s="1517"/>
      <c r="AH700" s="1517"/>
      <c r="AI700" s="1517"/>
      <c r="AJ700" s="1517"/>
      <c r="AK700" s="1517"/>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28" t="s">
        <v>678</v>
      </c>
      <c r="AF702" s="142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467"/>
      <c r="X703" s="1467"/>
      <c r="Y703" s="1467"/>
      <c r="Z703" s="1467"/>
      <c r="AA703" s="1467"/>
      <c r="AB703" s="1467"/>
      <c r="AC703" s="1467"/>
      <c r="AD703" s="1467"/>
      <c r="AE703" s="1467"/>
      <c r="AF703" s="1467"/>
      <c r="AG703" s="1467"/>
      <c r="AH703" s="1467"/>
      <c r="AI703" s="1467"/>
      <c r="AJ703" s="1467"/>
      <c r="AK703" s="1467"/>
      <c r="AZ703" s="34"/>
      <c r="BA703" s="34"/>
      <c r="BB703" s="34"/>
      <c r="BC703" s="34"/>
      <c r="BD703" s="34"/>
      <c r="BE703" s="3"/>
      <c r="BF703" s="312" t="s">
        <v>915</v>
      </c>
      <c r="BG703" s="321">
        <f>SUM(BG668:BG702)</f>
        <v>105</v>
      </c>
      <c r="BH703" s="322">
        <f>SUM(BH668:BH702)</f>
        <v>1</v>
      </c>
      <c r="BI703" s="322">
        <f>SUM(BI668:BI702)</f>
        <v>0.55904761904761913</v>
      </c>
      <c r="BN703" s="3"/>
      <c r="BO703" s="3"/>
      <c r="BT703" s="893">
        <f>SUM(BT668:BT702)</f>
        <v>105</v>
      </c>
      <c r="BU703" s="322">
        <f>SUM(BU668:BU702)</f>
        <v>1</v>
      </c>
      <c r="BV703" s="322">
        <f>SUM(BV668:BV702)</f>
        <v>0.55910254127200054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67"/>
      <c r="K704" s="1467"/>
      <c r="L704" s="1467"/>
      <c r="M704" s="1467"/>
      <c r="N704" s="1467"/>
      <c r="O704" s="1467"/>
      <c r="P704" s="1467"/>
      <c r="Q704" s="1467"/>
      <c r="R704" s="1467"/>
      <c r="S704" s="1467"/>
      <c r="T704" s="1467"/>
      <c r="U704" s="1467"/>
      <c r="V704" s="1467"/>
      <c r="W704" s="1467"/>
      <c r="X704" s="1467"/>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66"/>
      <c r="K705" s="1466"/>
      <c r="L705" s="1466"/>
      <c r="M705" s="1466"/>
      <c r="N705" s="1466"/>
      <c r="O705" s="1466"/>
      <c r="P705" s="4" t="s">
        <v>207</v>
      </c>
      <c r="Q705" s="4"/>
      <c r="R705" s="1406"/>
      <c r="S705" s="1406"/>
      <c r="T705" s="140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467" t="s">
        <v>308</v>
      </c>
      <c r="X706" s="1467"/>
      <c r="Y706" s="1467"/>
      <c r="Z706" s="1467"/>
      <c r="AA706" s="1467"/>
      <c r="AB706" s="1467"/>
      <c r="AC706" s="1467"/>
      <c r="AD706" s="1467"/>
      <c r="AE706" s="1467"/>
      <c r="AF706" s="1467"/>
      <c r="AG706" s="1467"/>
      <c r="AH706" s="1467"/>
      <c r="AI706" s="1467"/>
      <c r="AJ706" s="1467"/>
      <c r="AK706" s="146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67" t="s">
        <v>335</v>
      </c>
      <c r="F707" s="1467"/>
      <c r="G707" s="1467"/>
      <c r="H707" s="1467"/>
      <c r="I707" s="1467"/>
      <c r="J707" s="1467"/>
      <c r="K707" s="1467"/>
      <c r="L707" s="1467"/>
      <c r="M707" s="1467"/>
      <c r="N707" s="1467"/>
      <c r="O707" s="1467"/>
      <c r="P707" s="1467"/>
      <c r="Q707" s="1467"/>
      <c r="R707" s="1467"/>
      <c r="S707" s="1467"/>
      <c r="T707" s="1467"/>
      <c r="U707" s="1467"/>
      <c r="V707" s="1467"/>
      <c r="W707" s="1467"/>
      <c r="X707" s="1467"/>
      <c r="Y707" s="1467"/>
      <c r="Z707" s="1467"/>
      <c r="AA707" s="1467"/>
      <c r="AB707" s="1467"/>
      <c r="AC707" s="1467"/>
      <c r="AD707" s="1467"/>
      <c r="AE707" s="1467"/>
      <c r="AF707" s="1467"/>
      <c r="AG707" s="1467"/>
      <c r="AH707" s="1467"/>
      <c r="AI707" s="1467"/>
      <c r="AJ707" s="1467"/>
      <c r="AK707" s="146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451" t="s">
        <v>390</v>
      </c>
      <c r="C714" s="1430"/>
      <c r="D714" s="1430"/>
      <c r="E714" s="1430"/>
      <c r="F714" s="1431"/>
      <c r="G714" s="1451" t="s">
        <v>286</v>
      </c>
      <c r="H714" s="1430"/>
      <c r="I714" s="1430"/>
      <c r="J714" s="1431"/>
      <c r="K714" s="1592" t="s">
        <v>1867</v>
      </c>
      <c r="L714" s="1593"/>
      <c r="M714" s="1593"/>
      <c r="N714" s="1594"/>
      <c r="O714" s="1451" t="s">
        <v>456</v>
      </c>
      <c r="P714" s="1430"/>
      <c r="Q714" s="1430"/>
      <c r="R714" s="1430"/>
      <c r="S714" s="1431"/>
      <c r="T714" s="1429" t="s">
        <v>2251</v>
      </c>
      <c r="U714" s="1430"/>
      <c r="V714" s="1430"/>
      <c r="W714" s="1431"/>
      <c r="X714" s="1429" t="s">
        <v>2253</v>
      </c>
      <c r="Y714" s="1430"/>
      <c r="Z714" s="1430"/>
      <c r="AA714" s="1430"/>
      <c r="AB714" s="1431"/>
      <c r="AC714" s="1429" t="s">
        <v>2252</v>
      </c>
      <c r="AD714" s="1430"/>
      <c r="AE714" s="1430"/>
      <c r="AF714" s="1430"/>
      <c r="AG714" s="1431"/>
      <c r="AH714" s="1429" t="s">
        <v>2254</v>
      </c>
      <c r="AI714" s="1430"/>
      <c r="AJ714" s="1431"/>
      <c r="AK714" s="1429" t="s">
        <v>2288</v>
      </c>
      <c r="AL714" s="1430"/>
      <c r="AM714" s="1430"/>
      <c r="AN714" s="1430"/>
      <c r="AO714" s="143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432"/>
      <c r="C715" s="1433"/>
      <c r="D715" s="1433"/>
      <c r="E715" s="1433"/>
      <c r="F715" s="1434"/>
      <c r="G715" s="1432"/>
      <c r="H715" s="1433"/>
      <c r="I715" s="1433"/>
      <c r="J715" s="1434"/>
      <c r="K715" s="1595"/>
      <c r="L715" s="1596"/>
      <c r="M715" s="1596"/>
      <c r="N715" s="1597"/>
      <c r="O715" s="1432"/>
      <c r="P715" s="1433"/>
      <c r="Q715" s="1433"/>
      <c r="R715" s="1433"/>
      <c r="S715" s="1434"/>
      <c r="T715" s="1432"/>
      <c r="U715" s="1433"/>
      <c r="V715" s="1433"/>
      <c r="W715" s="1434"/>
      <c r="X715" s="1432"/>
      <c r="Y715" s="1433"/>
      <c r="Z715" s="1433"/>
      <c r="AA715" s="1433"/>
      <c r="AB715" s="1434"/>
      <c r="AC715" s="1432"/>
      <c r="AD715" s="1433"/>
      <c r="AE715" s="1433"/>
      <c r="AF715" s="1433"/>
      <c r="AG715" s="1434"/>
      <c r="AH715" s="1432"/>
      <c r="AI715" s="1433"/>
      <c r="AJ715" s="1434"/>
      <c r="AK715" s="1432"/>
      <c r="AL715" s="1433"/>
      <c r="AM715" s="1433"/>
      <c r="AN715" s="1433"/>
      <c r="AO715" s="143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432"/>
      <c r="C716" s="1433"/>
      <c r="D716" s="1433"/>
      <c r="E716" s="1433"/>
      <c r="F716" s="1434"/>
      <c r="G716" s="1432"/>
      <c r="H716" s="1433"/>
      <c r="I716" s="1433"/>
      <c r="J716" s="1434"/>
      <c r="K716" s="1595"/>
      <c r="L716" s="1596"/>
      <c r="M716" s="1596"/>
      <c r="N716" s="1597"/>
      <c r="O716" s="1432"/>
      <c r="P716" s="1433"/>
      <c r="Q716" s="1433"/>
      <c r="R716" s="1433"/>
      <c r="S716" s="1434"/>
      <c r="T716" s="1432"/>
      <c r="U716" s="1433"/>
      <c r="V716" s="1433"/>
      <c r="W716" s="1434"/>
      <c r="X716" s="1432"/>
      <c r="Y716" s="1433"/>
      <c r="Z716" s="1433"/>
      <c r="AA716" s="1433"/>
      <c r="AB716" s="1434"/>
      <c r="AC716" s="1432"/>
      <c r="AD716" s="1433"/>
      <c r="AE716" s="1433"/>
      <c r="AF716" s="1433"/>
      <c r="AG716" s="1434"/>
      <c r="AH716" s="1432"/>
      <c r="AI716" s="1433"/>
      <c r="AJ716" s="1434"/>
      <c r="AK716" s="1432"/>
      <c r="AL716" s="1433"/>
      <c r="AM716" s="1433"/>
      <c r="AN716" s="1433"/>
      <c r="AO716" s="1434"/>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435"/>
      <c r="C717" s="1436"/>
      <c r="D717" s="1436"/>
      <c r="E717" s="1436"/>
      <c r="F717" s="1437"/>
      <c r="G717" s="1435"/>
      <c r="H717" s="1436"/>
      <c r="I717" s="1436"/>
      <c r="J717" s="1437"/>
      <c r="K717" s="1595"/>
      <c r="L717" s="1596"/>
      <c r="M717" s="1596"/>
      <c r="N717" s="1597"/>
      <c r="O717" s="1435"/>
      <c r="P717" s="1436"/>
      <c r="Q717" s="1436"/>
      <c r="R717" s="1436"/>
      <c r="S717" s="1437"/>
      <c r="T717" s="1435"/>
      <c r="U717" s="1436"/>
      <c r="V717" s="1436"/>
      <c r="W717" s="1437"/>
      <c r="X717" s="1435"/>
      <c r="Y717" s="1436"/>
      <c r="Z717" s="1436"/>
      <c r="AA717" s="1436"/>
      <c r="AB717" s="1437"/>
      <c r="AC717" s="1435"/>
      <c r="AD717" s="1436"/>
      <c r="AE717" s="1436"/>
      <c r="AF717" s="1436"/>
      <c r="AG717" s="1437"/>
      <c r="AH717" s="1435"/>
      <c r="AI717" s="1436"/>
      <c r="AJ717" s="1437"/>
      <c r="AK717" s="1435"/>
      <c r="AL717" s="1436"/>
      <c r="AM717" s="1436"/>
      <c r="AN717" s="1436"/>
      <c r="AO717" s="1437"/>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79" t="s">
        <v>325</v>
      </c>
      <c r="C718" s="1380"/>
      <c r="D718" s="1380"/>
      <c r="E718" s="1380"/>
      <c r="F718" s="1381"/>
      <c r="G718" s="1403">
        <v>1</v>
      </c>
      <c r="H718" s="1404"/>
      <c r="I718" s="1404"/>
      <c r="J718" s="1405"/>
      <c r="K718" s="1587">
        <v>382</v>
      </c>
      <c r="L718" s="1588"/>
      <c r="M718" s="1588"/>
      <c r="N718" s="1589"/>
      <c r="O718" s="1438">
        <f>619.2-T718</f>
        <v>550.20000000000005</v>
      </c>
      <c r="P718" s="1439"/>
      <c r="Q718" s="1439"/>
      <c r="R718" s="1439"/>
      <c r="S718" s="1440"/>
      <c r="T718" s="1438">
        <v>69</v>
      </c>
      <c r="U718" s="1439"/>
      <c r="V718" s="1439"/>
      <c r="W718" s="1440"/>
      <c r="X718" s="1441">
        <f t="shared" ref="X718:X741" si="59">O718+T718</f>
        <v>619.20000000000005</v>
      </c>
      <c r="Y718" s="1442"/>
      <c r="Z718" s="1442"/>
      <c r="AA718" s="1442"/>
      <c r="AB718" s="1443"/>
      <c r="AC718" s="1448">
        <v>0.3</v>
      </c>
      <c r="AD718" s="1449"/>
      <c r="AE718" s="1449"/>
      <c r="AF718" s="1449"/>
      <c r="AG718" s="1450"/>
      <c r="AH718" s="1353">
        <f t="shared" ref="AH718:AH751" si="60">IF($AC718&gt;0,($X718/$BA667), "")</f>
        <v>0.30000000000000004</v>
      </c>
      <c r="AI718" s="1354"/>
      <c r="AJ718" s="1355"/>
      <c r="AK718" s="1379" t="s">
        <v>600</v>
      </c>
      <c r="AL718" s="1380"/>
      <c r="AM718" s="1380"/>
      <c r="AN718" s="1380"/>
      <c r="AO718" s="1381"/>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79" t="s">
        <v>325</v>
      </c>
      <c r="C719" s="1380"/>
      <c r="D719" s="1380"/>
      <c r="E719" s="1380"/>
      <c r="F719" s="1381"/>
      <c r="G719" s="1403">
        <v>3</v>
      </c>
      <c r="H719" s="1404"/>
      <c r="I719" s="1404"/>
      <c r="J719" s="1405"/>
      <c r="K719" s="1587">
        <v>382</v>
      </c>
      <c r="L719" s="1588"/>
      <c r="M719" s="1588"/>
      <c r="N719" s="1589"/>
      <c r="O719" s="1438">
        <f>1032-T719</f>
        <v>963</v>
      </c>
      <c r="P719" s="1439"/>
      <c r="Q719" s="1439"/>
      <c r="R719" s="1439"/>
      <c r="S719" s="1440"/>
      <c r="T719" s="1438">
        <v>69</v>
      </c>
      <c r="U719" s="1439"/>
      <c r="V719" s="1439"/>
      <c r="W719" s="1440"/>
      <c r="X719" s="1441">
        <f t="shared" si="59"/>
        <v>1032</v>
      </c>
      <c r="Y719" s="1442"/>
      <c r="Z719" s="1442"/>
      <c r="AA719" s="1442"/>
      <c r="AB719" s="1443"/>
      <c r="AC719" s="1448">
        <v>0.5</v>
      </c>
      <c r="AD719" s="1449"/>
      <c r="AE719" s="1449"/>
      <c r="AF719" s="1449"/>
      <c r="AG719" s="1450"/>
      <c r="AH719" s="1353">
        <f t="shared" si="60"/>
        <v>0.5</v>
      </c>
      <c r="AI719" s="1354"/>
      <c r="AJ719" s="1355"/>
      <c r="AK719" s="1379" t="s">
        <v>600</v>
      </c>
      <c r="AL719" s="1380"/>
      <c r="AM719" s="1380"/>
      <c r="AN719" s="1380"/>
      <c r="AO719" s="1381"/>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79" t="s">
        <v>325</v>
      </c>
      <c r="C720" s="1380"/>
      <c r="D720" s="1380"/>
      <c r="E720" s="1380"/>
      <c r="F720" s="1381"/>
      <c r="G720" s="1403">
        <v>6</v>
      </c>
      <c r="H720" s="1404"/>
      <c r="I720" s="1404"/>
      <c r="J720" s="1405"/>
      <c r="K720" s="1587">
        <v>382</v>
      </c>
      <c r="L720" s="1588"/>
      <c r="M720" s="1588"/>
      <c r="N720" s="1589"/>
      <c r="O720" s="1438">
        <f>1238.8-T720</f>
        <v>1169.8</v>
      </c>
      <c r="P720" s="1439"/>
      <c r="Q720" s="1439"/>
      <c r="R720" s="1439"/>
      <c r="S720" s="1440"/>
      <c r="T720" s="1438">
        <v>69</v>
      </c>
      <c r="U720" s="1439"/>
      <c r="V720" s="1439"/>
      <c r="W720" s="1440"/>
      <c r="X720" s="1441">
        <f t="shared" si="59"/>
        <v>1238.8</v>
      </c>
      <c r="Y720" s="1442"/>
      <c r="Z720" s="1442"/>
      <c r="AA720" s="1442"/>
      <c r="AB720" s="1443"/>
      <c r="AC720" s="1448">
        <v>0.6</v>
      </c>
      <c r="AD720" s="1449"/>
      <c r="AE720" s="1449"/>
      <c r="AF720" s="1449"/>
      <c r="AG720" s="1450"/>
      <c r="AH720" s="1353">
        <f t="shared" si="60"/>
        <v>0.6001937984496124</v>
      </c>
      <c r="AI720" s="1354"/>
      <c r="AJ720" s="1355"/>
      <c r="AK720" s="1379" t="s">
        <v>600</v>
      </c>
      <c r="AL720" s="1380"/>
      <c r="AM720" s="1380"/>
      <c r="AN720" s="1380"/>
      <c r="AO720" s="1381"/>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79" t="s">
        <v>326</v>
      </c>
      <c r="C721" s="1380"/>
      <c r="D721" s="1380"/>
      <c r="E721" s="1380"/>
      <c r="F721" s="1381"/>
      <c r="G721" s="1403">
        <v>3</v>
      </c>
      <c r="H721" s="1404"/>
      <c r="I721" s="1404"/>
      <c r="J721" s="1405"/>
      <c r="K721" s="1587">
        <v>533</v>
      </c>
      <c r="L721" s="1588"/>
      <c r="M721" s="1588"/>
      <c r="N721" s="1589"/>
      <c r="O721" s="1438">
        <f>663-T721</f>
        <v>606</v>
      </c>
      <c r="P721" s="1439"/>
      <c r="Q721" s="1439"/>
      <c r="R721" s="1439"/>
      <c r="S721" s="1440"/>
      <c r="T721" s="1438">
        <v>57</v>
      </c>
      <c r="U721" s="1439"/>
      <c r="V721" s="1439"/>
      <c r="W721" s="1440"/>
      <c r="X721" s="1441">
        <f t="shared" si="59"/>
        <v>663</v>
      </c>
      <c r="Y721" s="1442"/>
      <c r="Z721" s="1442"/>
      <c r="AA721" s="1442"/>
      <c r="AB721" s="1443"/>
      <c r="AC721" s="1448">
        <v>0.3</v>
      </c>
      <c r="AD721" s="1449"/>
      <c r="AE721" s="1449"/>
      <c r="AF721" s="1449"/>
      <c r="AG721" s="1450"/>
      <c r="AH721" s="1353">
        <f t="shared" si="60"/>
        <v>0.3</v>
      </c>
      <c r="AI721" s="1354"/>
      <c r="AJ721" s="1355"/>
      <c r="AK721" s="1379" t="s">
        <v>600</v>
      </c>
      <c r="AL721" s="1380"/>
      <c r="AM721" s="1380"/>
      <c r="AN721" s="1380"/>
      <c r="AO721" s="1381"/>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79" t="s">
        <v>326</v>
      </c>
      <c r="C722" s="1380"/>
      <c r="D722" s="1380"/>
      <c r="E722" s="1380"/>
      <c r="F722" s="1381"/>
      <c r="G722" s="1403">
        <v>2</v>
      </c>
      <c r="H722" s="1404"/>
      <c r="I722" s="1404"/>
      <c r="J722" s="1405"/>
      <c r="K722" s="1587">
        <v>533</v>
      </c>
      <c r="L722" s="1588"/>
      <c r="M722" s="1588"/>
      <c r="N722" s="1589"/>
      <c r="O722" s="1438">
        <f>1105-T722</f>
        <v>1048</v>
      </c>
      <c r="P722" s="1439"/>
      <c r="Q722" s="1439"/>
      <c r="R722" s="1439"/>
      <c r="S722" s="1440"/>
      <c r="T722" s="1438">
        <v>57</v>
      </c>
      <c r="U722" s="1439"/>
      <c r="V722" s="1439"/>
      <c r="W722" s="1440"/>
      <c r="X722" s="1441">
        <f t="shared" si="59"/>
        <v>1105</v>
      </c>
      <c r="Y722" s="1442"/>
      <c r="Z722" s="1442"/>
      <c r="AA722" s="1442"/>
      <c r="AB722" s="1443"/>
      <c r="AC722" s="1448">
        <v>0.5</v>
      </c>
      <c r="AD722" s="1449"/>
      <c r="AE722" s="1449"/>
      <c r="AF722" s="1449"/>
      <c r="AG722" s="1450"/>
      <c r="AH722" s="1353">
        <f t="shared" si="60"/>
        <v>0.5</v>
      </c>
      <c r="AI722" s="1354"/>
      <c r="AJ722" s="1355"/>
      <c r="AK722" s="1379" t="s">
        <v>600</v>
      </c>
      <c r="AL722" s="1380"/>
      <c r="AM722" s="1380"/>
      <c r="AN722" s="1380"/>
      <c r="AO722" s="1381"/>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79" t="s">
        <v>326</v>
      </c>
      <c r="C723" s="1380"/>
      <c r="D723" s="1380"/>
      <c r="E723" s="1380"/>
      <c r="F723" s="1381"/>
      <c r="G723" s="1403">
        <v>13</v>
      </c>
      <c r="H723" s="1404"/>
      <c r="I723" s="1404"/>
      <c r="J723" s="1405"/>
      <c r="K723" s="1587">
        <v>533</v>
      </c>
      <c r="L723" s="1588"/>
      <c r="M723" s="1588"/>
      <c r="N723" s="1589"/>
      <c r="O723" s="1438">
        <f>1326-T723</f>
        <v>1269</v>
      </c>
      <c r="P723" s="1439"/>
      <c r="Q723" s="1439"/>
      <c r="R723" s="1439"/>
      <c r="S723" s="1440"/>
      <c r="T723" s="1438">
        <v>57</v>
      </c>
      <c r="U723" s="1439"/>
      <c r="V723" s="1439"/>
      <c r="W723" s="1440"/>
      <c r="X723" s="1441">
        <f t="shared" si="59"/>
        <v>1326</v>
      </c>
      <c r="Y723" s="1442"/>
      <c r="Z723" s="1442"/>
      <c r="AA723" s="1442"/>
      <c r="AB723" s="1443"/>
      <c r="AC723" s="1448">
        <v>0.6</v>
      </c>
      <c r="AD723" s="1449"/>
      <c r="AE723" s="1449"/>
      <c r="AF723" s="1449"/>
      <c r="AG723" s="1450"/>
      <c r="AH723" s="1353">
        <f t="shared" si="60"/>
        <v>0.6</v>
      </c>
      <c r="AI723" s="1354"/>
      <c r="AJ723" s="1355"/>
      <c r="AK723" s="1379" t="s">
        <v>600</v>
      </c>
      <c r="AL723" s="1380"/>
      <c r="AM723" s="1380"/>
      <c r="AN723" s="1380"/>
      <c r="AO723" s="1381"/>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79" t="s">
        <v>163</v>
      </c>
      <c r="C724" s="1380"/>
      <c r="D724" s="1380"/>
      <c r="E724" s="1380"/>
      <c r="F724" s="1381"/>
      <c r="G724" s="1403">
        <v>3</v>
      </c>
      <c r="H724" s="1404"/>
      <c r="I724" s="1404"/>
      <c r="J724" s="1405"/>
      <c r="K724" s="1587">
        <v>735</v>
      </c>
      <c r="L724" s="1588"/>
      <c r="M724" s="1588"/>
      <c r="N724" s="1589"/>
      <c r="O724" s="1438">
        <f>795.2-T724</f>
        <v>721.2</v>
      </c>
      <c r="P724" s="1439"/>
      <c r="Q724" s="1439"/>
      <c r="R724" s="1439"/>
      <c r="S724" s="1440"/>
      <c r="T724" s="1438">
        <v>74</v>
      </c>
      <c r="U724" s="1439"/>
      <c r="V724" s="1439"/>
      <c r="W724" s="1440"/>
      <c r="X724" s="1441">
        <f t="shared" si="59"/>
        <v>795.2</v>
      </c>
      <c r="Y724" s="1442"/>
      <c r="Z724" s="1442"/>
      <c r="AA724" s="1442"/>
      <c r="AB724" s="1443"/>
      <c r="AC724" s="1448">
        <v>0.3</v>
      </c>
      <c r="AD724" s="1449"/>
      <c r="AE724" s="1449"/>
      <c r="AF724" s="1449"/>
      <c r="AG724" s="1450"/>
      <c r="AH724" s="1353">
        <f t="shared" si="60"/>
        <v>0.29984917043740572</v>
      </c>
      <c r="AI724" s="1354"/>
      <c r="AJ724" s="1355"/>
      <c r="AK724" s="1379" t="s">
        <v>600</v>
      </c>
      <c r="AL724" s="1380"/>
      <c r="AM724" s="1380"/>
      <c r="AN724" s="1380"/>
      <c r="AO724" s="1381"/>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79" t="s">
        <v>163</v>
      </c>
      <c r="C725" s="1380"/>
      <c r="D725" s="1380"/>
      <c r="E725" s="1380"/>
      <c r="F725" s="1381"/>
      <c r="G725" s="1403">
        <v>3</v>
      </c>
      <c r="H725" s="1404"/>
      <c r="I725" s="1404"/>
      <c r="J725" s="1405"/>
      <c r="K725" s="1587">
        <v>735</v>
      </c>
      <c r="L725" s="1588"/>
      <c r="M725" s="1588"/>
      <c r="N725" s="1589"/>
      <c r="O725" s="1438">
        <f>1326.2-T725</f>
        <v>1252.2</v>
      </c>
      <c r="P725" s="1439"/>
      <c r="Q725" s="1439"/>
      <c r="R725" s="1439"/>
      <c r="S725" s="1440"/>
      <c r="T725" s="1438">
        <v>74</v>
      </c>
      <c r="U725" s="1439"/>
      <c r="V725" s="1439"/>
      <c r="W725" s="1440"/>
      <c r="X725" s="1441">
        <f t="shared" si="59"/>
        <v>1326.2</v>
      </c>
      <c r="Y725" s="1442"/>
      <c r="Z725" s="1442"/>
      <c r="AA725" s="1442"/>
      <c r="AB725" s="1443"/>
      <c r="AC725" s="1448">
        <v>0.5</v>
      </c>
      <c r="AD725" s="1449"/>
      <c r="AE725" s="1449"/>
      <c r="AF725" s="1449"/>
      <c r="AG725" s="1450"/>
      <c r="AH725" s="1353">
        <f t="shared" si="60"/>
        <v>0.50007541478129713</v>
      </c>
      <c r="AI725" s="1354"/>
      <c r="AJ725" s="1355"/>
      <c r="AK725" s="1379" t="s">
        <v>600</v>
      </c>
      <c r="AL725" s="1380"/>
      <c r="AM725" s="1380"/>
      <c r="AN725" s="1380"/>
      <c r="AO725" s="1381"/>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79" t="s">
        <v>163</v>
      </c>
      <c r="C726" s="1380"/>
      <c r="D726" s="1380"/>
      <c r="E726" s="1380"/>
      <c r="F726" s="1381"/>
      <c r="G726" s="1403">
        <v>21</v>
      </c>
      <c r="H726" s="1404"/>
      <c r="I726" s="1404"/>
      <c r="J726" s="1405"/>
      <c r="K726" s="1587">
        <v>735</v>
      </c>
      <c r="L726" s="1588"/>
      <c r="M726" s="1588"/>
      <c r="N726" s="1589"/>
      <c r="O726" s="1438">
        <f>1591.2-T726</f>
        <v>1517.2</v>
      </c>
      <c r="P726" s="1439"/>
      <c r="Q726" s="1439"/>
      <c r="R726" s="1439"/>
      <c r="S726" s="1440"/>
      <c r="T726" s="1438">
        <v>74</v>
      </c>
      <c r="U726" s="1439"/>
      <c r="V726" s="1439"/>
      <c r="W726" s="1440"/>
      <c r="X726" s="1441">
        <f t="shared" si="59"/>
        <v>1591.2</v>
      </c>
      <c r="Y726" s="1442"/>
      <c r="Z726" s="1442"/>
      <c r="AA726" s="1442"/>
      <c r="AB726" s="1443"/>
      <c r="AC726" s="1448">
        <v>0.6</v>
      </c>
      <c r="AD726" s="1449"/>
      <c r="AE726" s="1449"/>
      <c r="AF726" s="1449"/>
      <c r="AG726" s="1450"/>
      <c r="AH726" s="1353">
        <f t="shared" si="60"/>
        <v>0.6</v>
      </c>
      <c r="AI726" s="1354"/>
      <c r="AJ726" s="1355"/>
      <c r="AK726" s="1379" t="s">
        <v>600</v>
      </c>
      <c r="AL726" s="1380"/>
      <c r="AM726" s="1380"/>
      <c r="AN726" s="1380"/>
      <c r="AO726" s="1381"/>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79" t="s">
        <v>164</v>
      </c>
      <c r="C727" s="1380"/>
      <c r="D727" s="1380"/>
      <c r="E727" s="1380"/>
      <c r="F727" s="1381"/>
      <c r="G727" s="1403">
        <v>3</v>
      </c>
      <c r="H727" s="1404"/>
      <c r="I727" s="1404"/>
      <c r="J727" s="1405"/>
      <c r="K727" s="1587">
        <v>968</v>
      </c>
      <c r="L727" s="1588"/>
      <c r="M727" s="1588"/>
      <c r="N727" s="1589"/>
      <c r="O727" s="1438">
        <f>919.2-T727</f>
        <v>808.2</v>
      </c>
      <c r="P727" s="1439"/>
      <c r="Q727" s="1439"/>
      <c r="R727" s="1439"/>
      <c r="S727" s="1440"/>
      <c r="T727" s="1438">
        <v>111</v>
      </c>
      <c r="U727" s="1439"/>
      <c r="V727" s="1439"/>
      <c r="W727" s="1440"/>
      <c r="X727" s="1441">
        <f t="shared" si="59"/>
        <v>919.2</v>
      </c>
      <c r="Y727" s="1442"/>
      <c r="Z727" s="1442"/>
      <c r="AA727" s="1442"/>
      <c r="AB727" s="1443"/>
      <c r="AC727" s="1448">
        <v>0.3</v>
      </c>
      <c r="AD727" s="1449"/>
      <c r="AE727" s="1449"/>
      <c r="AF727" s="1449"/>
      <c r="AG727" s="1450"/>
      <c r="AH727" s="1353">
        <f t="shared" si="60"/>
        <v>0.3</v>
      </c>
      <c r="AI727" s="1354"/>
      <c r="AJ727" s="1355"/>
      <c r="AK727" s="1379" t="s">
        <v>600</v>
      </c>
      <c r="AL727" s="1380"/>
      <c r="AM727" s="1380"/>
      <c r="AN727" s="1380"/>
      <c r="AO727" s="1381"/>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79" t="s">
        <v>164</v>
      </c>
      <c r="C728" s="1380"/>
      <c r="D728" s="1380"/>
      <c r="E728" s="1380"/>
      <c r="F728" s="1381"/>
      <c r="G728" s="1403">
        <v>2</v>
      </c>
      <c r="H728" s="1404"/>
      <c r="I728" s="1404"/>
      <c r="J728" s="1405"/>
      <c r="K728" s="1587">
        <v>968</v>
      </c>
      <c r="L728" s="1588"/>
      <c r="M728" s="1588"/>
      <c r="N728" s="1589"/>
      <c r="O728" s="1438">
        <f>1532-T728</f>
        <v>1421</v>
      </c>
      <c r="P728" s="1439"/>
      <c r="Q728" s="1439"/>
      <c r="R728" s="1439"/>
      <c r="S728" s="1440"/>
      <c r="T728" s="1438">
        <v>111</v>
      </c>
      <c r="U728" s="1439"/>
      <c r="V728" s="1439"/>
      <c r="W728" s="1440"/>
      <c r="X728" s="1441">
        <f t="shared" si="59"/>
        <v>1532</v>
      </c>
      <c r="Y728" s="1442"/>
      <c r="Z728" s="1442"/>
      <c r="AA728" s="1442"/>
      <c r="AB728" s="1443"/>
      <c r="AC728" s="1448">
        <v>0.5</v>
      </c>
      <c r="AD728" s="1449"/>
      <c r="AE728" s="1449"/>
      <c r="AF728" s="1449"/>
      <c r="AG728" s="1450"/>
      <c r="AH728" s="1353">
        <f t="shared" si="60"/>
        <v>0.5</v>
      </c>
      <c r="AI728" s="1354"/>
      <c r="AJ728" s="1355"/>
      <c r="AK728" s="1379" t="s">
        <v>600</v>
      </c>
      <c r="AL728" s="1380"/>
      <c r="AM728" s="1380"/>
      <c r="AN728" s="1380"/>
      <c r="AO728" s="1381"/>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79" t="s">
        <v>164</v>
      </c>
      <c r="C729" s="1380"/>
      <c r="D729" s="1380"/>
      <c r="E729" s="1380"/>
      <c r="F729" s="1381"/>
      <c r="G729" s="1403">
        <v>37</v>
      </c>
      <c r="H729" s="1404"/>
      <c r="I729" s="1404"/>
      <c r="J729" s="1405"/>
      <c r="K729" s="1587">
        <v>968</v>
      </c>
      <c r="L729" s="1588"/>
      <c r="M729" s="1588"/>
      <c r="N729" s="1589"/>
      <c r="O729" s="1438">
        <f>1838.8-T729</f>
        <v>1727.8</v>
      </c>
      <c r="P729" s="1439"/>
      <c r="Q729" s="1439"/>
      <c r="R729" s="1439"/>
      <c r="S729" s="1440"/>
      <c r="T729" s="1438">
        <v>111</v>
      </c>
      <c r="U729" s="1439"/>
      <c r="V729" s="1439"/>
      <c r="W729" s="1440"/>
      <c r="X729" s="1441">
        <f t="shared" si="59"/>
        <v>1838.8</v>
      </c>
      <c r="Y729" s="1442"/>
      <c r="Z729" s="1442"/>
      <c r="AA729" s="1442"/>
      <c r="AB729" s="1443"/>
      <c r="AC729" s="1448">
        <v>0.6</v>
      </c>
      <c r="AD729" s="1449"/>
      <c r="AE729" s="1449"/>
      <c r="AF729" s="1449"/>
      <c r="AG729" s="1450"/>
      <c r="AH729" s="1353">
        <f t="shared" si="60"/>
        <v>0.60013054830287205</v>
      </c>
      <c r="AI729" s="1354"/>
      <c r="AJ729" s="1355"/>
      <c r="AK729" s="1379" t="s">
        <v>600</v>
      </c>
      <c r="AL729" s="1380"/>
      <c r="AM729" s="1380"/>
      <c r="AN729" s="1380"/>
      <c r="AO729" s="1381"/>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79" t="s">
        <v>165</v>
      </c>
      <c r="C730" s="1380"/>
      <c r="D730" s="1380"/>
      <c r="E730" s="1380"/>
      <c r="F730" s="1381"/>
      <c r="G730" s="1403">
        <v>1</v>
      </c>
      <c r="H730" s="1404"/>
      <c r="I730" s="1404"/>
      <c r="J730" s="1405"/>
      <c r="K730" s="1587">
        <v>1120</v>
      </c>
      <c r="L730" s="1588"/>
      <c r="M730" s="1588"/>
      <c r="N730" s="1589"/>
      <c r="O730" s="1438">
        <f>1026-T730</f>
        <v>848</v>
      </c>
      <c r="P730" s="1439"/>
      <c r="Q730" s="1439"/>
      <c r="R730" s="1439"/>
      <c r="S730" s="1440"/>
      <c r="T730" s="1438">
        <v>178</v>
      </c>
      <c r="U730" s="1439"/>
      <c r="V730" s="1439"/>
      <c r="W730" s="1440"/>
      <c r="X730" s="1441">
        <f t="shared" si="59"/>
        <v>1026</v>
      </c>
      <c r="Y730" s="1442"/>
      <c r="Z730" s="1442"/>
      <c r="AA730" s="1442"/>
      <c r="AB730" s="1443"/>
      <c r="AC730" s="1448">
        <v>0.3</v>
      </c>
      <c r="AD730" s="1449"/>
      <c r="AE730" s="1449"/>
      <c r="AF730" s="1449"/>
      <c r="AG730" s="1450"/>
      <c r="AH730" s="1353">
        <f t="shared" si="60"/>
        <v>0.3</v>
      </c>
      <c r="AI730" s="1354"/>
      <c r="AJ730" s="1355"/>
      <c r="AK730" s="1379" t="s">
        <v>600</v>
      </c>
      <c r="AL730" s="1380"/>
      <c r="AM730" s="1380"/>
      <c r="AN730" s="1380"/>
      <c r="AO730" s="1381"/>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79" t="s">
        <v>165</v>
      </c>
      <c r="C731" s="1380"/>
      <c r="D731" s="1380"/>
      <c r="E731" s="1380"/>
      <c r="F731" s="1381"/>
      <c r="G731" s="1403">
        <v>7</v>
      </c>
      <c r="H731" s="1404"/>
      <c r="I731" s="1404"/>
      <c r="J731" s="1405"/>
      <c r="K731" s="1587">
        <v>1120</v>
      </c>
      <c r="L731" s="1588"/>
      <c r="M731" s="1588"/>
      <c r="N731" s="1589"/>
      <c r="O731" s="1438">
        <f>2052-T731</f>
        <v>1874</v>
      </c>
      <c r="P731" s="1439"/>
      <c r="Q731" s="1439"/>
      <c r="R731" s="1439"/>
      <c r="S731" s="1440"/>
      <c r="T731" s="1438">
        <v>178</v>
      </c>
      <c r="U731" s="1439"/>
      <c r="V731" s="1439"/>
      <c r="W731" s="1440"/>
      <c r="X731" s="1441">
        <f t="shared" si="59"/>
        <v>2052</v>
      </c>
      <c r="Y731" s="1442"/>
      <c r="Z731" s="1442"/>
      <c r="AA731" s="1442"/>
      <c r="AB731" s="1443"/>
      <c r="AC731" s="1448">
        <v>0.6</v>
      </c>
      <c r="AD731" s="1449"/>
      <c r="AE731" s="1449"/>
      <c r="AF731" s="1449"/>
      <c r="AG731" s="1450"/>
      <c r="AH731" s="1353">
        <f t="shared" si="60"/>
        <v>0.6</v>
      </c>
      <c r="AI731" s="1354"/>
      <c r="AJ731" s="1355"/>
      <c r="AK731" s="1379" t="s">
        <v>600</v>
      </c>
      <c r="AL731" s="1380"/>
      <c r="AM731" s="1380"/>
      <c r="AN731" s="1380"/>
      <c r="AO731" s="1381"/>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79"/>
      <c r="C732" s="1380"/>
      <c r="D732" s="1380"/>
      <c r="E732" s="1380"/>
      <c r="F732" s="1381"/>
      <c r="G732" s="1403"/>
      <c r="H732" s="1404"/>
      <c r="I732" s="1404"/>
      <c r="J732" s="1405"/>
      <c r="K732" s="1587"/>
      <c r="L732" s="1588"/>
      <c r="M732" s="1588"/>
      <c r="N732" s="1589"/>
      <c r="O732" s="1438"/>
      <c r="P732" s="1439"/>
      <c r="Q732" s="1439"/>
      <c r="R732" s="1439"/>
      <c r="S732" s="1440"/>
      <c r="T732" s="1438"/>
      <c r="U732" s="1439"/>
      <c r="V732" s="1439"/>
      <c r="W732" s="1440"/>
      <c r="X732" s="1441">
        <f t="shared" si="59"/>
        <v>0</v>
      </c>
      <c r="Y732" s="1442"/>
      <c r="Z732" s="1442"/>
      <c r="AA732" s="1442"/>
      <c r="AB732" s="1443"/>
      <c r="AC732" s="1448"/>
      <c r="AD732" s="1449"/>
      <c r="AE732" s="1449"/>
      <c r="AF732" s="1449"/>
      <c r="AG732" s="1450"/>
      <c r="AH732" s="1353" t="str">
        <f t="shared" si="60"/>
        <v/>
      </c>
      <c r="AI732" s="1354"/>
      <c r="AJ732" s="1355"/>
      <c r="AK732" s="1379" t="s">
        <v>600</v>
      </c>
      <c r="AL732" s="1380"/>
      <c r="AM732" s="1380"/>
      <c r="AN732" s="1380"/>
      <c r="AO732" s="1381"/>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79"/>
      <c r="C733" s="1380"/>
      <c r="D733" s="1380"/>
      <c r="E733" s="1380"/>
      <c r="F733" s="1381"/>
      <c r="G733" s="1403"/>
      <c r="H733" s="1404"/>
      <c r="I733" s="1404"/>
      <c r="J733" s="1405"/>
      <c r="K733" s="1587"/>
      <c r="L733" s="1588"/>
      <c r="M733" s="1588"/>
      <c r="N733" s="1589"/>
      <c r="O733" s="1438"/>
      <c r="P733" s="1439"/>
      <c r="Q733" s="1439"/>
      <c r="R733" s="1439"/>
      <c r="S733" s="1440"/>
      <c r="T733" s="1438"/>
      <c r="U733" s="1439"/>
      <c r="V733" s="1439"/>
      <c r="W733" s="1440"/>
      <c r="X733" s="1441">
        <f t="shared" si="59"/>
        <v>0</v>
      </c>
      <c r="Y733" s="1442"/>
      <c r="Z733" s="1442"/>
      <c r="AA733" s="1442"/>
      <c r="AB733" s="1443"/>
      <c r="AC733" s="1448"/>
      <c r="AD733" s="1449"/>
      <c r="AE733" s="1449"/>
      <c r="AF733" s="1449"/>
      <c r="AG733" s="1450"/>
      <c r="AH733" s="1353" t="str">
        <f t="shared" si="60"/>
        <v/>
      </c>
      <c r="AI733" s="1354"/>
      <c r="AJ733" s="1355"/>
      <c r="AK733" s="1379" t="s">
        <v>600</v>
      </c>
      <c r="AL733" s="1380"/>
      <c r="AM733" s="1380"/>
      <c r="AN733" s="1380"/>
      <c r="AO733" s="1381"/>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79"/>
      <c r="C734" s="1380"/>
      <c r="D734" s="1380"/>
      <c r="E734" s="1380"/>
      <c r="F734" s="1381"/>
      <c r="G734" s="1403"/>
      <c r="H734" s="1404"/>
      <c r="I734" s="1404"/>
      <c r="J734" s="1405"/>
      <c r="K734" s="1587"/>
      <c r="L734" s="1588"/>
      <c r="M734" s="1588"/>
      <c r="N734" s="1589"/>
      <c r="O734" s="1438"/>
      <c r="P734" s="1439"/>
      <c r="Q734" s="1439"/>
      <c r="R734" s="1439"/>
      <c r="S734" s="1440"/>
      <c r="T734" s="1438"/>
      <c r="U734" s="1439"/>
      <c r="V734" s="1439"/>
      <c r="W734" s="1440"/>
      <c r="X734" s="1441">
        <f t="shared" si="59"/>
        <v>0</v>
      </c>
      <c r="Y734" s="1442"/>
      <c r="Z734" s="1442"/>
      <c r="AA734" s="1442"/>
      <c r="AB734" s="1443"/>
      <c r="AC734" s="1448"/>
      <c r="AD734" s="1449"/>
      <c r="AE734" s="1449"/>
      <c r="AF734" s="1449"/>
      <c r="AG734" s="1450"/>
      <c r="AH734" s="1353" t="str">
        <f t="shared" si="60"/>
        <v/>
      </c>
      <c r="AI734" s="1354"/>
      <c r="AJ734" s="1355"/>
      <c r="AK734" s="1379" t="s">
        <v>600</v>
      </c>
      <c r="AL734" s="1380"/>
      <c r="AM734" s="1380"/>
      <c r="AN734" s="1380"/>
      <c r="AO734" s="1381"/>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79"/>
      <c r="C735" s="1380"/>
      <c r="D735" s="1380"/>
      <c r="E735" s="1380"/>
      <c r="F735" s="1381"/>
      <c r="G735" s="1403"/>
      <c r="H735" s="1404"/>
      <c r="I735" s="1404"/>
      <c r="J735" s="1405"/>
      <c r="K735" s="1587"/>
      <c r="L735" s="1588"/>
      <c r="M735" s="1588"/>
      <c r="N735" s="1589"/>
      <c r="O735" s="1438"/>
      <c r="P735" s="1439"/>
      <c r="Q735" s="1439"/>
      <c r="R735" s="1439"/>
      <c r="S735" s="1440"/>
      <c r="T735" s="1438"/>
      <c r="U735" s="1439"/>
      <c r="V735" s="1439"/>
      <c r="W735" s="1440"/>
      <c r="X735" s="1441">
        <f t="shared" si="59"/>
        <v>0</v>
      </c>
      <c r="Y735" s="1442"/>
      <c r="Z735" s="1442"/>
      <c r="AA735" s="1442"/>
      <c r="AB735" s="1443"/>
      <c r="AC735" s="1448"/>
      <c r="AD735" s="1449"/>
      <c r="AE735" s="1449"/>
      <c r="AF735" s="1449"/>
      <c r="AG735" s="1450"/>
      <c r="AH735" s="1353" t="str">
        <f t="shared" si="60"/>
        <v/>
      </c>
      <c r="AI735" s="1354"/>
      <c r="AJ735" s="1355"/>
      <c r="AK735" s="1379" t="s">
        <v>600</v>
      </c>
      <c r="AL735" s="1380"/>
      <c r="AM735" s="1380"/>
      <c r="AN735" s="1380"/>
      <c r="AO735" s="1381"/>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79"/>
      <c r="C736" s="1380"/>
      <c r="D736" s="1380"/>
      <c r="E736" s="1380"/>
      <c r="F736" s="1381"/>
      <c r="G736" s="1403"/>
      <c r="H736" s="1404"/>
      <c r="I736" s="1404"/>
      <c r="J736" s="1405"/>
      <c r="K736" s="1587"/>
      <c r="L736" s="1588"/>
      <c r="M736" s="1588"/>
      <c r="N736" s="1589"/>
      <c r="O736" s="1438"/>
      <c r="P736" s="1439"/>
      <c r="Q736" s="1439"/>
      <c r="R736" s="1439"/>
      <c r="S736" s="1440"/>
      <c r="T736" s="1438"/>
      <c r="U736" s="1439"/>
      <c r="V736" s="1439"/>
      <c r="W736" s="1440"/>
      <c r="X736" s="1441">
        <f t="shared" si="59"/>
        <v>0</v>
      </c>
      <c r="Y736" s="1442"/>
      <c r="Z736" s="1442"/>
      <c r="AA736" s="1442"/>
      <c r="AB736" s="1443"/>
      <c r="AC736" s="1448"/>
      <c r="AD736" s="1449"/>
      <c r="AE736" s="1449"/>
      <c r="AF736" s="1449"/>
      <c r="AG736" s="1450"/>
      <c r="AH736" s="1353" t="str">
        <f t="shared" si="60"/>
        <v/>
      </c>
      <c r="AI736" s="1354"/>
      <c r="AJ736" s="1355"/>
      <c r="AK736" s="1379" t="s">
        <v>600</v>
      </c>
      <c r="AL736" s="1380"/>
      <c r="AM736" s="1380"/>
      <c r="AN736" s="1380"/>
      <c r="AO736" s="1381"/>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79"/>
      <c r="C737" s="1380"/>
      <c r="D737" s="1380"/>
      <c r="E737" s="1380"/>
      <c r="F737" s="1381"/>
      <c r="G737" s="1403"/>
      <c r="H737" s="1404"/>
      <c r="I737" s="1404"/>
      <c r="J737" s="1405"/>
      <c r="K737" s="1587"/>
      <c r="L737" s="1588"/>
      <c r="M737" s="1588"/>
      <c r="N737" s="1589"/>
      <c r="O737" s="1438"/>
      <c r="P737" s="1439"/>
      <c r="Q737" s="1439"/>
      <c r="R737" s="1439"/>
      <c r="S737" s="1440"/>
      <c r="T737" s="1438"/>
      <c r="U737" s="1439"/>
      <c r="V737" s="1439"/>
      <c r="W737" s="1440"/>
      <c r="X737" s="1441">
        <f t="shared" si="59"/>
        <v>0</v>
      </c>
      <c r="Y737" s="1442"/>
      <c r="Z737" s="1442"/>
      <c r="AA737" s="1442"/>
      <c r="AB737" s="1443"/>
      <c r="AC737" s="1448"/>
      <c r="AD737" s="1449"/>
      <c r="AE737" s="1449"/>
      <c r="AF737" s="1449"/>
      <c r="AG737" s="1450"/>
      <c r="AH737" s="1353" t="str">
        <f t="shared" si="60"/>
        <v/>
      </c>
      <c r="AI737" s="1354"/>
      <c r="AJ737" s="1355"/>
      <c r="AK737" s="1379" t="s">
        <v>600</v>
      </c>
      <c r="AL737" s="1380"/>
      <c r="AM737" s="1380"/>
      <c r="AN737" s="1380"/>
      <c r="AO737" s="1381"/>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79"/>
      <c r="C738" s="1380"/>
      <c r="D738" s="1380"/>
      <c r="E738" s="1380"/>
      <c r="F738" s="1381"/>
      <c r="G738" s="1403"/>
      <c r="H738" s="1404"/>
      <c r="I738" s="1404"/>
      <c r="J738" s="1405"/>
      <c r="K738" s="1587"/>
      <c r="L738" s="1588"/>
      <c r="M738" s="1588"/>
      <c r="N738" s="1589"/>
      <c r="O738" s="1438"/>
      <c r="P738" s="1439"/>
      <c r="Q738" s="1439"/>
      <c r="R738" s="1439"/>
      <c r="S738" s="1440"/>
      <c r="T738" s="1438"/>
      <c r="U738" s="1439"/>
      <c r="V738" s="1439"/>
      <c r="W738" s="1440"/>
      <c r="X738" s="1441">
        <f t="shared" si="59"/>
        <v>0</v>
      </c>
      <c r="Y738" s="1442"/>
      <c r="Z738" s="1442"/>
      <c r="AA738" s="1442"/>
      <c r="AB738" s="1443"/>
      <c r="AC738" s="1448"/>
      <c r="AD738" s="1449"/>
      <c r="AE738" s="1449"/>
      <c r="AF738" s="1449"/>
      <c r="AG738" s="1450"/>
      <c r="AH738" s="1353" t="str">
        <f t="shared" si="60"/>
        <v/>
      </c>
      <c r="AI738" s="1354"/>
      <c r="AJ738" s="1355"/>
      <c r="AK738" s="1379" t="s">
        <v>600</v>
      </c>
      <c r="AL738" s="1380"/>
      <c r="AM738" s="1380"/>
      <c r="AN738" s="1380"/>
      <c r="AO738" s="1381"/>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79"/>
      <c r="C739" s="1380"/>
      <c r="D739" s="1380"/>
      <c r="E739" s="1380"/>
      <c r="F739" s="1381"/>
      <c r="G739" s="1403"/>
      <c r="H739" s="1404"/>
      <c r="I739" s="1404"/>
      <c r="J739" s="1405"/>
      <c r="K739" s="1587"/>
      <c r="L739" s="1588"/>
      <c r="M739" s="1588"/>
      <c r="N739" s="1589"/>
      <c r="O739" s="1438"/>
      <c r="P739" s="1439"/>
      <c r="Q739" s="1439"/>
      <c r="R739" s="1439"/>
      <c r="S739" s="1440"/>
      <c r="T739" s="1438"/>
      <c r="U739" s="1439"/>
      <c r="V739" s="1439"/>
      <c r="W739" s="1440"/>
      <c r="X739" s="1441">
        <f t="shared" si="59"/>
        <v>0</v>
      </c>
      <c r="Y739" s="1442"/>
      <c r="Z739" s="1442"/>
      <c r="AA739" s="1442"/>
      <c r="AB739" s="1443"/>
      <c r="AC739" s="1448"/>
      <c r="AD739" s="1449"/>
      <c r="AE739" s="1449"/>
      <c r="AF739" s="1449"/>
      <c r="AG739" s="1450"/>
      <c r="AH739" s="1353" t="str">
        <f t="shared" si="60"/>
        <v/>
      </c>
      <c r="AI739" s="1354"/>
      <c r="AJ739" s="1355"/>
      <c r="AK739" s="1379" t="s">
        <v>600</v>
      </c>
      <c r="AL739" s="1380"/>
      <c r="AM739" s="1380"/>
      <c r="AN739" s="1380"/>
      <c r="AO739" s="1381"/>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79"/>
      <c r="C740" s="1380"/>
      <c r="D740" s="1380"/>
      <c r="E740" s="1380"/>
      <c r="F740" s="1381"/>
      <c r="G740" s="1403"/>
      <c r="H740" s="1404"/>
      <c r="I740" s="1404"/>
      <c r="J740" s="1405"/>
      <c r="K740" s="1587"/>
      <c r="L740" s="1588"/>
      <c r="M740" s="1588"/>
      <c r="N740" s="1589"/>
      <c r="O740" s="1438"/>
      <c r="P740" s="1439"/>
      <c r="Q740" s="1439"/>
      <c r="R740" s="1439"/>
      <c r="S740" s="1440"/>
      <c r="T740" s="1438"/>
      <c r="U740" s="1439"/>
      <c r="V740" s="1439"/>
      <c r="W740" s="1440"/>
      <c r="X740" s="1441">
        <f t="shared" si="59"/>
        <v>0</v>
      </c>
      <c r="Y740" s="1442"/>
      <c r="Z740" s="1442"/>
      <c r="AA740" s="1442"/>
      <c r="AB740" s="1443"/>
      <c r="AC740" s="1448"/>
      <c r="AD740" s="1449"/>
      <c r="AE740" s="1449"/>
      <c r="AF740" s="1449"/>
      <c r="AG740" s="1450"/>
      <c r="AH740" s="1353" t="str">
        <f t="shared" si="60"/>
        <v/>
      </c>
      <c r="AI740" s="1354"/>
      <c r="AJ740" s="1355"/>
      <c r="AK740" s="1379" t="s">
        <v>600</v>
      </c>
      <c r="AL740" s="1380"/>
      <c r="AM740" s="1380"/>
      <c r="AN740" s="1380"/>
      <c r="AO740" s="1381"/>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79"/>
      <c r="C741" s="1380"/>
      <c r="D741" s="1380"/>
      <c r="E741" s="1380"/>
      <c r="F741" s="1381"/>
      <c r="G741" s="1403"/>
      <c r="H741" s="1404"/>
      <c r="I741" s="1404"/>
      <c r="J741" s="1405"/>
      <c r="K741" s="1587"/>
      <c r="L741" s="1588"/>
      <c r="M741" s="1588"/>
      <c r="N741" s="1589"/>
      <c r="O741" s="1438"/>
      <c r="P741" s="1439"/>
      <c r="Q741" s="1439"/>
      <c r="R741" s="1439"/>
      <c r="S741" s="1440"/>
      <c r="T741" s="1438"/>
      <c r="U741" s="1439"/>
      <c r="V741" s="1439"/>
      <c r="W741" s="1440"/>
      <c r="X741" s="1441">
        <f t="shared" si="59"/>
        <v>0</v>
      </c>
      <c r="Y741" s="1442"/>
      <c r="Z741" s="1442"/>
      <c r="AA741" s="1442"/>
      <c r="AB741" s="1443"/>
      <c r="AC741" s="1448"/>
      <c r="AD741" s="1449"/>
      <c r="AE741" s="1449"/>
      <c r="AF741" s="1449"/>
      <c r="AG741" s="1450"/>
      <c r="AH741" s="1353" t="str">
        <f t="shared" si="60"/>
        <v/>
      </c>
      <c r="AI741" s="1354"/>
      <c r="AJ741" s="1355"/>
      <c r="AK741" s="1379" t="s">
        <v>600</v>
      </c>
      <c r="AL741" s="1380"/>
      <c r="AM741" s="1380"/>
      <c r="AN741" s="1380"/>
      <c r="AO741" s="1381"/>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79"/>
      <c r="C742" s="1380"/>
      <c r="D742" s="1380"/>
      <c r="E742" s="1380"/>
      <c r="F742" s="1381"/>
      <c r="G742" s="1403"/>
      <c r="H742" s="1404"/>
      <c r="I742" s="1404"/>
      <c r="J742" s="1405"/>
      <c r="K742" s="1587"/>
      <c r="L742" s="1588"/>
      <c r="M742" s="1588"/>
      <c r="N742" s="1589"/>
      <c r="O742" s="1438"/>
      <c r="P742" s="1439"/>
      <c r="Q742" s="1439"/>
      <c r="R742" s="1439"/>
      <c r="S742" s="1440"/>
      <c r="T742" s="1438"/>
      <c r="U742" s="1439"/>
      <c r="V742" s="1439"/>
      <c r="W742" s="1440"/>
      <c r="X742" s="1441">
        <f t="shared" ref="X742:X751" si="61">O742+T742</f>
        <v>0</v>
      </c>
      <c r="Y742" s="1442"/>
      <c r="Z742" s="1442"/>
      <c r="AA742" s="1442"/>
      <c r="AB742" s="1443"/>
      <c r="AC742" s="1448"/>
      <c r="AD742" s="1449"/>
      <c r="AE742" s="1449"/>
      <c r="AF742" s="1449"/>
      <c r="AG742" s="1450"/>
      <c r="AH742" s="1353" t="str">
        <f t="shared" si="60"/>
        <v/>
      </c>
      <c r="AI742" s="1354"/>
      <c r="AJ742" s="1355"/>
      <c r="AK742" s="1379" t="s">
        <v>600</v>
      </c>
      <c r="AL742" s="1380"/>
      <c r="AM742" s="1380"/>
      <c r="AN742" s="1380"/>
      <c r="AO742" s="1381"/>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79"/>
      <c r="C743" s="1380"/>
      <c r="D743" s="1380"/>
      <c r="E743" s="1380"/>
      <c r="F743" s="1381"/>
      <c r="G743" s="1403"/>
      <c r="H743" s="1404"/>
      <c r="I743" s="1404"/>
      <c r="J743" s="1405"/>
      <c r="K743" s="1587"/>
      <c r="L743" s="1588"/>
      <c r="M743" s="1588"/>
      <c r="N743" s="1589"/>
      <c r="O743" s="1438"/>
      <c r="P743" s="1439"/>
      <c r="Q743" s="1439"/>
      <c r="R743" s="1439"/>
      <c r="S743" s="1440"/>
      <c r="T743" s="1438"/>
      <c r="U743" s="1439"/>
      <c r="V743" s="1439"/>
      <c r="W743" s="1440"/>
      <c r="X743" s="1441">
        <f t="shared" si="61"/>
        <v>0</v>
      </c>
      <c r="Y743" s="1442"/>
      <c r="Z743" s="1442"/>
      <c r="AA743" s="1442"/>
      <c r="AB743" s="1443"/>
      <c r="AC743" s="1448"/>
      <c r="AD743" s="1449"/>
      <c r="AE743" s="1449"/>
      <c r="AF743" s="1449"/>
      <c r="AG743" s="1450"/>
      <c r="AH743" s="1353" t="str">
        <f t="shared" si="60"/>
        <v/>
      </c>
      <c r="AI743" s="1354"/>
      <c r="AJ743" s="1355"/>
      <c r="AK743" s="1379" t="s">
        <v>600</v>
      </c>
      <c r="AL743" s="1380"/>
      <c r="AM743" s="1380"/>
      <c r="AN743" s="1380"/>
      <c r="AO743" s="1381"/>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79"/>
      <c r="C744" s="1380"/>
      <c r="D744" s="1380"/>
      <c r="E744" s="1380"/>
      <c r="F744" s="1381"/>
      <c r="G744" s="1403"/>
      <c r="H744" s="1404"/>
      <c r="I744" s="1404"/>
      <c r="J744" s="1405"/>
      <c r="K744" s="1587"/>
      <c r="L744" s="1588"/>
      <c r="M744" s="1588"/>
      <c r="N744" s="1589"/>
      <c r="O744" s="1438"/>
      <c r="P744" s="1439"/>
      <c r="Q744" s="1439"/>
      <c r="R744" s="1439"/>
      <c r="S744" s="1440"/>
      <c r="T744" s="1438"/>
      <c r="U744" s="1439"/>
      <c r="V744" s="1439"/>
      <c r="W744" s="1440"/>
      <c r="X744" s="1441">
        <f t="shared" si="61"/>
        <v>0</v>
      </c>
      <c r="Y744" s="1442"/>
      <c r="Z744" s="1442"/>
      <c r="AA744" s="1442"/>
      <c r="AB744" s="1443"/>
      <c r="AC744" s="1448"/>
      <c r="AD744" s="1449"/>
      <c r="AE744" s="1449"/>
      <c r="AF744" s="1449"/>
      <c r="AG744" s="1450"/>
      <c r="AH744" s="1353" t="str">
        <f t="shared" si="60"/>
        <v/>
      </c>
      <c r="AI744" s="1354"/>
      <c r="AJ744" s="1355"/>
      <c r="AK744" s="1379" t="s">
        <v>600</v>
      </c>
      <c r="AL744" s="1380"/>
      <c r="AM744" s="1380"/>
      <c r="AN744" s="1380"/>
      <c r="AO744" s="1381"/>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79"/>
      <c r="C745" s="1380"/>
      <c r="D745" s="1380"/>
      <c r="E745" s="1380"/>
      <c r="F745" s="1381"/>
      <c r="G745" s="1403"/>
      <c r="H745" s="1404"/>
      <c r="I745" s="1404"/>
      <c r="J745" s="1405"/>
      <c r="K745" s="1587"/>
      <c r="L745" s="1588"/>
      <c r="M745" s="1588"/>
      <c r="N745" s="1589"/>
      <c r="O745" s="1438"/>
      <c r="P745" s="1439"/>
      <c r="Q745" s="1439"/>
      <c r="R745" s="1439"/>
      <c r="S745" s="1440"/>
      <c r="T745" s="1438"/>
      <c r="U745" s="1439"/>
      <c r="V745" s="1439"/>
      <c r="W745" s="1440"/>
      <c r="X745" s="1441">
        <f t="shared" si="61"/>
        <v>0</v>
      </c>
      <c r="Y745" s="1442"/>
      <c r="Z745" s="1442"/>
      <c r="AA745" s="1442"/>
      <c r="AB745" s="1443"/>
      <c r="AC745" s="1448"/>
      <c r="AD745" s="1449"/>
      <c r="AE745" s="1449"/>
      <c r="AF745" s="1449"/>
      <c r="AG745" s="1450"/>
      <c r="AH745" s="1353" t="str">
        <f t="shared" si="60"/>
        <v/>
      </c>
      <c r="AI745" s="1354"/>
      <c r="AJ745" s="1355"/>
      <c r="AK745" s="1379" t="s">
        <v>600</v>
      </c>
      <c r="AL745" s="1380"/>
      <c r="AM745" s="1380"/>
      <c r="AN745" s="1380"/>
      <c r="AO745" s="1381"/>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79"/>
      <c r="C746" s="1380"/>
      <c r="D746" s="1380"/>
      <c r="E746" s="1380"/>
      <c r="F746" s="1381"/>
      <c r="G746" s="1403"/>
      <c r="H746" s="1404"/>
      <c r="I746" s="1404"/>
      <c r="J746" s="1405"/>
      <c r="K746" s="1587"/>
      <c r="L746" s="1588"/>
      <c r="M746" s="1588"/>
      <c r="N746" s="1589"/>
      <c r="O746" s="1438"/>
      <c r="P746" s="1439"/>
      <c r="Q746" s="1439"/>
      <c r="R746" s="1439"/>
      <c r="S746" s="1440"/>
      <c r="T746" s="1438"/>
      <c r="U746" s="1439"/>
      <c r="V746" s="1439"/>
      <c r="W746" s="1440"/>
      <c r="X746" s="1441">
        <f t="shared" si="61"/>
        <v>0</v>
      </c>
      <c r="Y746" s="1442"/>
      <c r="Z746" s="1442"/>
      <c r="AA746" s="1442"/>
      <c r="AB746" s="1443"/>
      <c r="AC746" s="1448"/>
      <c r="AD746" s="1449"/>
      <c r="AE746" s="1449"/>
      <c r="AF746" s="1449"/>
      <c r="AG746" s="1450"/>
      <c r="AH746" s="1353" t="str">
        <f t="shared" si="60"/>
        <v/>
      </c>
      <c r="AI746" s="1354"/>
      <c r="AJ746" s="1355"/>
      <c r="AK746" s="1379" t="s">
        <v>600</v>
      </c>
      <c r="AL746" s="1380"/>
      <c r="AM746" s="1380"/>
      <c r="AN746" s="1380"/>
      <c r="AO746" s="1381"/>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79"/>
      <c r="C747" s="1380"/>
      <c r="D747" s="1380"/>
      <c r="E747" s="1380"/>
      <c r="F747" s="1381"/>
      <c r="G747" s="1403"/>
      <c r="H747" s="1404"/>
      <c r="I747" s="1404"/>
      <c r="J747" s="1405"/>
      <c r="K747" s="1587"/>
      <c r="L747" s="1588"/>
      <c r="M747" s="1588"/>
      <c r="N747" s="1589"/>
      <c r="O747" s="1438"/>
      <c r="P747" s="1439"/>
      <c r="Q747" s="1439"/>
      <c r="R747" s="1439"/>
      <c r="S747" s="1440"/>
      <c r="T747" s="1438"/>
      <c r="U747" s="1439"/>
      <c r="V747" s="1439"/>
      <c r="W747" s="1440"/>
      <c r="X747" s="1441">
        <f t="shared" si="61"/>
        <v>0</v>
      </c>
      <c r="Y747" s="1442"/>
      <c r="Z747" s="1442"/>
      <c r="AA747" s="1442"/>
      <c r="AB747" s="1443"/>
      <c r="AC747" s="1448"/>
      <c r="AD747" s="1449"/>
      <c r="AE747" s="1449"/>
      <c r="AF747" s="1449"/>
      <c r="AG747" s="1450"/>
      <c r="AH747" s="1353" t="str">
        <f t="shared" si="60"/>
        <v/>
      </c>
      <c r="AI747" s="1354"/>
      <c r="AJ747" s="1355"/>
      <c r="AK747" s="1379" t="s">
        <v>600</v>
      </c>
      <c r="AL747" s="1380"/>
      <c r="AM747" s="1380"/>
      <c r="AN747" s="1380"/>
      <c r="AO747" s="1381"/>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79"/>
      <c r="C748" s="1380"/>
      <c r="D748" s="1380"/>
      <c r="E748" s="1380"/>
      <c r="F748" s="1381"/>
      <c r="G748" s="1403"/>
      <c r="H748" s="1404"/>
      <c r="I748" s="1404"/>
      <c r="J748" s="1405"/>
      <c r="K748" s="1587"/>
      <c r="L748" s="1588"/>
      <c r="M748" s="1588"/>
      <c r="N748" s="1589"/>
      <c r="O748" s="1438"/>
      <c r="P748" s="1439"/>
      <c r="Q748" s="1439"/>
      <c r="R748" s="1439"/>
      <c r="S748" s="1440"/>
      <c r="T748" s="1438"/>
      <c r="U748" s="1439"/>
      <c r="V748" s="1439"/>
      <c r="W748" s="1440"/>
      <c r="X748" s="1441">
        <f t="shared" si="61"/>
        <v>0</v>
      </c>
      <c r="Y748" s="1442"/>
      <c r="Z748" s="1442"/>
      <c r="AA748" s="1442"/>
      <c r="AB748" s="1443"/>
      <c r="AC748" s="1448"/>
      <c r="AD748" s="1449"/>
      <c r="AE748" s="1449"/>
      <c r="AF748" s="1449"/>
      <c r="AG748" s="1450"/>
      <c r="AH748" s="1353" t="str">
        <f t="shared" si="60"/>
        <v/>
      </c>
      <c r="AI748" s="1354"/>
      <c r="AJ748" s="1355"/>
      <c r="AK748" s="1379" t="s">
        <v>600</v>
      </c>
      <c r="AL748" s="1380"/>
      <c r="AM748" s="1380"/>
      <c r="AN748" s="1380"/>
      <c r="AO748" s="1381"/>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79"/>
      <c r="C749" s="1380"/>
      <c r="D749" s="1380"/>
      <c r="E749" s="1380"/>
      <c r="F749" s="1381"/>
      <c r="G749" s="1403"/>
      <c r="H749" s="1404"/>
      <c r="I749" s="1404"/>
      <c r="J749" s="1405"/>
      <c r="K749" s="1587"/>
      <c r="L749" s="1588"/>
      <c r="M749" s="1588"/>
      <c r="N749" s="1589"/>
      <c r="O749" s="1438"/>
      <c r="P749" s="1439"/>
      <c r="Q749" s="1439"/>
      <c r="R749" s="1439"/>
      <c r="S749" s="1440"/>
      <c r="T749" s="1438"/>
      <c r="U749" s="1439"/>
      <c r="V749" s="1439"/>
      <c r="W749" s="1440"/>
      <c r="X749" s="1441">
        <f t="shared" si="61"/>
        <v>0</v>
      </c>
      <c r="Y749" s="1442"/>
      <c r="Z749" s="1442"/>
      <c r="AA749" s="1442"/>
      <c r="AB749" s="1443"/>
      <c r="AC749" s="1448"/>
      <c r="AD749" s="1449"/>
      <c r="AE749" s="1449"/>
      <c r="AF749" s="1449"/>
      <c r="AG749" s="1450"/>
      <c r="AH749" s="1353" t="str">
        <f t="shared" si="60"/>
        <v/>
      </c>
      <c r="AI749" s="1354"/>
      <c r="AJ749" s="1355"/>
      <c r="AK749" s="1379" t="s">
        <v>600</v>
      </c>
      <c r="AL749" s="1380"/>
      <c r="AM749" s="1380"/>
      <c r="AN749" s="1380"/>
      <c r="AO749" s="1381"/>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79"/>
      <c r="C750" s="1380"/>
      <c r="D750" s="1380"/>
      <c r="E750" s="1380"/>
      <c r="F750" s="1381"/>
      <c r="G750" s="1403"/>
      <c r="H750" s="1404"/>
      <c r="I750" s="1404"/>
      <c r="J750" s="1405"/>
      <c r="K750" s="1587"/>
      <c r="L750" s="1588"/>
      <c r="M750" s="1588"/>
      <c r="N750" s="1589"/>
      <c r="O750" s="1438"/>
      <c r="P750" s="1439"/>
      <c r="Q750" s="1439"/>
      <c r="R750" s="1439"/>
      <c r="S750" s="1440"/>
      <c r="T750" s="1438"/>
      <c r="U750" s="1439"/>
      <c r="V750" s="1439"/>
      <c r="W750" s="1440"/>
      <c r="X750" s="1441">
        <f t="shared" si="61"/>
        <v>0</v>
      </c>
      <c r="Y750" s="1442"/>
      <c r="Z750" s="1442"/>
      <c r="AA750" s="1442"/>
      <c r="AB750" s="1443"/>
      <c r="AC750" s="1448"/>
      <c r="AD750" s="1449"/>
      <c r="AE750" s="1449"/>
      <c r="AF750" s="1449"/>
      <c r="AG750" s="1450"/>
      <c r="AH750" s="1353" t="str">
        <f t="shared" si="60"/>
        <v/>
      </c>
      <c r="AI750" s="1354"/>
      <c r="AJ750" s="1355"/>
      <c r="AK750" s="1379" t="s">
        <v>600</v>
      </c>
      <c r="AL750" s="1380"/>
      <c r="AM750" s="1380"/>
      <c r="AN750" s="1380"/>
      <c r="AO750" s="1381"/>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79"/>
      <c r="C751" s="1380"/>
      <c r="D751" s="1380"/>
      <c r="E751" s="1380"/>
      <c r="F751" s="1381"/>
      <c r="G751" s="1403"/>
      <c r="H751" s="1404"/>
      <c r="I751" s="1404"/>
      <c r="J751" s="1405"/>
      <c r="K751" s="1587"/>
      <c r="L751" s="1588"/>
      <c r="M751" s="1588"/>
      <c r="N751" s="1589"/>
      <c r="O751" s="1438"/>
      <c r="P751" s="1439"/>
      <c r="Q751" s="1439"/>
      <c r="R751" s="1439"/>
      <c r="S751" s="1440"/>
      <c r="T751" s="1438"/>
      <c r="U751" s="1439"/>
      <c r="V751" s="1439"/>
      <c r="W751" s="1440"/>
      <c r="X751" s="1441">
        <f t="shared" si="61"/>
        <v>0</v>
      </c>
      <c r="Y751" s="1442"/>
      <c r="Z751" s="1442"/>
      <c r="AA751" s="1442"/>
      <c r="AB751" s="1443"/>
      <c r="AC751" s="1448"/>
      <c r="AD751" s="1449"/>
      <c r="AE751" s="1449"/>
      <c r="AF751" s="1449"/>
      <c r="AG751" s="1450"/>
      <c r="AH751" s="1353" t="str">
        <f t="shared" si="60"/>
        <v/>
      </c>
      <c r="AI751" s="1354"/>
      <c r="AJ751" s="1355"/>
      <c r="AK751" s="1379" t="s">
        <v>600</v>
      </c>
      <c r="AL751" s="1380"/>
      <c r="AM751" s="1380"/>
      <c r="AN751" s="1380"/>
      <c r="AO751" s="1381"/>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79"/>
      <c r="C752" s="1380"/>
      <c r="D752" s="1380"/>
      <c r="E752" s="1380"/>
      <c r="F752" s="1381"/>
      <c r="G752" s="1403"/>
      <c r="H752" s="1404"/>
      <c r="I752" s="1404"/>
      <c r="J752" s="1405"/>
      <c r="K752" s="1587"/>
      <c r="L752" s="1588"/>
      <c r="M752" s="1588"/>
      <c r="N752" s="1589"/>
      <c r="O752" s="1438"/>
      <c r="P752" s="1439"/>
      <c r="Q752" s="1439"/>
      <c r="R752" s="1439"/>
      <c r="S752" s="1440"/>
      <c r="T752" s="1438"/>
      <c r="U752" s="1439"/>
      <c r="V752" s="1439"/>
      <c r="W752" s="1440"/>
      <c r="X752" s="1441">
        <f>O752+T752</f>
        <v>0</v>
      </c>
      <c r="Y752" s="1442"/>
      <c r="Z752" s="1442"/>
      <c r="AA752" s="1442"/>
      <c r="AB752" s="1443"/>
      <c r="AC752" s="1448"/>
      <c r="AD752" s="1449"/>
      <c r="AE752" s="1449"/>
      <c r="AF752" s="1449"/>
      <c r="AG752" s="1450"/>
      <c r="AH752" s="1353" t="str">
        <f>IF($AC752&gt;0,($X752/$BA701), "")</f>
        <v/>
      </c>
      <c r="AI752" s="1354"/>
      <c r="AJ752" s="1355"/>
      <c r="AK752" s="1379" t="s">
        <v>600</v>
      </c>
      <c r="AL752" s="1380"/>
      <c r="AM752" s="1380"/>
      <c r="AN752" s="1380"/>
      <c r="AO752" s="1381"/>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98" t="s">
        <v>125</v>
      </c>
      <c r="C753" s="1499"/>
      <c r="D753" s="1499"/>
      <c r="E753" s="1499"/>
      <c r="F753" s="1501"/>
      <c r="G753" s="1863">
        <f>SUM(G718:G752)</f>
        <v>105</v>
      </c>
      <c r="H753" s="1864"/>
      <c r="I753" s="1864"/>
      <c r="J753" s="1865"/>
      <c r="K753" s="937" t="s">
        <v>124</v>
      </c>
      <c r="L753" s="5"/>
      <c r="M753" s="5"/>
      <c r="N753" s="46"/>
      <c r="O753" s="1441">
        <f>SUMPRODUCT(G718:G752,O718:O752)</f>
        <v>151811.6</v>
      </c>
      <c r="P753" s="1442"/>
      <c r="Q753" s="1442"/>
      <c r="R753" s="1442"/>
      <c r="S753" s="1443"/>
      <c r="T753"/>
      <c r="U753"/>
      <c r="V753"/>
      <c r="W753"/>
      <c r="X753" s="939" t="s">
        <v>916</v>
      </c>
      <c r="Y753" s="938"/>
      <c r="Z753" s="938"/>
      <c r="AA753" s="938"/>
      <c r="AB753" s="940"/>
      <c r="AC753" s="1704">
        <f>BI703</f>
        <v>0.55904761904761913</v>
      </c>
      <c r="AD753" s="1705"/>
      <c r="AE753" s="1705"/>
      <c r="AF753" s="1705"/>
      <c r="AG753" s="1706"/>
      <c r="AH753" s="1704">
        <f>IFERROR(BV703,"")</f>
        <v>0.55910254127200054</v>
      </c>
      <c r="AI753" s="1705"/>
      <c r="AJ753" s="170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62" t="s">
        <v>2182</v>
      </c>
      <c r="C754" s="1762"/>
      <c r="D754" s="1762"/>
      <c r="E754" s="1762"/>
      <c r="F754" s="1762"/>
      <c r="G754" s="1762"/>
      <c r="H754" s="1762"/>
      <c r="I754" s="1762"/>
      <c r="J754" s="1762"/>
      <c r="K754" s="1762"/>
      <c r="L754" s="1762"/>
      <c r="M754" s="1762"/>
      <c r="N754" s="1762"/>
      <c r="O754" s="1762"/>
      <c r="P754" s="1762"/>
      <c r="Q754" s="1762"/>
      <c r="R754" s="1762"/>
      <c r="S754" s="1762"/>
      <c r="T754" s="1762"/>
      <c r="U754" s="1762"/>
      <c r="V754" s="1762"/>
      <c r="W754" s="1762"/>
      <c r="X754" s="1762"/>
      <c r="Y754" s="1762"/>
      <c r="Z754" s="1762"/>
      <c r="AA754" s="1762"/>
      <c r="AB754" s="1762"/>
      <c r="AC754" s="1762"/>
      <c r="AD754" s="1762"/>
      <c r="AE754" s="1762"/>
      <c r="AF754" s="1762"/>
      <c r="AG754" s="1762"/>
      <c r="AH754" s="176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62"/>
      <c r="C755" s="1762"/>
      <c r="D755" s="1762"/>
      <c r="E755" s="1762"/>
      <c r="F755" s="1762"/>
      <c r="G755" s="1762"/>
      <c r="H755" s="1762"/>
      <c r="I755" s="1762"/>
      <c r="J755" s="1762"/>
      <c r="K755" s="1762"/>
      <c r="L755" s="1762"/>
      <c r="M755" s="1762"/>
      <c r="N755" s="1762"/>
      <c r="O755" s="1762"/>
      <c r="P755" s="1762"/>
      <c r="Q755" s="1762"/>
      <c r="R755" s="1762"/>
      <c r="S755" s="1762"/>
      <c r="T755" s="1762"/>
      <c r="U755" s="1762"/>
      <c r="V755" s="1762"/>
      <c r="W755" s="1762"/>
      <c r="X755" s="1762"/>
      <c r="Y755" s="1762"/>
      <c r="Z755" s="1762"/>
      <c r="AA755" s="1762"/>
      <c r="AB755" s="1762"/>
      <c r="AC755" s="1762"/>
      <c r="AD755" s="1762"/>
      <c r="AE755" s="1762"/>
      <c r="AF755" s="1762"/>
      <c r="AG755" s="1762"/>
      <c r="AH755" s="176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361">
        <f>CS634</f>
        <v>240</v>
      </c>
      <c r="P756" s="1361"/>
      <c r="Q756" s="1361"/>
      <c r="R756" s="1361"/>
      <c r="S756" s="1004"/>
      <c r="T756" s="1004"/>
      <c r="U756" s="118" t="s">
        <v>2181</v>
      </c>
      <c r="V756" s="1067"/>
      <c r="W756" s="1067"/>
      <c r="X756" s="1067"/>
      <c r="Y756" s="1068"/>
      <c r="Z756" s="1068"/>
      <c r="AA756" s="1068"/>
      <c r="AB756" s="1068"/>
      <c r="AC756" s="1067"/>
      <c r="AD756" s="1067"/>
      <c r="AE756" s="1067"/>
      <c r="AF756" s="1067"/>
      <c r="AG756" s="1721"/>
      <c r="AH756" s="1721"/>
      <c r="AI756" s="1721"/>
      <c r="AJ756" s="1721"/>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1" t="str">
        <f>IF(G753&lt;&gt;AG440,"! Total Low-Income Units in the Unit Mix Table above does not match the number of Total Low-Income Units on row #"&amp;TEXT(ROW(D440),"#"),"")</f>
        <v/>
      </c>
      <c r="D757" s="1861"/>
      <c r="E757" s="1861"/>
      <c r="F757" s="1861"/>
      <c r="G757" s="1861"/>
      <c r="H757" s="1861"/>
      <c r="I757" s="1861"/>
      <c r="J757" s="1861"/>
      <c r="K757" s="1861"/>
      <c r="L757" s="1861"/>
      <c r="M757" s="1861"/>
      <c r="N757" s="1861"/>
      <c r="O757" s="1861"/>
      <c r="P757" s="1861"/>
      <c r="Q757" s="1861"/>
      <c r="R757" s="1861"/>
      <c r="S757" s="1861"/>
      <c r="T757" s="1861"/>
      <c r="U757" s="1861"/>
      <c r="V757" s="1861"/>
      <c r="W757" s="1861"/>
      <c r="X757" s="1861"/>
      <c r="Y757" s="1861"/>
      <c r="Z757" s="1861"/>
      <c r="AA757" s="1861"/>
      <c r="AB757" s="1861"/>
      <c r="AC757" s="1861"/>
      <c r="AD757" s="1861"/>
      <c r="AE757" s="1861"/>
      <c r="AF757" s="1861"/>
      <c r="AG757" s="1861"/>
      <c r="AH757" s="1861"/>
      <c r="AI757" s="1861"/>
      <c r="AJ757" s="1861"/>
      <c r="AK757" s="1861"/>
      <c r="AL757" s="1861"/>
      <c r="AM757" s="1861"/>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1"/>
      <c r="D758" s="1861"/>
      <c r="E758" s="1861"/>
      <c r="F758" s="1861"/>
      <c r="G758" s="1861"/>
      <c r="H758" s="1861"/>
      <c r="I758" s="1861"/>
      <c r="J758" s="1861"/>
      <c r="K758" s="1861"/>
      <c r="L758" s="1861"/>
      <c r="M758" s="1861"/>
      <c r="N758" s="1861"/>
      <c r="O758" s="1861"/>
      <c r="P758" s="1861"/>
      <c r="Q758" s="1861"/>
      <c r="R758" s="1861"/>
      <c r="S758" s="1861"/>
      <c r="T758" s="1861"/>
      <c r="U758" s="1861"/>
      <c r="V758" s="1861"/>
      <c r="W758" s="1861"/>
      <c r="X758" s="1861"/>
      <c r="Y758" s="1861"/>
      <c r="Z758" s="1861"/>
      <c r="AA758" s="1861"/>
      <c r="AB758" s="1861"/>
      <c r="AC758" s="1861"/>
      <c r="AD758" s="1861"/>
      <c r="AE758" s="1861"/>
      <c r="AF758" s="1861"/>
      <c r="AG758" s="1861"/>
      <c r="AH758" s="1861"/>
      <c r="AI758" s="1861"/>
      <c r="AJ758" s="1861"/>
      <c r="AK758" s="1861"/>
      <c r="AL758" s="1861"/>
      <c r="AM758" s="1861"/>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6" t="s">
        <v>600</v>
      </c>
      <c r="AE759" s="1736"/>
      <c r="AF759" s="1736"/>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451" t="s">
        <v>390</v>
      </c>
      <c r="K769" s="1430"/>
      <c r="L769" s="1430"/>
      <c r="M769" s="1430"/>
      <c r="N769" s="1431"/>
      <c r="O769" s="1735" t="s">
        <v>286</v>
      </c>
      <c r="P769" s="1735"/>
      <c r="Q769" s="1735"/>
      <c r="R769" s="1735"/>
      <c r="S769" s="1735"/>
      <c r="T769" s="1592" t="s">
        <v>1867</v>
      </c>
      <c r="U769" s="1593"/>
      <c r="V769" s="1593"/>
      <c r="W769" s="1594"/>
      <c r="X769" s="1451" t="s">
        <v>456</v>
      </c>
      <c r="Y769" s="1430"/>
      <c r="Z769" s="1430"/>
      <c r="AA769" s="1430"/>
      <c r="AB769" s="1431"/>
      <c r="AC769" s="1451" t="s">
        <v>287</v>
      </c>
      <c r="AD769" s="1430"/>
      <c r="AE769" s="1430"/>
      <c r="AF769" s="1430"/>
      <c r="AG769" s="1431"/>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432"/>
      <c r="K770" s="1433"/>
      <c r="L770" s="1433"/>
      <c r="M770" s="1433"/>
      <c r="N770" s="1434"/>
      <c r="O770" s="1735"/>
      <c r="P770" s="1735"/>
      <c r="Q770" s="1735"/>
      <c r="R770" s="1735"/>
      <c r="S770" s="1735"/>
      <c r="T770" s="1595"/>
      <c r="U770" s="1596"/>
      <c r="V770" s="1596"/>
      <c r="W770" s="1597"/>
      <c r="X770" s="1432"/>
      <c r="Y770" s="1433"/>
      <c r="Z770" s="1433"/>
      <c r="AA770" s="1433"/>
      <c r="AB770" s="1434"/>
      <c r="AC770" s="1432"/>
      <c r="AD770" s="1433"/>
      <c r="AE770" s="1433"/>
      <c r="AF770" s="1433"/>
      <c r="AG770" s="1434"/>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432"/>
      <c r="K771" s="1433"/>
      <c r="L771" s="1433"/>
      <c r="M771" s="1433"/>
      <c r="N771" s="1434"/>
      <c r="O771" s="1735"/>
      <c r="P771" s="1735"/>
      <c r="Q771" s="1735"/>
      <c r="R771" s="1735"/>
      <c r="S771" s="1735"/>
      <c r="T771" s="1595"/>
      <c r="U771" s="1596"/>
      <c r="V771" s="1596"/>
      <c r="W771" s="1597"/>
      <c r="X771" s="1432"/>
      <c r="Y771" s="1433"/>
      <c r="Z771" s="1433"/>
      <c r="AA771" s="1433"/>
      <c r="AB771" s="1434"/>
      <c r="AC771" s="1432"/>
      <c r="AD771" s="1433"/>
      <c r="AE771" s="1433"/>
      <c r="AF771" s="1433"/>
      <c r="AG771" s="1434"/>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435"/>
      <c r="K772" s="1436"/>
      <c r="L772" s="1436"/>
      <c r="M772" s="1436"/>
      <c r="N772" s="1437"/>
      <c r="O772" s="1735"/>
      <c r="P772" s="1735"/>
      <c r="Q772" s="1735"/>
      <c r="R772" s="1735"/>
      <c r="S772" s="1735"/>
      <c r="T772" s="1712"/>
      <c r="U772" s="1713"/>
      <c r="V772" s="1713"/>
      <c r="W772" s="1714"/>
      <c r="X772" s="1435"/>
      <c r="Y772" s="1436"/>
      <c r="Z772" s="1436"/>
      <c r="AA772" s="1436"/>
      <c r="AB772" s="1437"/>
      <c r="AC772" s="1435"/>
      <c r="AD772" s="1436"/>
      <c r="AE772" s="1436"/>
      <c r="AF772" s="1436"/>
      <c r="AG772" s="1437"/>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79" t="s">
        <v>163</v>
      </c>
      <c r="K773" s="1380"/>
      <c r="L773" s="1380"/>
      <c r="M773" s="1380"/>
      <c r="N773" s="1381"/>
      <c r="O773" s="1491">
        <v>1</v>
      </c>
      <c r="P773" s="1491"/>
      <c r="Q773" s="1491"/>
      <c r="R773" s="1491"/>
      <c r="S773" s="1491"/>
      <c r="T773" s="1587">
        <v>735</v>
      </c>
      <c r="U773" s="1588"/>
      <c r="V773" s="1588"/>
      <c r="W773" s="1589"/>
      <c r="X773" s="1438"/>
      <c r="Y773" s="1439"/>
      <c r="Z773" s="1439"/>
      <c r="AA773" s="1439"/>
      <c r="AB773" s="1440"/>
      <c r="AC773" s="1441">
        <f>X773*O773</f>
        <v>0</v>
      </c>
      <c r="AD773" s="1442"/>
      <c r="AE773" s="1442"/>
      <c r="AF773" s="1442"/>
      <c r="AG773" s="144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79"/>
      <c r="K774" s="1380"/>
      <c r="L774" s="1380"/>
      <c r="M774" s="1380"/>
      <c r="N774" s="1381"/>
      <c r="O774" s="1491"/>
      <c r="P774" s="1491"/>
      <c r="Q774" s="1491"/>
      <c r="R774" s="1491"/>
      <c r="S774" s="1491"/>
      <c r="T774" s="1587"/>
      <c r="U774" s="1588"/>
      <c r="V774" s="1588"/>
      <c r="W774" s="1589"/>
      <c r="X774" s="1438"/>
      <c r="Y774" s="1439"/>
      <c r="Z774" s="1439"/>
      <c r="AA774" s="1439"/>
      <c r="AB774" s="1440"/>
      <c r="AC774" s="1441">
        <f>X774*O774</f>
        <v>0</v>
      </c>
      <c r="AD774" s="1442"/>
      <c r="AE774" s="1442"/>
      <c r="AF774" s="1442"/>
      <c r="AG774" s="144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79"/>
      <c r="K775" s="1380"/>
      <c r="L775" s="1380"/>
      <c r="M775" s="1380"/>
      <c r="N775" s="1381"/>
      <c r="O775" s="1491"/>
      <c r="P775" s="1491"/>
      <c r="Q775" s="1491"/>
      <c r="R775" s="1491"/>
      <c r="S775" s="1491"/>
      <c r="T775" s="1587"/>
      <c r="U775" s="1588"/>
      <c r="V775" s="1588"/>
      <c r="W775" s="1589"/>
      <c r="X775" s="1438"/>
      <c r="Y775" s="1439"/>
      <c r="Z775" s="1439"/>
      <c r="AA775" s="1439"/>
      <c r="AB775" s="1440"/>
      <c r="AC775" s="1441">
        <f>X775*O775</f>
        <v>0</v>
      </c>
      <c r="AD775" s="1442"/>
      <c r="AE775" s="1442"/>
      <c r="AF775" s="1442"/>
      <c r="AG775" s="144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79"/>
      <c r="K776" s="1380"/>
      <c r="L776" s="1380"/>
      <c r="M776" s="1380"/>
      <c r="N776" s="1381"/>
      <c r="O776" s="1491"/>
      <c r="P776" s="1491"/>
      <c r="Q776" s="1491"/>
      <c r="R776" s="1491"/>
      <c r="S776" s="1491"/>
      <c r="T776" s="1587"/>
      <c r="U776" s="1588"/>
      <c r="V776" s="1588"/>
      <c r="W776" s="1589"/>
      <c r="X776" s="1438"/>
      <c r="Y776" s="1439"/>
      <c r="Z776" s="1439"/>
      <c r="AA776" s="1439"/>
      <c r="AB776" s="1440"/>
      <c r="AC776" s="1441">
        <f>X776*O776</f>
        <v>0</v>
      </c>
      <c r="AD776" s="1442"/>
      <c r="AE776" s="1442"/>
      <c r="AF776" s="1442"/>
      <c r="AG776" s="144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98" t="s">
        <v>125</v>
      </c>
      <c r="K777" s="1499"/>
      <c r="L777" s="1499"/>
      <c r="M777" s="1499"/>
      <c r="N777" s="1501"/>
      <c r="O777" s="1367">
        <f>SUM(O773:S776)</f>
        <v>1</v>
      </c>
      <c r="P777" s="1519"/>
      <c r="Q777" s="1519"/>
      <c r="R777" s="1519"/>
      <c r="S777" s="1368"/>
      <c r="X777" s="1498" t="s">
        <v>124</v>
      </c>
      <c r="Y777" s="1499"/>
      <c r="Z777" s="1499"/>
      <c r="AA777" s="1499"/>
      <c r="AB777" s="1501"/>
      <c r="AC777" s="1441">
        <f>SUM(AC773:AG776)</f>
        <v>0</v>
      </c>
      <c r="AD777" s="1442"/>
      <c r="AE777" s="1442"/>
      <c r="AF777" s="1442"/>
      <c r="AG777" s="144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398" t="s">
        <v>678</v>
      </c>
      <c r="K779" s="1398"/>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451" t="s">
        <v>390</v>
      </c>
      <c r="K783" s="1430"/>
      <c r="L783" s="1430"/>
      <c r="M783" s="1430"/>
      <c r="N783" s="1431"/>
      <c r="O783" s="1735" t="s">
        <v>286</v>
      </c>
      <c r="P783" s="1735"/>
      <c r="Q783" s="1735"/>
      <c r="R783" s="1735"/>
      <c r="S783" s="1735"/>
      <c r="T783" s="1592" t="s">
        <v>1867</v>
      </c>
      <c r="U783" s="1593"/>
      <c r="V783" s="1593"/>
      <c r="W783" s="1594"/>
      <c r="X783" s="1451" t="s">
        <v>456</v>
      </c>
      <c r="Y783" s="1430"/>
      <c r="Z783" s="1430"/>
      <c r="AA783" s="1430"/>
      <c r="AB783" s="1431"/>
      <c r="AC783" s="1451" t="s">
        <v>287</v>
      </c>
      <c r="AD783" s="1430"/>
      <c r="AE783" s="1430"/>
      <c r="AF783" s="1430"/>
      <c r="AG783" s="143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432"/>
      <c r="K784" s="1433"/>
      <c r="L784" s="1433"/>
      <c r="M784" s="1433"/>
      <c r="N784" s="1434"/>
      <c r="O784" s="1735"/>
      <c r="P784" s="1735"/>
      <c r="Q784" s="1735"/>
      <c r="R784" s="1735"/>
      <c r="S784" s="1735"/>
      <c r="T784" s="1595"/>
      <c r="U784" s="1596"/>
      <c r="V784" s="1596"/>
      <c r="W784" s="1597"/>
      <c r="X784" s="1432"/>
      <c r="Y784" s="1433"/>
      <c r="Z784" s="1433"/>
      <c r="AA784" s="1433"/>
      <c r="AB784" s="1434"/>
      <c r="AC784" s="1432"/>
      <c r="AD784" s="1433"/>
      <c r="AE784" s="1433"/>
      <c r="AF784" s="1433"/>
      <c r="AG784" s="143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432"/>
      <c r="K785" s="1433"/>
      <c r="L785" s="1433"/>
      <c r="M785" s="1433"/>
      <c r="N785" s="1434"/>
      <c r="O785" s="1735"/>
      <c r="P785" s="1735"/>
      <c r="Q785" s="1735"/>
      <c r="R785" s="1735"/>
      <c r="S785" s="1735"/>
      <c r="T785" s="1595"/>
      <c r="U785" s="1596"/>
      <c r="V785" s="1596"/>
      <c r="W785" s="1597"/>
      <c r="X785" s="1432"/>
      <c r="Y785" s="1433"/>
      <c r="Z785" s="1433"/>
      <c r="AA785" s="1433"/>
      <c r="AB785" s="1434"/>
      <c r="AC785" s="1432"/>
      <c r="AD785" s="1433"/>
      <c r="AE785" s="1433"/>
      <c r="AF785" s="1433"/>
      <c r="AG785" s="143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435"/>
      <c r="K786" s="1436"/>
      <c r="L786" s="1436"/>
      <c r="M786" s="1436"/>
      <c r="N786" s="1437"/>
      <c r="O786" s="1735"/>
      <c r="P786" s="1735"/>
      <c r="Q786" s="1735"/>
      <c r="R786" s="1735"/>
      <c r="S786" s="1735"/>
      <c r="T786" s="1712"/>
      <c r="U786" s="1713"/>
      <c r="V786" s="1713"/>
      <c r="W786" s="1714"/>
      <c r="X786" s="1435"/>
      <c r="Y786" s="1436"/>
      <c r="Z786" s="1436"/>
      <c r="AA786" s="1436"/>
      <c r="AB786" s="1437"/>
      <c r="AC786" s="1435"/>
      <c r="AD786" s="1436"/>
      <c r="AE786" s="1436"/>
      <c r="AF786" s="1436"/>
      <c r="AG786" s="143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79"/>
      <c r="K787" s="1380"/>
      <c r="L787" s="1380"/>
      <c r="M787" s="1380"/>
      <c r="N787" s="1381"/>
      <c r="O787" s="1491"/>
      <c r="P787" s="1491"/>
      <c r="Q787" s="1491"/>
      <c r="R787" s="1491"/>
      <c r="S787" s="1491"/>
      <c r="T787" s="1587"/>
      <c r="U787" s="1588"/>
      <c r="V787" s="1588"/>
      <c r="W787" s="1589"/>
      <c r="X787" s="1438"/>
      <c r="Y787" s="1439"/>
      <c r="Z787" s="1439"/>
      <c r="AA787" s="1439"/>
      <c r="AB787" s="1440"/>
      <c r="AC787" s="1441">
        <f t="shared" ref="AC787:AC796" si="62">X787*O787</f>
        <v>0</v>
      </c>
      <c r="AD787" s="1442"/>
      <c r="AE787" s="1442"/>
      <c r="AF787" s="1442"/>
      <c r="AG787" s="144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79"/>
      <c r="K788" s="1380"/>
      <c r="L788" s="1380"/>
      <c r="M788" s="1380"/>
      <c r="N788" s="1381"/>
      <c r="O788" s="1491"/>
      <c r="P788" s="1491"/>
      <c r="Q788" s="1491"/>
      <c r="R788" s="1491"/>
      <c r="S788" s="1491"/>
      <c r="T788" s="1587"/>
      <c r="U788" s="1588"/>
      <c r="V788" s="1588"/>
      <c r="W788" s="1589"/>
      <c r="X788" s="1438"/>
      <c r="Y788" s="1439"/>
      <c r="Z788" s="1439"/>
      <c r="AA788" s="1439"/>
      <c r="AB788" s="1440"/>
      <c r="AC788" s="1441">
        <f t="shared" si="62"/>
        <v>0</v>
      </c>
      <c r="AD788" s="1442"/>
      <c r="AE788" s="1442"/>
      <c r="AF788" s="1442"/>
      <c r="AG788" s="144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79"/>
      <c r="K789" s="1380"/>
      <c r="L789" s="1380"/>
      <c r="M789" s="1380"/>
      <c r="N789" s="1381"/>
      <c r="O789" s="1491"/>
      <c r="P789" s="1491"/>
      <c r="Q789" s="1491"/>
      <c r="R789" s="1491"/>
      <c r="S789" s="1491"/>
      <c r="T789" s="1587"/>
      <c r="U789" s="1588"/>
      <c r="V789" s="1588"/>
      <c r="W789" s="1589"/>
      <c r="X789" s="1438"/>
      <c r="Y789" s="1439"/>
      <c r="Z789" s="1439"/>
      <c r="AA789" s="1439"/>
      <c r="AB789" s="1440"/>
      <c r="AC789" s="1441">
        <f t="shared" si="62"/>
        <v>0</v>
      </c>
      <c r="AD789" s="1442"/>
      <c r="AE789" s="1442"/>
      <c r="AF789" s="1442"/>
      <c r="AG789" s="144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79"/>
      <c r="K790" s="1380"/>
      <c r="L790" s="1380"/>
      <c r="M790" s="1380"/>
      <c r="N790" s="1381"/>
      <c r="O790" s="1491"/>
      <c r="P790" s="1491"/>
      <c r="Q790" s="1491"/>
      <c r="R790" s="1491"/>
      <c r="S790" s="1491"/>
      <c r="T790" s="1587"/>
      <c r="U790" s="1588"/>
      <c r="V790" s="1588"/>
      <c r="W790" s="1589"/>
      <c r="X790" s="1438"/>
      <c r="Y790" s="1439"/>
      <c r="Z790" s="1439"/>
      <c r="AA790" s="1439"/>
      <c r="AB790" s="1440"/>
      <c r="AC790" s="1441">
        <f t="shared" si="62"/>
        <v>0</v>
      </c>
      <c r="AD790" s="1442"/>
      <c r="AE790" s="1442"/>
      <c r="AF790" s="1442"/>
      <c r="AG790" s="144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79"/>
      <c r="K791" s="1380"/>
      <c r="L791" s="1380"/>
      <c r="M791" s="1380"/>
      <c r="N791" s="1381"/>
      <c r="O791" s="1491"/>
      <c r="P791" s="1491"/>
      <c r="Q791" s="1491"/>
      <c r="R791" s="1491"/>
      <c r="S791" s="1491"/>
      <c r="T791" s="1587"/>
      <c r="U791" s="1588"/>
      <c r="V791" s="1588"/>
      <c r="W791" s="1589"/>
      <c r="X791" s="1438"/>
      <c r="Y791" s="1439"/>
      <c r="Z791" s="1439"/>
      <c r="AA791" s="1439"/>
      <c r="AB791" s="1440"/>
      <c r="AC791" s="1441">
        <f t="shared" si="62"/>
        <v>0</v>
      </c>
      <c r="AD791" s="1442"/>
      <c r="AE791" s="1442"/>
      <c r="AF791" s="1442"/>
      <c r="AG791" s="144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79"/>
      <c r="K792" s="1380"/>
      <c r="L792" s="1380"/>
      <c r="M792" s="1380"/>
      <c r="N792" s="1381"/>
      <c r="O792" s="1491"/>
      <c r="P792" s="1491"/>
      <c r="Q792" s="1491"/>
      <c r="R792" s="1491"/>
      <c r="S792" s="1491"/>
      <c r="T792" s="1587"/>
      <c r="U792" s="1588"/>
      <c r="V792" s="1588"/>
      <c r="W792" s="1589"/>
      <c r="X792" s="1438"/>
      <c r="Y792" s="1439"/>
      <c r="Z792" s="1439"/>
      <c r="AA792" s="1439"/>
      <c r="AB792" s="1440"/>
      <c r="AC792" s="1441">
        <f t="shared" si="62"/>
        <v>0</v>
      </c>
      <c r="AD792" s="1442"/>
      <c r="AE792" s="1442"/>
      <c r="AF792" s="1442"/>
      <c r="AG792" s="144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79"/>
      <c r="K793" s="1380"/>
      <c r="L793" s="1380"/>
      <c r="M793" s="1380"/>
      <c r="N793" s="1381"/>
      <c r="O793" s="1491"/>
      <c r="P793" s="1491"/>
      <c r="Q793" s="1491"/>
      <c r="R793" s="1491"/>
      <c r="S793" s="1491"/>
      <c r="T793" s="1587"/>
      <c r="U793" s="1588"/>
      <c r="V793" s="1588"/>
      <c r="W793" s="1589"/>
      <c r="X793" s="1438"/>
      <c r="Y793" s="1439"/>
      <c r="Z793" s="1439"/>
      <c r="AA793" s="1439"/>
      <c r="AB793" s="1440"/>
      <c r="AC793" s="1441">
        <f t="shared" si="62"/>
        <v>0</v>
      </c>
      <c r="AD793" s="1442"/>
      <c r="AE793" s="1442"/>
      <c r="AF793" s="1442"/>
      <c r="AG793" s="144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79"/>
      <c r="K794" s="1380"/>
      <c r="L794" s="1380"/>
      <c r="M794" s="1380"/>
      <c r="N794" s="1381"/>
      <c r="O794" s="1491"/>
      <c r="P794" s="1491"/>
      <c r="Q794" s="1491"/>
      <c r="R794" s="1491"/>
      <c r="S794" s="1491"/>
      <c r="T794" s="1587"/>
      <c r="U794" s="1588"/>
      <c r="V794" s="1588"/>
      <c r="W794" s="1589"/>
      <c r="X794" s="1438"/>
      <c r="Y794" s="1439"/>
      <c r="Z794" s="1439"/>
      <c r="AA794" s="1439"/>
      <c r="AB794" s="1440"/>
      <c r="AC794" s="1441">
        <f t="shared" si="62"/>
        <v>0</v>
      </c>
      <c r="AD794" s="1442"/>
      <c r="AE794" s="1442"/>
      <c r="AF794" s="1442"/>
      <c r="AG794" s="144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79"/>
      <c r="K795" s="1380"/>
      <c r="L795" s="1380"/>
      <c r="M795" s="1380"/>
      <c r="N795" s="1381"/>
      <c r="O795" s="1491"/>
      <c r="P795" s="1491"/>
      <c r="Q795" s="1491"/>
      <c r="R795" s="1491"/>
      <c r="S795" s="1491"/>
      <c r="T795" s="1587"/>
      <c r="U795" s="1588"/>
      <c r="V795" s="1588"/>
      <c r="W795" s="1589"/>
      <c r="X795" s="1438"/>
      <c r="Y795" s="1439"/>
      <c r="Z795" s="1439"/>
      <c r="AA795" s="1439"/>
      <c r="AB795" s="1440"/>
      <c r="AC795" s="1441">
        <f t="shared" si="62"/>
        <v>0</v>
      </c>
      <c r="AD795" s="1442"/>
      <c r="AE795" s="1442"/>
      <c r="AF795" s="1442"/>
      <c r="AG795" s="144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79"/>
      <c r="K796" s="1380"/>
      <c r="L796" s="1380"/>
      <c r="M796" s="1380"/>
      <c r="N796" s="1381"/>
      <c r="O796" s="1491"/>
      <c r="P796" s="1491"/>
      <c r="Q796" s="1491"/>
      <c r="R796" s="1491"/>
      <c r="S796" s="1491"/>
      <c r="T796" s="1587"/>
      <c r="U796" s="1588"/>
      <c r="V796" s="1588"/>
      <c r="W796" s="1589"/>
      <c r="X796" s="1438"/>
      <c r="Y796" s="1439"/>
      <c r="Z796" s="1439"/>
      <c r="AA796" s="1439"/>
      <c r="AB796" s="1440"/>
      <c r="AC796" s="1441">
        <f t="shared" si="62"/>
        <v>0</v>
      </c>
      <c r="AD796" s="1442"/>
      <c r="AE796" s="1442"/>
      <c r="AF796" s="1442"/>
      <c r="AG796" s="1443"/>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10" t="s">
        <v>478</v>
      </c>
      <c r="BO796" s="1711"/>
      <c r="BP796" s="3"/>
      <c r="BQ796" s="3"/>
      <c r="BR796" s="3"/>
      <c r="BS796" s="14" t="s">
        <v>643</v>
      </c>
      <c r="BT796" s="14"/>
      <c r="BU796" s="14"/>
      <c r="BV796" s="14"/>
      <c r="BW796" s="14"/>
      <c r="BX796" s="14"/>
      <c r="BY796" s="14"/>
      <c r="BZ796" s="14"/>
      <c r="CA796" s="14"/>
      <c r="CB796" s="1707" t="str">
        <f>T189</f>
        <v>Sacramento</v>
      </c>
      <c r="CC796" s="1708"/>
      <c r="CD796" s="1708"/>
      <c r="CE796" s="1708"/>
      <c r="CF796" s="1708"/>
      <c r="CG796" s="1708"/>
      <c r="CH796" s="170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98" t="s">
        <v>125</v>
      </c>
      <c r="K797" s="1499"/>
      <c r="L797" s="1499"/>
      <c r="M797" s="1499"/>
      <c r="N797" s="1501"/>
      <c r="O797" s="1360">
        <f>SUM(O787:S796)</f>
        <v>0</v>
      </c>
      <c r="P797" s="1360"/>
      <c r="Q797" s="1360"/>
      <c r="R797" s="1360"/>
      <c r="S797" s="1360"/>
      <c r="T797"/>
      <c r="U797"/>
      <c r="V797"/>
      <c r="W797"/>
      <c r="X797" s="937" t="s">
        <v>124</v>
      </c>
      <c r="Y797" s="11"/>
      <c r="Z797" s="11"/>
      <c r="AA797" s="11"/>
      <c r="AB797" s="944"/>
      <c r="AC797" s="1441">
        <f>SUM(AC787:AG796)</f>
        <v>0</v>
      </c>
      <c r="AD797" s="1442"/>
      <c r="AE797" s="1442"/>
      <c r="AF797" s="1442"/>
      <c r="AG797" s="144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383" t="str">
        <f>IF(O797&lt;&gt;AG438,"! Total market rate units in the Unit Mix Table above does not match the number of  market rate units on row #"&amp;TEXT(ROW(D438),"#"),"")</f>
        <v/>
      </c>
      <c r="D798" s="1383"/>
      <c r="E798" s="1383"/>
      <c r="F798" s="1383"/>
      <c r="G798" s="1383"/>
      <c r="H798" s="1383"/>
      <c r="I798" s="1383"/>
      <c r="J798" s="1383"/>
      <c r="K798" s="1383"/>
      <c r="L798" s="1383"/>
      <c r="M798" s="1383"/>
      <c r="N798" s="1383"/>
      <c r="O798" s="1383"/>
      <c r="P798" s="1383"/>
      <c r="Q798" s="1383"/>
      <c r="R798" s="1383"/>
      <c r="S798" s="1383"/>
      <c r="T798" s="1383"/>
      <c r="U798" s="1383"/>
      <c r="V798" s="1383"/>
      <c r="W798" s="1383"/>
      <c r="X798" s="1383"/>
      <c r="Y798" s="1383"/>
      <c r="Z798" s="1383"/>
      <c r="AA798" s="1383"/>
      <c r="AB798" s="1383"/>
      <c r="AC798" s="1383"/>
      <c r="AD798" s="1383"/>
      <c r="AE798" s="1383"/>
      <c r="AF798" s="1383"/>
      <c r="AG798" s="1383"/>
      <c r="AH798" s="1383"/>
      <c r="AI798" s="1383"/>
      <c r="AJ798" s="1383"/>
      <c r="AK798" s="1383"/>
      <c r="AL798" s="1383"/>
      <c r="AM798" s="1383"/>
      <c r="AN798" s="138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383"/>
      <c r="D799" s="1383"/>
      <c r="E799" s="1383"/>
      <c r="F799" s="1383"/>
      <c r="G799" s="1383"/>
      <c r="H799" s="1383"/>
      <c r="I799" s="1383"/>
      <c r="J799" s="1383"/>
      <c r="K799" s="1383"/>
      <c r="L799" s="1383"/>
      <c r="M799" s="1383"/>
      <c r="N799" s="1383"/>
      <c r="O799" s="1383"/>
      <c r="P799" s="1383"/>
      <c r="Q799" s="1383"/>
      <c r="R799" s="1383"/>
      <c r="S799" s="1383"/>
      <c r="T799" s="1383"/>
      <c r="U799" s="1383"/>
      <c r="V799" s="1383"/>
      <c r="W799" s="1383"/>
      <c r="X799" s="1383"/>
      <c r="Y799" s="1383"/>
      <c r="Z799" s="1383"/>
      <c r="AA799" s="1383"/>
      <c r="AB799" s="1383"/>
      <c r="AC799" s="1383"/>
      <c r="AD799" s="1383"/>
      <c r="AE799" s="1383"/>
      <c r="AF799" s="1383"/>
      <c r="AG799" s="1383"/>
      <c r="AH799" s="1383"/>
      <c r="AI799" s="1383"/>
      <c r="AJ799" s="1383"/>
      <c r="AK799" s="1383"/>
      <c r="AL799" s="1383"/>
      <c r="AM799" s="1383"/>
      <c r="AN799" s="138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79">
        <f>O753+AC777+AC797</f>
        <v>151811.6</v>
      </c>
      <c r="Z800" s="1679"/>
      <c r="AA800" s="1679"/>
      <c r="AB800" s="1679"/>
      <c r="AC800" s="167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79">
        <f>(O753+AC777+AC797)*12</f>
        <v>1821739.2000000002</v>
      </c>
      <c r="Z801" s="1679"/>
      <c r="AA801" s="1679"/>
      <c r="AB801" s="1679"/>
      <c r="AC801" s="167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29">
        <v>105</v>
      </c>
      <c r="AA806" s="1630"/>
      <c r="AB806" s="1630"/>
      <c r="AC806" s="1630"/>
      <c r="AD806" s="1630"/>
      <c r="AE806" s="163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6">
        <v>15</v>
      </c>
      <c r="AA807" s="1630"/>
      <c r="AB807" s="1630"/>
      <c r="AC807" s="1630"/>
      <c r="AD807" s="1630"/>
      <c r="AE807" s="163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40">
        <v>53540</v>
      </c>
      <c r="AA808" s="1641"/>
      <c r="AB808" s="1641"/>
      <c r="AC808" s="1641"/>
      <c r="AD808" s="1641"/>
      <c r="AE808" s="164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768760.8</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23">
        <v>3820</v>
      </c>
      <c r="AA813" s="1524"/>
      <c r="AB813" s="1524"/>
      <c r="AC813" s="1524"/>
      <c r="AD813" s="1524"/>
      <c r="AE813" s="152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23"/>
      <c r="AA814" s="1524"/>
      <c r="AB814" s="1524"/>
      <c r="AC814" s="1524"/>
      <c r="AD814" s="1524"/>
      <c r="AE814" s="152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23"/>
      <c r="AA815" s="1524"/>
      <c r="AB815" s="1524"/>
      <c r="AC815" s="1524"/>
      <c r="AD815" s="1524"/>
      <c r="AE815" s="152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32" t="s">
        <v>335</v>
      </c>
      <c r="Q816" s="1633"/>
      <c r="R816" s="1633"/>
      <c r="S816" s="1633"/>
      <c r="T816" s="1633"/>
      <c r="U816" s="1633"/>
      <c r="V816" s="1633"/>
      <c r="W816" s="1633"/>
      <c r="X816" s="1633"/>
      <c r="Y816" s="1634"/>
      <c r="Z816" s="1523"/>
      <c r="AA816" s="1524"/>
      <c r="AB816" s="1524"/>
      <c r="AC816" s="1524"/>
      <c r="AD816" s="1524"/>
      <c r="AE816" s="152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3820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16">
        <f>Z817+Y801+Z809</f>
        <v>2594320</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5" t="s">
        <v>126</v>
      </c>
      <c r="N823" s="1715"/>
      <c r="O823" s="1715"/>
      <c r="P823" s="1716"/>
      <c r="Q823" s="1619" t="s">
        <v>291</v>
      </c>
      <c r="R823" s="1619"/>
      <c r="S823" s="1619"/>
      <c r="T823" s="1619"/>
      <c r="U823" s="1619" t="s">
        <v>292</v>
      </c>
      <c r="V823" s="1619"/>
      <c r="W823" s="1619"/>
      <c r="X823" s="1619"/>
      <c r="Y823" s="1619" t="s">
        <v>293</v>
      </c>
      <c r="Z823" s="1619"/>
      <c r="AA823" s="1619"/>
      <c r="AB823" s="1619"/>
      <c r="AC823" s="1619" t="s">
        <v>362</v>
      </c>
      <c r="AD823" s="1619"/>
      <c r="AE823" s="1619"/>
      <c r="AF823" s="1619"/>
      <c r="AG823" s="1622" t="s">
        <v>336</v>
      </c>
      <c r="AH823" s="1622"/>
      <c r="AI823" s="1622"/>
      <c r="AJ823" s="162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90"/>
      <c r="N824" s="1690"/>
      <c r="O824" s="1690"/>
      <c r="P824" s="1691"/>
      <c r="Q824" s="1619"/>
      <c r="R824" s="1619"/>
      <c r="S824" s="1619"/>
      <c r="T824" s="1619"/>
      <c r="U824" s="1619"/>
      <c r="V824" s="1619"/>
      <c r="W824" s="1619"/>
      <c r="X824" s="1619"/>
      <c r="Y824" s="1619"/>
      <c r="Z824" s="1619"/>
      <c r="AA824" s="1619"/>
      <c r="AB824" s="1619"/>
      <c r="AC824" s="1619"/>
      <c r="AD824" s="1619"/>
      <c r="AE824" s="1619"/>
      <c r="AF824" s="1619"/>
      <c r="AG824" s="1622"/>
      <c r="AH824" s="1622"/>
      <c r="AI824" s="1622"/>
      <c r="AJ824" s="1622"/>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43" t="s">
        <v>40</v>
      </c>
      <c r="D825" s="1517"/>
      <c r="E825" s="1517"/>
      <c r="F825" s="1517"/>
      <c r="G825" s="1517"/>
      <c r="H825" s="1517"/>
      <c r="I825" s="48"/>
      <c r="J825" s="48"/>
      <c r="K825" s="48"/>
      <c r="L825" s="49"/>
      <c r="M825" s="1620"/>
      <c r="N825" s="1620"/>
      <c r="O825" s="1620"/>
      <c r="P825" s="1620"/>
      <c r="Q825" s="1620"/>
      <c r="R825" s="1620"/>
      <c r="S825" s="1620"/>
      <c r="T825" s="1620"/>
      <c r="U825" s="1620"/>
      <c r="V825" s="1620"/>
      <c r="W825" s="1620"/>
      <c r="X825" s="1620"/>
      <c r="Y825" s="1620"/>
      <c r="Z825" s="1620"/>
      <c r="AA825" s="1620"/>
      <c r="AB825" s="1620"/>
      <c r="AC825" s="1602"/>
      <c r="AD825" s="1603"/>
      <c r="AE825" s="1603"/>
      <c r="AF825" s="1604"/>
      <c r="AG825" s="1602"/>
      <c r="AH825" s="1603"/>
      <c r="AI825" s="1603"/>
      <c r="AJ825" s="1604"/>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62" t="s">
        <v>41</v>
      </c>
      <c r="D826" s="1463"/>
      <c r="E826" s="1463"/>
      <c r="F826" s="1463"/>
      <c r="G826" s="1463"/>
      <c r="H826" s="1463"/>
      <c r="I826" s="5"/>
      <c r="J826" s="5"/>
      <c r="K826" s="5"/>
      <c r="L826" s="46"/>
      <c r="M826" s="1620"/>
      <c r="N826" s="1620"/>
      <c r="O826" s="1620"/>
      <c r="P826" s="1620"/>
      <c r="Q826" s="1620"/>
      <c r="R826" s="1620"/>
      <c r="S826" s="1620"/>
      <c r="T826" s="1620"/>
      <c r="U826" s="1620"/>
      <c r="V826" s="1620"/>
      <c r="W826" s="1620"/>
      <c r="X826" s="1620"/>
      <c r="Y826" s="1620"/>
      <c r="Z826" s="1620"/>
      <c r="AA826" s="1620"/>
      <c r="AB826" s="1620"/>
      <c r="AC826" s="1602"/>
      <c r="AD826" s="1603"/>
      <c r="AE826" s="1603"/>
      <c r="AF826" s="1604"/>
      <c r="AG826" s="1602"/>
      <c r="AH826" s="1603"/>
      <c r="AI826" s="1603"/>
      <c r="AJ826" s="1604"/>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62" t="s">
        <v>42</v>
      </c>
      <c r="D827" s="1463"/>
      <c r="E827" s="1463"/>
      <c r="F827" s="1463"/>
      <c r="G827" s="1463"/>
      <c r="H827" s="1463"/>
      <c r="I827" s="60"/>
      <c r="J827" s="60"/>
      <c r="K827" s="60"/>
      <c r="L827" s="61"/>
      <c r="M827" s="1620"/>
      <c r="N827" s="1620"/>
      <c r="O827" s="1620"/>
      <c r="P827" s="1620"/>
      <c r="Q827" s="1620"/>
      <c r="R827" s="1620"/>
      <c r="S827" s="1620"/>
      <c r="T827" s="1620"/>
      <c r="U827" s="1620"/>
      <c r="V827" s="1620"/>
      <c r="W827" s="1620"/>
      <c r="X827" s="1620"/>
      <c r="Y827" s="1620"/>
      <c r="Z827" s="1620"/>
      <c r="AA827" s="1620"/>
      <c r="AB827" s="1620"/>
      <c r="AC827" s="1602"/>
      <c r="AD827" s="1603"/>
      <c r="AE827" s="1603"/>
      <c r="AF827" s="1604"/>
      <c r="AG827" s="1602"/>
      <c r="AH827" s="1603"/>
      <c r="AI827" s="1603"/>
      <c r="AJ827" s="1604"/>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62" t="s">
        <v>772</v>
      </c>
      <c r="D828" s="1463"/>
      <c r="E828" s="1463"/>
      <c r="F828" s="1463"/>
      <c r="G828" s="1463"/>
      <c r="H828" s="1463"/>
      <c r="I828" s="60"/>
      <c r="J828" s="60"/>
      <c r="K828" s="60"/>
      <c r="L828" s="61"/>
      <c r="M828" s="1620"/>
      <c r="N828" s="1620"/>
      <c r="O828" s="1620"/>
      <c r="P828" s="1620"/>
      <c r="Q828" s="1620"/>
      <c r="R828" s="1620"/>
      <c r="S828" s="1620"/>
      <c r="T828" s="1620"/>
      <c r="U828" s="1620"/>
      <c r="V828" s="1620"/>
      <c r="W828" s="1620"/>
      <c r="X828" s="1620"/>
      <c r="Y828" s="1620"/>
      <c r="Z828" s="1620"/>
      <c r="AA828" s="1620"/>
      <c r="AB828" s="1620"/>
      <c r="AC828" s="1602"/>
      <c r="AD828" s="1603"/>
      <c r="AE828" s="1603"/>
      <c r="AF828" s="1604"/>
      <c r="AG828" s="1602"/>
      <c r="AH828" s="1603"/>
      <c r="AI828" s="1603"/>
      <c r="AJ828" s="1604"/>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62" t="s">
        <v>468</v>
      </c>
      <c r="D829" s="1463"/>
      <c r="E829" s="1463"/>
      <c r="F829" s="1463"/>
      <c r="G829" s="1463"/>
      <c r="H829" s="1463"/>
      <c r="I829" s="60"/>
      <c r="J829" s="60"/>
      <c r="K829" s="60"/>
      <c r="L829" s="61"/>
      <c r="M829" s="1620"/>
      <c r="N829" s="1620"/>
      <c r="O829" s="1620"/>
      <c r="P829" s="1620"/>
      <c r="Q829" s="1620"/>
      <c r="R829" s="1620"/>
      <c r="S829" s="1620"/>
      <c r="T829" s="1620"/>
      <c r="U829" s="1620"/>
      <c r="V829" s="1620"/>
      <c r="W829" s="1620"/>
      <c r="X829" s="1620"/>
      <c r="Y829" s="1620"/>
      <c r="Z829" s="1620"/>
      <c r="AA829" s="1620"/>
      <c r="AB829" s="1620"/>
      <c r="AC829" s="1602"/>
      <c r="AD829" s="1603"/>
      <c r="AE829" s="1603"/>
      <c r="AF829" s="1604"/>
      <c r="AG829" s="1602"/>
      <c r="AH829" s="1603"/>
      <c r="AI829" s="1603"/>
      <c r="AJ829" s="1604"/>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61" t="s">
        <v>793</v>
      </c>
      <c r="D830" s="1463"/>
      <c r="E830" s="1463"/>
      <c r="F830" s="1463"/>
      <c r="G830" s="1463"/>
      <c r="H830" s="1463"/>
      <c r="I830" s="60"/>
      <c r="J830" s="60"/>
      <c r="K830" s="60"/>
      <c r="L830" s="61"/>
      <c r="M830" s="1620"/>
      <c r="N830" s="1620"/>
      <c r="O830" s="1620"/>
      <c r="P830" s="1620"/>
      <c r="Q830" s="1620"/>
      <c r="R830" s="1620"/>
      <c r="S830" s="1620"/>
      <c r="T830" s="1620"/>
      <c r="U830" s="1620"/>
      <c r="V830" s="1620"/>
      <c r="W830" s="1620"/>
      <c r="X830" s="1620"/>
      <c r="Y830" s="1620"/>
      <c r="Z830" s="1620"/>
      <c r="AA830" s="1620"/>
      <c r="AB830" s="1620"/>
      <c r="AC830" s="1602"/>
      <c r="AD830" s="1603"/>
      <c r="AE830" s="1603"/>
      <c r="AF830" s="1604"/>
      <c r="AG830" s="1602"/>
      <c r="AH830" s="1603"/>
      <c r="AI830" s="1603"/>
      <c r="AJ830" s="1604"/>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32" t="s">
        <v>2760</v>
      </c>
      <c r="G831" s="1633"/>
      <c r="H831" s="1633"/>
      <c r="I831" s="1633"/>
      <c r="J831" s="1633"/>
      <c r="K831" s="1633"/>
      <c r="L831" s="1633"/>
      <c r="M831" s="1620">
        <v>69</v>
      </c>
      <c r="N831" s="1620"/>
      <c r="O831" s="1620"/>
      <c r="P831" s="1620"/>
      <c r="Q831" s="1620">
        <v>57</v>
      </c>
      <c r="R831" s="1620"/>
      <c r="S831" s="1620"/>
      <c r="T831" s="1620"/>
      <c r="U831" s="1620">
        <v>74</v>
      </c>
      <c r="V831" s="1620"/>
      <c r="W831" s="1620"/>
      <c r="X831" s="1620"/>
      <c r="Y831" s="1620">
        <v>111</v>
      </c>
      <c r="Z831" s="1620"/>
      <c r="AA831" s="1620"/>
      <c r="AB831" s="1620"/>
      <c r="AC831" s="1602">
        <v>178</v>
      </c>
      <c r="AD831" s="1603"/>
      <c r="AE831" s="1603"/>
      <c r="AF831" s="1604"/>
      <c r="AG831" s="1602"/>
      <c r="AH831" s="1603"/>
      <c r="AI831" s="1603"/>
      <c r="AJ831" s="1604"/>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98" t="s">
        <v>124</v>
      </c>
      <c r="D832" s="1499"/>
      <c r="E832" s="1499"/>
      <c r="F832" s="1499"/>
      <c r="G832" s="1499"/>
      <c r="H832" s="1499"/>
      <c r="I832" s="1499"/>
      <c r="J832" s="1499"/>
      <c r="K832" s="1499"/>
      <c r="L832" s="1501"/>
      <c r="M832" s="1654">
        <f>SUM(M825:P831)</f>
        <v>69</v>
      </c>
      <c r="N832" s="1654"/>
      <c r="O832" s="1654"/>
      <c r="P832" s="1654"/>
      <c r="Q832" s="1654">
        <f>SUM(Q825:T831)</f>
        <v>57</v>
      </c>
      <c r="R832" s="1654"/>
      <c r="S832" s="1654"/>
      <c r="T832" s="1654"/>
      <c r="U832" s="1654">
        <f>SUM(U825:X831)</f>
        <v>74</v>
      </c>
      <c r="V832" s="1654"/>
      <c r="W832" s="1654"/>
      <c r="X832" s="1654"/>
      <c r="Y832" s="1654">
        <f>SUM(Y825:AB831)</f>
        <v>111</v>
      </c>
      <c r="Z832" s="1654"/>
      <c r="AA832" s="1654"/>
      <c r="AB832" s="1654"/>
      <c r="AC832" s="1654">
        <f>SUM(AC825:AF831)</f>
        <v>178</v>
      </c>
      <c r="AD832" s="1654"/>
      <c r="AE832" s="1654"/>
      <c r="AF832" s="1654"/>
      <c r="AG832" s="1654">
        <f>SUM(AG825:AJ831)</f>
        <v>0</v>
      </c>
      <c r="AH832" s="1654"/>
      <c r="AI832" s="1654"/>
      <c r="AJ832" s="1654"/>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01" t="s">
        <v>2725</v>
      </c>
      <c r="D837" s="1702"/>
      <c r="E837" s="1702"/>
      <c r="F837" s="1702"/>
      <c r="G837" s="1702"/>
      <c r="H837" s="1702"/>
      <c r="I837" s="1702"/>
      <c r="J837" s="1702"/>
      <c r="K837" s="1702"/>
      <c r="L837" s="1702"/>
      <c r="M837" s="1702"/>
      <c r="N837" s="1702"/>
      <c r="O837" s="1702"/>
      <c r="P837" s="1702"/>
      <c r="Q837" s="1702"/>
      <c r="R837" s="1702"/>
      <c r="S837" s="1702"/>
      <c r="T837" s="1702"/>
      <c r="U837" s="1702"/>
      <c r="V837" s="1702"/>
      <c r="W837" s="1702"/>
      <c r="X837" s="1702"/>
      <c r="Y837" s="1702"/>
      <c r="Z837" s="1702"/>
      <c r="AA837" s="1702"/>
      <c r="AB837" s="1702"/>
      <c r="AC837" s="1702"/>
      <c r="AD837" s="1702"/>
      <c r="AE837" s="1702"/>
      <c r="AF837" s="1702"/>
      <c r="AG837" s="1702"/>
      <c r="AH837" s="1702"/>
      <c r="AI837" s="1702"/>
      <c r="AJ837" s="1703"/>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7">
        <f>ROUNDDOWN(BC939*2,2)</f>
        <v>0</v>
      </c>
      <c r="BJ841" s="1647"/>
      <c r="BK841" s="1647"/>
      <c r="BL841" s="1647"/>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28">
        <v>5400</v>
      </c>
      <c r="X842" s="1628"/>
      <c r="Y842" s="1628"/>
      <c r="Z842" s="1628"/>
      <c r="AA842" s="1628"/>
      <c r="AB842" s="1628"/>
      <c r="AC842" s="1628"/>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28">
        <v>2385</v>
      </c>
      <c r="X843" s="1628"/>
      <c r="Y843" s="1628"/>
      <c r="Z843" s="1628"/>
      <c r="AA843" s="1628"/>
      <c r="AB843" s="1628"/>
      <c r="AC843" s="1628"/>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28">
        <v>21612</v>
      </c>
      <c r="X844" s="1628"/>
      <c r="Y844" s="1628"/>
      <c r="Z844" s="1628"/>
      <c r="AA844" s="1628"/>
      <c r="AB844" s="1628"/>
      <c r="AC844" s="1628"/>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28">
        <v>40841</v>
      </c>
      <c r="X845" s="1628"/>
      <c r="Y845" s="1628"/>
      <c r="Z845" s="1628"/>
      <c r="AA845" s="1628"/>
      <c r="AB845" s="1628"/>
      <c r="AC845" s="1628"/>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32" t="s">
        <v>2733</v>
      </c>
      <c r="N846" s="1633"/>
      <c r="O846" s="1633"/>
      <c r="P846" s="1633"/>
      <c r="Q846" s="1633"/>
      <c r="R846" s="1633"/>
      <c r="S846" s="1633"/>
      <c r="T846" s="1633"/>
      <c r="U846" s="1633"/>
      <c r="V846" s="1634"/>
      <c r="W846" s="1628">
        <v>24660</v>
      </c>
      <c r="X846" s="1628"/>
      <c r="Y846" s="1628"/>
      <c r="Z846" s="1628"/>
      <c r="AA846" s="1628"/>
      <c r="AB846" s="1628"/>
      <c r="AC846" s="1628"/>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16">
        <f>SUM(W842:AC846)</f>
        <v>94898</v>
      </c>
      <c r="X847" s="1617"/>
      <c r="Y847" s="1617"/>
      <c r="Z847" s="1617"/>
      <c r="AA847" s="1617"/>
      <c r="AB847" s="1617"/>
      <c r="AC847" s="1618"/>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50"/>
      <c r="BH848" s="1650"/>
      <c r="BI848" s="1650"/>
      <c r="BJ848" s="1650"/>
      <c r="BK848" s="1650"/>
      <c r="BL848" s="1650"/>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98" t="s">
        <v>346</v>
      </c>
      <c r="K849" s="1499"/>
      <c r="L849" s="1499"/>
      <c r="M849" s="1499"/>
      <c r="N849" s="1499"/>
      <c r="O849" s="1499"/>
      <c r="P849" s="1499"/>
      <c r="Q849" s="1499"/>
      <c r="R849" s="1499"/>
      <c r="S849" s="1499"/>
      <c r="T849" s="1499"/>
      <c r="U849" s="1499"/>
      <c r="V849" s="1501"/>
      <c r="W849" s="1523">
        <v>86268</v>
      </c>
      <c r="X849" s="1524"/>
      <c r="Y849" s="1524"/>
      <c r="Z849" s="1524"/>
      <c r="AA849" s="1524"/>
      <c r="AB849" s="1524"/>
      <c r="AC849" s="1525"/>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21"/>
      <c r="X851" s="1621"/>
      <c r="Y851" s="1621"/>
      <c r="Z851" s="1621"/>
      <c r="AA851" s="1621"/>
      <c r="AB851" s="1621"/>
      <c r="AC851" s="1621"/>
      <c r="AZ851" s="1658">
        <f>SUM(AZ818:AZ846)</f>
        <v>0</v>
      </c>
      <c r="BA851" s="1658"/>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21">
        <v>66693</v>
      </c>
      <c r="X852" s="1621"/>
      <c r="Y852" s="1621"/>
      <c r="Z852" s="1621"/>
      <c r="AA852" s="1621"/>
      <c r="AB852" s="1621"/>
      <c r="AC852" s="1621"/>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21">
        <v>22187</v>
      </c>
      <c r="X853" s="1621"/>
      <c r="Y853" s="1621"/>
      <c r="Z853" s="1621"/>
      <c r="AA853" s="1621"/>
      <c r="AB853" s="1621"/>
      <c r="AC853" s="1621"/>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21">
        <v>101167</v>
      </c>
      <c r="X854" s="1621"/>
      <c r="Y854" s="1621"/>
      <c r="Z854" s="1621"/>
      <c r="AA854" s="1621"/>
      <c r="AB854" s="1621"/>
      <c r="AC854" s="1621"/>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17">
        <f>SUM(W851:AC854)</f>
        <v>190047</v>
      </c>
      <c r="X855" s="1717"/>
      <c r="Y855" s="1717"/>
      <c r="Z855" s="1717"/>
      <c r="AA855" s="1717"/>
      <c r="AB855" s="1717"/>
      <c r="AC855" s="1717"/>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55">
        <f>110090+56127</f>
        <v>166217</v>
      </c>
      <c r="X857" s="1656"/>
      <c r="Y857" s="1656"/>
      <c r="Z857" s="1656"/>
      <c r="AA857" s="1656"/>
      <c r="AB857" s="1656"/>
      <c r="AC857" s="1657"/>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635"/>
      <c r="U858" s="1590"/>
      <c r="V858" s="1636"/>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55">
        <v>113626</v>
      </c>
      <c r="X859" s="1656"/>
      <c r="Y859" s="1656"/>
      <c r="Z859" s="1656"/>
      <c r="AA859" s="1656"/>
      <c r="AB859" s="1656"/>
      <c r="AC859" s="1657"/>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35"/>
      <c r="U860" s="1590"/>
      <c r="V860" s="1636"/>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32" t="s">
        <v>2734</v>
      </c>
      <c r="N861" s="1633"/>
      <c r="O861" s="1633"/>
      <c r="P861" s="1633"/>
      <c r="Q861" s="1633"/>
      <c r="R861" s="1633"/>
      <c r="S861" s="1633"/>
      <c r="T861" s="1633"/>
      <c r="U861" s="1633"/>
      <c r="V861" s="1634"/>
      <c r="W861" s="1655">
        <f>15573+7038+5000</f>
        <v>27611</v>
      </c>
      <c r="X861" s="1656"/>
      <c r="Y861" s="1656"/>
      <c r="Z861" s="1656"/>
      <c r="AA861" s="1656"/>
      <c r="AB861" s="1656"/>
      <c r="AC861" s="1657"/>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37">
        <f>SUM(W857:AC861)</f>
        <v>307454</v>
      </c>
      <c r="X862" s="1638"/>
      <c r="Y862" s="1638"/>
      <c r="Z862" s="1638"/>
      <c r="AA862" s="1638"/>
      <c r="AB862" s="1638"/>
      <c r="AC862" s="1639"/>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55">
        <v>62209</v>
      </c>
      <c r="X863" s="1656"/>
      <c r="Y863" s="1656"/>
      <c r="Z863" s="1656"/>
      <c r="AA863" s="1656"/>
      <c r="AB863" s="1656"/>
      <c r="AC863" s="1657"/>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28">
        <v>19307</v>
      </c>
      <c r="X865" s="1628"/>
      <c r="Y865" s="1628"/>
      <c r="Z865" s="1628"/>
      <c r="AA865" s="1628"/>
      <c r="AB865" s="1628"/>
      <c r="AC865" s="162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28">
        <v>34049</v>
      </c>
      <c r="X866" s="1628"/>
      <c r="Y866" s="1628"/>
      <c r="Z866" s="1628"/>
      <c r="AA866" s="1628"/>
      <c r="AB866" s="1628"/>
      <c r="AC866" s="162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28">
        <v>30488</v>
      </c>
      <c r="X867" s="1628"/>
      <c r="Y867" s="1628"/>
      <c r="Z867" s="1628"/>
      <c r="AA867" s="1628"/>
      <c r="AB867" s="1628"/>
      <c r="AC867" s="162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28"/>
      <c r="X868" s="1628"/>
      <c r="Y868" s="1628"/>
      <c r="Z868" s="1628"/>
      <c r="AA868" s="1628"/>
      <c r="AB868" s="1628"/>
      <c r="AC868" s="162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28"/>
      <c r="X869" s="1628"/>
      <c r="Y869" s="1628"/>
      <c r="Z869" s="1628"/>
      <c r="AA869" s="1628"/>
      <c r="AB869" s="1628"/>
      <c r="AC869" s="162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28"/>
      <c r="X870" s="1628"/>
      <c r="Y870" s="1628"/>
      <c r="Z870" s="1628"/>
      <c r="AA870" s="1628"/>
      <c r="AB870" s="1628"/>
      <c r="AC870" s="162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32" t="s">
        <v>2735</v>
      </c>
      <c r="N871" s="1633"/>
      <c r="O871" s="1633"/>
      <c r="P871" s="1633"/>
      <c r="Q871" s="1633"/>
      <c r="R871" s="1633"/>
      <c r="S871" s="1633"/>
      <c r="T871" s="1633"/>
      <c r="U871" s="1633"/>
      <c r="V871" s="1634"/>
      <c r="W871" s="1628"/>
      <c r="X871" s="1628"/>
      <c r="Y871" s="1628"/>
      <c r="Z871" s="1628"/>
      <c r="AA871" s="1628"/>
      <c r="AB871" s="1628"/>
      <c r="AC871" s="162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679">
        <f>SUM(W865:AC871)</f>
        <v>83844</v>
      </c>
      <c r="X872" s="1679"/>
      <c r="Y872" s="1679"/>
      <c r="Z872" s="1679"/>
      <c r="AA872" s="1679"/>
      <c r="AB872" s="1679"/>
      <c r="AC872" s="167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632" t="s">
        <v>2736</v>
      </c>
      <c r="N874" s="1633"/>
      <c r="O874" s="1633"/>
      <c r="P874" s="1633"/>
      <c r="Q874" s="1633"/>
      <c r="R874" s="1633"/>
      <c r="S874" s="1633"/>
      <c r="T874" s="1633"/>
      <c r="U874" s="1633"/>
      <c r="V874" s="1634"/>
      <c r="W874" s="1523">
        <v>17141</v>
      </c>
      <c r="X874" s="1524"/>
      <c r="Y874" s="1524"/>
      <c r="Z874" s="1524"/>
      <c r="AA874" s="1524"/>
      <c r="AB874" s="1524"/>
      <c r="AC874" s="152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632" t="s">
        <v>2737</v>
      </c>
      <c r="N875" s="1633"/>
      <c r="O875" s="1633"/>
      <c r="P875" s="1633"/>
      <c r="Q875" s="1633"/>
      <c r="R875" s="1633"/>
      <c r="S875" s="1633"/>
      <c r="T875" s="1633"/>
      <c r="U875" s="1633"/>
      <c r="V875" s="1634"/>
      <c r="W875" s="1523"/>
      <c r="X875" s="1524"/>
      <c r="Y875" s="1524"/>
      <c r="Z875" s="1524"/>
      <c r="AA875" s="1524"/>
      <c r="AB875" s="1524"/>
      <c r="AC875" s="152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32" t="s">
        <v>335</v>
      </c>
      <c r="N876" s="1633"/>
      <c r="O876" s="1633"/>
      <c r="P876" s="1633"/>
      <c r="Q876" s="1633"/>
      <c r="R876" s="1633"/>
      <c r="S876" s="1633"/>
      <c r="T876" s="1633"/>
      <c r="U876" s="1633"/>
      <c r="V876" s="1634"/>
      <c r="W876" s="1523"/>
      <c r="X876" s="1524"/>
      <c r="Y876" s="1524"/>
      <c r="Z876" s="1524"/>
      <c r="AA876" s="1524"/>
      <c r="AB876" s="1524"/>
      <c r="AC876" s="152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32" t="s">
        <v>335</v>
      </c>
      <c r="N877" s="1633"/>
      <c r="O877" s="1633"/>
      <c r="P877" s="1633"/>
      <c r="Q877" s="1633"/>
      <c r="R877" s="1633"/>
      <c r="S877" s="1633"/>
      <c r="T877" s="1633"/>
      <c r="U877" s="1633"/>
      <c r="V877" s="1634"/>
      <c r="W877" s="1523"/>
      <c r="X877" s="1524"/>
      <c r="Y877" s="1524"/>
      <c r="Z877" s="1524"/>
      <c r="AA877" s="1524"/>
      <c r="AB877" s="1524"/>
      <c r="AC877" s="152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32" t="s">
        <v>335</v>
      </c>
      <c r="N878" s="1633"/>
      <c r="O878" s="1633"/>
      <c r="P878" s="1633"/>
      <c r="Q878" s="1633"/>
      <c r="R878" s="1633"/>
      <c r="S878" s="1633"/>
      <c r="T878" s="1633"/>
      <c r="U878" s="1633"/>
      <c r="V878" s="1634"/>
      <c r="W878" s="1523"/>
      <c r="X878" s="1524"/>
      <c r="Y878" s="1524"/>
      <c r="Z878" s="1524"/>
      <c r="AA878" s="1524"/>
      <c r="AB878" s="1524"/>
      <c r="AC878" s="152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16">
        <f>SUM(W874:AC878)</f>
        <v>17141</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7">
        <f>W847+W855+W862+W863+W872+W879+W849</f>
        <v>841861</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18">
        <f>O797+O777+G753</f>
        <v>106</v>
      </c>
      <c r="AD884" s="1718"/>
      <c r="AE884" s="1718"/>
      <c r="AF884" s="1718"/>
      <c r="AG884" s="1718"/>
      <c r="AH884" s="171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25" t="s">
        <v>32</v>
      </c>
      <c r="F885" s="1725"/>
      <c r="G885" s="1725"/>
      <c r="H885" s="1725"/>
      <c r="I885" s="1725"/>
      <c r="J885" s="1725"/>
      <c r="K885" s="1725"/>
      <c r="L885" s="1725"/>
      <c r="M885" s="1725"/>
      <c r="N885" s="1725"/>
      <c r="O885" s="1725"/>
      <c r="P885" s="1725"/>
      <c r="Q885" s="1725"/>
      <c r="R885" s="1725"/>
      <c r="S885" s="1725"/>
      <c r="T885" s="1725"/>
      <c r="U885" s="1725"/>
      <c r="V885" s="1725"/>
      <c r="W885" s="1725"/>
      <c r="X885" s="1725"/>
      <c r="Y885" s="1725"/>
      <c r="Z885" s="1725"/>
      <c r="AA885" s="1725"/>
      <c r="AB885" s="1726"/>
      <c r="AC885" s="1679">
        <f>IF(ISERROR((ROUNDDOWN(AC883/AC884,0))),0,(ROUNDDOWN(AC883/AC884,0)))</f>
        <v>7942</v>
      </c>
      <c r="AD885" s="1679"/>
      <c r="AE885" s="1679"/>
      <c r="AF885" s="1679"/>
      <c r="AG885" s="1679"/>
      <c r="AH885" s="167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23">
        <f>'Sources and Uses Budget'!C75</f>
        <v>566610</v>
      </c>
      <c r="AD886" s="1624"/>
      <c r="AE886" s="1624"/>
      <c r="AF886" s="1624"/>
      <c r="AG886" s="1624"/>
      <c r="AH886" s="162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25"/>
      <c r="AD887" s="1628"/>
      <c r="AE887" s="1628"/>
      <c r="AF887" s="1628"/>
      <c r="AG887" s="1628"/>
      <c r="AH887" s="162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24">
        <v>35000</v>
      </c>
      <c r="AD888" s="1524"/>
      <c r="AE888" s="1524"/>
      <c r="AF888" s="1524"/>
      <c r="AG888" s="1524"/>
      <c r="AH888" s="152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24">
        <f>31800</f>
        <v>31800</v>
      </c>
      <c r="AD889" s="1524"/>
      <c r="AE889" s="1524"/>
      <c r="AF889" s="1524"/>
      <c r="AG889" s="1524"/>
      <c r="AH889" s="152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602"/>
      <c r="AD890" s="1603"/>
      <c r="AE890" s="1603"/>
      <c r="AF890" s="1603"/>
      <c r="AG890" s="1603"/>
      <c r="AH890" s="160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24">
        <f>4185+7500</f>
        <v>11685</v>
      </c>
      <c r="AD891" s="1524"/>
      <c r="AE891" s="1524"/>
      <c r="AF891" s="1524"/>
      <c r="AG891" s="1524"/>
      <c r="AH891" s="152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24"/>
      <c r="AD892" s="1524"/>
      <c r="AE892" s="1524"/>
      <c r="AF892" s="1524"/>
      <c r="AG892" s="1524"/>
      <c r="AH892" s="152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80" t="s">
        <v>2757</v>
      </c>
      <c r="D893" s="1681"/>
      <c r="E893" s="1681"/>
      <c r="F893" s="1681"/>
      <c r="G893" s="1681"/>
      <c r="H893" s="1681"/>
      <c r="I893" s="1681"/>
      <c r="J893" s="1681"/>
      <c r="K893" s="1681"/>
      <c r="L893" s="1681"/>
      <c r="M893" s="1681"/>
      <c r="N893" s="1681"/>
      <c r="O893" s="1681"/>
      <c r="P893" s="1681"/>
      <c r="Q893" s="1681"/>
      <c r="R893" s="1681"/>
      <c r="S893" s="1681"/>
      <c r="T893" s="1681"/>
      <c r="U893" s="1681"/>
      <c r="V893" s="1681"/>
      <c r="W893" s="1681"/>
      <c r="X893" s="1681"/>
      <c r="Y893" s="1681"/>
      <c r="Z893" s="1681"/>
      <c r="AA893" s="1681"/>
      <c r="AB893" s="1682"/>
      <c r="AC893" s="1628">
        <v>25000</v>
      </c>
      <c r="AD893" s="1628"/>
      <c r="AE893" s="1628"/>
      <c r="AF893" s="1628"/>
      <c r="AG893" s="1628"/>
      <c r="AH893" s="162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80" t="s">
        <v>976</v>
      </c>
      <c r="D894" s="1681"/>
      <c r="E894" s="1681"/>
      <c r="F894" s="1681"/>
      <c r="G894" s="1681"/>
      <c r="H894" s="1681"/>
      <c r="I894" s="1681"/>
      <c r="J894" s="1681"/>
      <c r="K894" s="1681"/>
      <c r="L894" s="1681"/>
      <c r="M894" s="1681"/>
      <c r="N894" s="1681"/>
      <c r="O894" s="1681"/>
      <c r="P894" s="1681"/>
      <c r="Q894" s="1681"/>
      <c r="R894" s="1681"/>
      <c r="S894" s="1681"/>
      <c r="T894" s="1681"/>
      <c r="U894" s="1681"/>
      <c r="V894" s="1681"/>
      <c r="W894" s="1681"/>
      <c r="X894" s="1681"/>
      <c r="Y894" s="1681"/>
      <c r="Z894" s="1681"/>
      <c r="AA894" s="1681"/>
      <c r="AB894" s="1682"/>
      <c r="AC894" s="1628"/>
      <c r="AD894" s="1628"/>
      <c r="AE894" s="1628"/>
      <c r="AF894" s="1628"/>
      <c r="AG894" s="1628"/>
      <c r="AH894" s="162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23"/>
      <c r="AA898" s="1524"/>
      <c r="AB898" s="1524"/>
      <c r="AC898" s="1524"/>
      <c r="AD898" s="1524"/>
      <c r="AE898" s="1525"/>
      <c r="AF898" s="567"/>
      <c r="AZ898" s="34"/>
      <c r="BB898" s="30"/>
      <c r="BC898" s="850"/>
      <c r="BD898" s="1649"/>
      <c r="BE898" s="164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23"/>
      <c r="AA899" s="1524"/>
      <c r="AB899" s="1524"/>
      <c r="AC899" s="1524"/>
      <c r="AD899" s="1524"/>
      <c r="AE899" s="1525"/>
      <c r="AZ899" s="34"/>
      <c r="BB899" s="30"/>
      <c r="BC899" s="850"/>
      <c r="BD899" s="1649"/>
      <c r="BE899" s="164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23"/>
      <c r="AA900" s="1524"/>
      <c r="AB900" s="1524"/>
      <c r="AC900" s="1524"/>
      <c r="AD900" s="1524"/>
      <c r="AE900" s="1525"/>
      <c r="AZ900" s="34"/>
      <c r="BB900" s="30"/>
      <c r="BC900" s="850"/>
      <c r="BD900" s="1650"/>
      <c r="BE900" s="165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16">
        <f>Z898-(Z899+Z900)</f>
        <v>0</v>
      </c>
      <c r="AA901" s="1617"/>
      <c r="AB901" s="1617"/>
      <c r="AC901" s="1617"/>
      <c r="AD901" s="1617"/>
      <c r="AE901" s="1618"/>
      <c r="AZ901" s="34"/>
      <c r="BB901" s="30"/>
      <c r="BC901" s="850"/>
      <c r="BD901" s="1650"/>
      <c r="BE901" s="165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0"/>
      <c r="BE902" s="165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9"/>
      <c r="BE903" s="165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8"/>
      <c r="BE904" s="1648"/>
      <c r="BF904" s="164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7"/>
      <c r="BE905" s="1647"/>
      <c r="BF905" s="164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0"/>
      <c r="BE906" s="165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9"/>
      <c r="BE907" s="165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73" t="s">
        <v>96</v>
      </c>
      <c r="B909" s="1473"/>
      <c r="C909" s="1473"/>
      <c r="D909" s="1473"/>
      <c r="E909" s="1473"/>
      <c r="F909" s="1473"/>
      <c r="G909" s="1473"/>
      <c r="H909" s="1473"/>
      <c r="I909" s="1473"/>
      <c r="J909" s="1473"/>
      <c r="K909" s="1473"/>
      <c r="L909" s="1473"/>
      <c r="M909" s="1473"/>
      <c r="N909" s="1473"/>
      <c r="O909" s="1473"/>
      <c r="P909" s="1473"/>
      <c r="Q909" s="1473"/>
      <c r="R909" s="1473"/>
      <c r="S909" s="1473"/>
      <c r="T909" s="1473"/>
      <c r="U909" s="1473"/>
      <c r="V909" s="1473"/>
      <c r="W909" s="1473"/>
      <c r="X909" s="1473"/>
      <c r="Y909" s="1473"/>
      <c r="Z909" s="1473"/>
      <c r="AA909" s="1473"/>
      <c r="AB909" s="1473"/>
      <c r="AC909" s="1473"/>
      <c r="AD909" s="1473"/>
      <c r="AE909" s="1473"/>
      <c r="AF909" s="1473"/>
      <c r="AG909" s="1473"/>
      <c r="AH909" s="1473"/>
      <c r="AI909" s="1473"/>
      <c r="AJ909" s="1473"/>
      <c r="AK909" s="1473"/>
      <c r="AL909" s="1473"/>
      <c r="AM909" s="1473"/>
      <c r="AN909" s="1473"/>
      <c r="AO909" s="1473"/>
      <c r="AP909" s="1473"/>
      <c r="AQ909" s="1473"/>
      <c r="AR909" s="1473"/>
      <c r="AS909" s="1473"/>
      <c r="AT909" s="1473"/>
      <c r="AZ909" s="34"/>
      <c r="BA909" s="34"/>
      <c r="BB909" s="30"/>
      <c r="BC909" s="30"/>
      <c r="BD909" s="1649"/>
      <c r="BE909" s="165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73"/>
      <c r="B910" s="1473"/>
      <c r="C910" s="1473"/>
      <c r="D910" s="1473"/>
      <c r="E910" s="1473"/>
      <c r="F910" s="1473"/>
      <c r="G910" s="1473"/>
      <c r="H910" s="1473"/>
      <c r="I910" s="1473"/>
      <c r="J910" s="1473"/>
      <c r="K910" s="1473"/>
      <c r="L910" s="1473"/>
      <c r="M910" s="1473"/>
      <c r="N910" s="1473"/>
      <c r="O910" s="1473"/>
      <c r="P910" s="1473"/>
      <c r="Q910" s="1473"/>
      <c r="R910" s="1473"/>
      <c r="S910" s="1473"/>
      <c r="T910" s="1473"/>
      <c r="U910" s="1473"/>
      <c r="V910" s="1473"/>
      <c r="W910" s="1473"/>
      <c r="X910" s="1473"/>
      <c r="Y910" s="1473"/>
      <c r="Z910" s="1473"/>
      <c r="AA910" s="1473"/>
      <c r="AB910" s="1473"/>
      <c r="AC910" s="1473"/>
      <c r="AD910" s="1473"/>
      <c r="AE910" s="1473"/>
      <c r="AF910" s="1473"/>
      <c r="AG910" s="1473"/>
      <c r="AH910" s="1473"/>
      <c r="AI910" s="1473"/>
      <c r="AJ910" s="1473"/>
      <c r="AK910" s="1473"/>
      <c r="AL910" s="1473"/>
      <c r="AM910" s="1473"/>
      <c r="AN910" s="1473"/>
      <c r="AO910" s="1473"/>
      <c r="AP910" s="1473"/>
      <c r="AQ910" s="1473"/>
      <c r="AR910" s="1473"/>
      <c r="AS910" s="1473"/>
      <c r="AT910" s="1473"/>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7" t="s">
        <v>802</v>
      </c>
      <c r="G914" s="1828"/>
      <c r="H914" s="1828"/>
      <c r="I914" s="1828"/>
      <c r="J914" s="1828"/>
      <c r="K914" s="1828"/>
      <c r="L914" s="1828"/>
      <c r="M914" s="1828"/>
      <c r="N914" s="1828"/>
      <c r="O914" s="1828"/>
      <c r="P914" s="1828"/>
      <c r="Q914" s="1828"/>
      <c r="R914" s="1828"/>
      <c r="S914" s="1828"/>
      <c r="T914" s="1829"/>
      <c r="U914" s="1744" t="s">
        <v>31</v>
      </c>
      <c r="V914" s="1715"/>
      <c r="W914" s="1715"/>
      <c r="X914" s="1715"/>
      <c r="Y914" s="1715"/>
      <c r="Z914" s="171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86" t="s">
        <v>828</v>
      </c>
      <c r="G915" s="1687"/>
      <c r="H915" s="1687"/>
      <c r="I915" s="1687"/>
      <c r="J915" s="1687"/>
      <c r="K915" s="1687"/>
      <c r="L915" s="1687"/>
      <c r="M915" s="1687"/>
      <c r="N915" s="1687"/>
      <c r="O915" s="1687"/>
      <c r="P915" s="1687"/>
      <c r="Q915" s="1687"/>
      <c r="R915" s="1687"/>
      <c r="S915" s="1687"/>
      <c r="T915" s="1688"/>
      <c r="U915" s="1686"/>
      <c r="V915" s="1687"/>
      <c r="W915" s="1687"/>
      <c r="X915" s="1687"/>
      <c r="Y915" s="1687"/>
      <c r="Z915" s="1687"/>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89"/>
      <c r="G916" s="1690"/>
      <c r="H916" s="1690"/>
      <c r="I916" s="1690"/>
      <c r="J916" s="1690"/>
      <c r="K916" s="1690"/>
      <c r="L916" s="1690"/>
      <c r="M916" s="1690"/>
      <c r="N916" s="1690"/>
      <c r="O916" s="1690"/>
      <c r="P916" s="1690"/>
      <c r="Q916" s="1690"/>
      <c r="R916" s="1690"/>
      <c r="S916" s="1690"/>
      <c r="T916" s="1691"/>
      <c r="U916" s="1689"/>
      <c r="V916" s="1690"/>
      <c r="W916" s="1690"/>
      <c r="X916" s="1690"/>
      <c r="Y916" s="1690"/>
      <c r="Z916" s="1690"/>
      <c r="AA916" s="108"/>
      <c r="AB916" s="1453" t="s">
        <v>392</v>
      </c>
      <c r="AC916" s="1453"/>
      <c r="AD916" s="1453"/>
      <c r="AE916" s="1453"/>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27" t="s">
        <v>554</v>
      </c>
      <c r="V917" s="1395"/>
      <c r="W917" s="1395"/>
      <c r="X917" s="1395"/>
      <c r="Y917" s="1395"/>
      <c r="Z917" s="1396"/>
      <c r="AA917" s="1625">
        <f>AM554</f>
        <v>22831177</v>
      </c>
      <c r="AB917" s="1545"/>
      <c r="AC917" s="1545"/>
      <c r="AD917" s="1545"/>
      <c r="AE917" s="1545"/>
      <c r="AF917" s="162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27" t="s">
        <v>600</v>
      </c>
      <c r="V918" s="1395"/>
      <c r="W918" s="1395"/>
      <c r="X918" s="1395"/>
      <c r="Y918" s="1395"/>
      <c r="Z918" s="1396"/>
      <c r="AA918" s="1625"/>
      <c r="AB918" s="1545"/>
      <c r="AC918" s="1545"/>
      <c r="AD918" s="1545"/>
      <c r="AE918" s="1545"/>
      <c r="AF918" s="162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27" t="s">
        <v>600</v>
      </c>
      <c r="V919" s="1395"/>
      <c r="W919" s="1395"/>
      <c r="X919" s="1395"/>
      <c r="Y919" s="1395"/>
      <c r="Z919" s="1396"/>
      <c r="AA919" s="1625"/>
      <c r="AB919" s="1545"/>
      <c r="AC919" s="1545"/>
      <c r="AD919" s="1545"/>
      <c r="AE919" s="1545"/>
      <c r="AF919" s="162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27" t="s">
        <v>600</v>
      </c>
      <c r="V920" s="1395"/>
      <c r="W920" s="1395"/>
      <c r="X920" s="1395"/>
      <c r="Y920" s="1395"/>
      <c r="Z920" s="1396"/>
      <c r="AA920" s="1625"/>
      <c r="AB920" s="1545"/>
      <c r="AC920" s="1545"/>
      <c r="AD920" s="1545"/>
      <c r="AE920" s="1545"/>
      <c r="AF920" s="162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27" t="s">
        <v>600</v>
      </c>
      <c r="V921" s="1395"/>
      <c r="W921" s="1395"/>
      <c r="X921" s="1395"/>
      <c r="Y921" s="1395"/>
      <c r="Z921" s="1396"/>
      <c r="AA921" s="1625"/>
      <c r="AB921" s="1545"/>
      <c r="AC921" s="1545"/>
      <c r="AD921" s="1545"/>
      <c r="AE921" s="1545"/>
      <c r="AF921" s="162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27" t="s">
        <v>600</v>
      </c>
      <c r="V922" s="1395"/>
      <c r="W922" s="1395"/>
      <c r="X922" s="1395"/>
      <c r="Y922" s="1395"/>
      <c r="Z922" s="1396"/>
      <c r="AA922" s="1625"/>
      <c r="AB922" s="1545"/>
      <c r="AC922" s="1545"/>
      <c r="AD922" s="1545"/>
      <c r="AE922" s="1545"/>
      <c r="AF922" s="162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27" t="s">
        <v>600</v>
      </c>
      <c r="V923" s="1395"/>
      <c r="W923" s="1395"/>
      <c r="X923" s="1395"/>
      <c r="Y923" s="1395"/>
      <c r="Z923" s="1396"/>
      <c r="AA923" s="1625"/>
      <c r="AB923" s="1545"/>
      <c r="AC923" s="1545"/>
      <c r="AD923" s="1545"/>
      <c r="AE923" s="1545"/>
      <c r="AF923" s="162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27" t="s">
        <v>600</v>
      </c>
      <c r="V924" s="1395"/>
      <c r="W924" s="1395"/>
      <c r="X924" s="1395"/>
      <c r="Y924" s="1395"/>
      <c r="Z924" s="1396"/>
      <c r="AA924" s="1625"/>
      <c r="AB924" s="1545"/>
      <c r="AC924" s="1545"/>
      <c r="AD924" s="1545"/>
      <c r="AE924" s="1545"/>
      <c r="AF924" s="162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51" t="s">
        <v>2554</v>
      </c>
      <c r="G925" s="1652"/>
      <c r="H925" s="1652"/>
      <c r="I925" s="1652"/>
      <c r="J925" s="1652"/>
      <c r="K925" s="1652"/>
      <c r="L925" s="1652"/>
      <c r="M925" s="1652"/>
      <c r="N925" s="1652"/>
      <c r="O925" s="1652"/>
      <c r="P925" s="1652"/>
      <c r="Q925" s="1652"/>
      <c r="R925" s="1652"/>
      <c r="S925" s="1652"/>
      <c r="T925" s="1653"/>
      <c r="U925" s="1627" t="s">
        <v>600</v>
      </c>
      <c r="V925" s="1395"/>
      <c r="W925" s="1395"/>
      <c r="X925" s="1395"/>
      <c r="Y925" s="1395"/>
      <c r="Z925" s="1396"/>
      <c r="AA925" s="1625"/>
      <c r="AB925" s="1545"/>
      <c r="AC925" s="1545"/>
      <c r="AD925" s="1545"/>
      <c r="AE925" s="1545"/>
      <c r="AF925" s="162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51" t="s">
        <v>688</v>
      </c>
      <c r="G926" s="1652"/>
      <c r="H926" s="1652"/>
      <c r="I926" s="1652"/>
      <c r="J926" s="1652"/>
      <c r="K926" s="1652"/>
      <c r="L926" s="1652"/>
      <c r="M926" s="1652"/>
      <c r="N926" s="1652"/>
      <c r="O926" s="1652"/>
      <c r="P926" s="1652"/>
      <c r="Q926" s="1652"/>
      <c r="R926" s="1652"/>
      <c r="S926" s="1652"/>
      <c r="T926" s="1653"/>
      <c r="U926" s="1627" t="s">
        <v>600</v>
      </c>
      <c r="V926" s="1395"/>
      <c r="W926" s="1395"/>
      <c r="X926" s="1395"/>
      <c r="Y926" s="1395"/>
      <c r="Z926" s="1396"/>
      <c r="AA926" s="1625"/>
      <c r="AB926" s="1545"/>
      <c r="AC926" s="1545"/>
      <c r="AD926" s="1545"/>
      <c r="AE926" s="1545"/>
      <c r="AF926" s="162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51" t="s">
        <v>2555</v>
      </c>
      <c r="G927" s="1652"/>
      <c r="H927" s="1652"/>
      <c r="I927" s="1652"/>
      <c r="J927" s="1652"/>
      <c r="K927" s="1652"/>
      <c r="L927" s="1652"/>
      <c r="M927" s="1652"/>
      <c r="N927" s="1652"/>
      <c r="O927" s="1652"/>
      <c r="P927" s="1652"/>
      <c r="Q927" s="1652"/>
      <c r="R927" s="1652"/>
      <c r="S927" s="1652"/>
      <c r="T927" s="1653"/>
      <c r="U927" s="1627" t="s">
        <v>600</v>
      </c>
      <c r="V927" s="1395"/>
      <c r="W927" s="1395"/>
      <c r="X927" s="1395"/>
      <c r="Y927" s="1395"/>
      <c r="Z927" s="1396"/>
      <c r="AA927" s="1625"/>
      <c r="AB927" s="1545"/>
      <c r="AC927" s="1545"/>
      <c r="AD927" s="1545"/>
      <c r="AE927" s="1545"/>
      <c r="AF927" s="162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51" t="s">
        <v>2556</v>
      </c>
      <c r="G928" s="1652"/>
      <c r="H928" s="1652"/>
      <c r="I928" s="1652"/>
      <c r="J928" s="1652"/>
      <c r="K928" s="1652"/>
      <c r="L928" s="1652"/>
      <c r="M928" s="1652"/>
      <c r="N928" s="1652"/>
      <c r="O928" s="1652"/>
      <c r="P928" s="1652"/>
      <c r="Q928" s="1652"/>
      <c r="R928" s="1652"/>
      <c r="S928" s="1652"/>
      <c r="T928" s="1653"/>
      <c r="U928" s="1627" t="s">
        <v>600</v>
      </c>
      <c r="V928" s="1395"/>
      <c r="W928" s="1395"/>
      <c r="X928" s="1395"/>
      <c r="Y928" s="1395"/>
      <c r="Z928" s="1396"/>
      <c r="AA928" s="1625"/>
      <c r="AB928" s="1545"/>
      <c r="AC928" s="1545"/>
      <c r="AD928" s="1545"/>
      <c r="AE928" s="1545"/>
      <c r="AF928" s="162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51" t="s">
        <v>2557</v>
      </c>
      <c r="G929" s="1652"/>
      <c r="H929" s="1652"/>
      <c r="I929" s="1652"/>
      <c r="J929" s="1652"/>
      <c r="K929" s="1652"/>
      <c r="L929" s="1652"/>
      <c r="M929" s="1652"/>
      <c r="N929" s="1652"/>
      <c r="O929" s="1652"/>
      <c r="P929" s="1652"/>
      <c r="Q929" s="1652"/>
      <c r="R929" s="1652"/>
      <c r="S929" s="1652"/>
      <c r="T929" s="1653"/>
      <c r="U929" s="1627" t="s">
        <v>600</v>
      </c>
      <c r="V929" s="1395"/>
      <c r="W929" s="1395"/>
      <c r="X929" s="1395"/>
      <c r="Y929" s="1395"/>
      <c r="Z929" s="1396"/>
      <c r="AA929" s="1625"/>
      <c r="AB929" s="1545"/>
      <c r="AC929" s="1545"/>
      <c r="AD929" s="1545"/>
      <c r="AE929" s="1545"/>
      <c r="AF929" s="162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51" t="s">
        <v>2558</v>
      </c>
      <c r="G930" s="1652"/>
      <c r="H930" s="1652"/>
      <c r="I930" s="1652"/>
      <c r="J930" s="1652"/>
      <c r="K930" s="1652"/>
      <c r="L930" s="1652"/>
      <c r="M930" s="1652"/>
      <c r="N930" s="1652"/>
      <c r="O930" s="1652"/>
      <c r="P930" s="1652"/>
      <c r="Q930" s="1652"/>
      <c r="R930" s="1652"/>
      <c r="S930" s="1652"/>
      <c r="T930" s="1653"/>
      <c r="U930" s="1627" t="s">
        <v>600</v>
      </c>
      <c r="V930" s="1395"/>
      <c r="W930" s="1395"/>
      <c r="X930" s="1395"/>
      <c r="Y930" s="1395"/>
      <c r="Z930" s="1396"/>
      <c r="AA930" s="1625"/>
      <c r="AB930" s="1545"/>
      <c r="AC930" s="1545"/>
      <c r="AD930" s="1545"/>
      <c r="AE930" s="1545"/>
      <c r="AF930" s="162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51" t="s">
        <v>2559</v>
      </c>
      <c r="G931" s="1652"/>
      <c r="H931" s="1652"/>
      <c r="I931" s="1652"/>
      <c r="J931" s="1652"/>
      <c r="K931" s="1652"/>
      <c r="L931" s="1652"/>
      <c r="M931" s="1652"/>
      <c r="N931" s="1652"/>
      <c r="O931" s="1652"/>
      <c r="P931" s="1652"/>
      <c r="Q931" s="1652"/>
      <c r="R931" s="1652"/>
      <c r="S931" s="1652"/>
      <c r="T931" s="1653"/>
      <c r="U931" s="1627" t="s">
        <v>600</v>
      </c>
      <c r="V931" s="1395"/>
      <c r="W931" s="1395"/>
      <c r="X931" s="1395"/>
      <c r="Y931" s="1395"/>
      <c r="Z931" s="1396"/>
      <c r="AA931" s="1625"/>
      <c r="AB931" s="1545"/>
      <c r="AC931" s="1545"/>
      <c r="AD931" s="1545"/>
      <c r="AE931" s="1545"/>
      <c r="AF931" s="162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27" t="s">
        <v>600</v>
      </c>
      <c r="V932" s="1395"/>
      <c r="W932" s="1395"/>
      <c r="X932" s="1395"/>
      <c r="Y932" s="1395"/>
      <c r="Z932" s="1396"/>
      <c r="AA932" s="1625"/>
      <c r="AB932" s="1545"/>
      <c r="AC932" s="1545"/>
      <c r="AD932" s="1545"/>
      <c r="AE932" s="1545"/>
      <c r="AF932" s="162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27" t="s">
        <v>600</v>
      </c>
      <c r="V933" s="1395"/>
      <c r="W933" s="1395"/>
      <c r="X933" s="1395"/>
      <c r="Y933" s="1395"/>
      <c r="Z933" s="1396"/>
      <c r="AA933" s="1625"/>
      <c r="AB933" s="1545"/>
      <c r="AC933" s="1545"/>
      <c r="AD933" s="1545"/>
      <c r="AE933" s="1545"/>
      <c r="AF933" s="162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27" t="s">
        <v>600</v>
      </c>
      <c r="V934" s="1395"/>
      <c r="W934" s="1395"/>
      <c r="X934" s="1395"/>
      <c r="Y934" s="1395"/>
      <c r="Z934" s="1396"/>
      <c r="AA934" s="1625"/>
      <c r="AB934" s="1545"/>
      <c r="AC934" s="1545"/>
      <c r="AD934" s="1545"/>
      <c r="AE934" s="1545"/>
      <c r="AF934" s="162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44" t="s">
        <v>2563</v>
      </c>
      <c r="G935" s="1645"/>
      <c r="H935" s="1645"/>
      <c r="I935" s="1645"/>
      <c r="J935" s="1645"/>
      <c r="K935" s="1645"/>
      <c r="L935" s="1645"/>
      <c r="M935" s="1645"/>
      <c r="N935" s="1645"/>
      <c r="O935" s="1645"/>
      <c r="P935" s="1645"/>
      <c r="Q935" s="1645"/>
      <c r="R935" s="1645"/>
      <c r="S935" s="1645"/>
      <c r="T935" s="1646"/>
      <c r="U935" s="1627" t="s">
        <v>600</v>
      </c>
      <c r="V935" s="1395"/>
      <c r="W935" s="1395"/>
      <c r="X935" s="1395"/>
      <c r="Y935" s="1395"/>
      <c r="Z935" s="1396"/>
      <c r="AA935" s="1625"/>
      <c r="AB935" s="1545"/>
      <c r="AC935" s="1545"/>
      <c r="AD935" s="1545"/>
      <c r="AE935" s="1545"/>
      <c r="AF935" s="162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44" t="s">
        <v>2564</v>
      </c>
      <c r="G936" s="1645"/>
      <c r="H936" s="1645"/>
      <c r="I936" s="1645"/>
      <c r="J936" s="1645"/>
      <c r="K936" s="1645"/>
      <c r="L936" s="1645"/>
      <c r="M936" s="1645"/>
      <c r="N936" s="1645"/>
      <c r="O936" s="1645"/>
      <c r="P936" s="1645"/>
      <c r="Q936" s="1645"/>
      <c r="R936" s="1645"/>
      <c r="S936" s="1645"/>
      <c r="T936" s="1646"/>
      <c r="U936" s="1627" t="s">
        <v>600</v>
      </c>
      <c r="V936" s="1395"/>
      <c r="W936" s="1395"/>
      <c r="X936" s="1395"/>
      <c r="Y936" s="1395"/>
      <c r="Z936" s="1396"/>
      <c r="AA936" s="1625"/>
      <c r="AB936" s="1545"/>
      <c r="AC936" s="1545"/>
      <c r="AD936" s="1545"/>
      <c r="AE936" s="1545"/>
      <c r="AF936" s="162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51" t="s">
        <v>2560</v>
      </c>
      <c r="G937" s="1652"/>
      <c r="H937" s="1652"/>
      <c r="I937" s="1652"/>
      <c r="J937" s="1652"/>
      <c r="K937" s="1652"/>
      <c r="L937" s="1652"/>
      <c r="M937" s="1652"/>
      <c r="N937" s="1652"/>
      <c r="O937" s="1652"/>
      <c r="P937" s="1652"/>
      <c r="Q937" s="1652"/>
      <c r="R937" s="1652"/>
      <c r="S937" s="1652"/>
      <c r="T937" s="1653"/>
      <c r="U937" s="1627" t="s">
        <v>600</v>
      </c>
      <c r="V937" s="1395"/>
      <c r="W937" s="1395"/>
      <c r="X937" s="1395"/>
      <c r="Y937" s="1395"/>
      <c r="Z937" s="1396"/>
      <c r="AA937" s="1625"/>
      <c r="AB937" s="1545"/>
      <c r="AC937" s="1545"/>
      <c r="AD937" s="1545"/>
      <c r="AE937" s="1545"/>
      <c r="AF937" s="162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51" t="s">
        <v>2561</v>
      </c>
      <c r="G938" s="1652"/>
      <c r="H938" s="1652"/>
      <c r="I938" s="1652"/>
      <c r="J938" s="1652"/>
      <c r="K938" s="1652"/>
      <c r="L938" s="1652"/>
      <c r="M938" s="1652"/>
      <c r="N938" s="1652"/>
      <c r="O938" s="1652"/>
      <c r="P938" s="1652"/>
      <c r="Q938" s="1652"/>
      <c r="R938" s="1652"/>
      <c r="S938" s="1652"/>
      <c r="T938" s="1653"/>
      <c r="U938" s="1627" t="s">
        <v>600</v>
      </c>
      <c r="V938" s="1395"/>
      <c r="W938" s="1395"/>
      <c r="X938" s="1395"/>
      <c r="Y938" s="1395"/>
      <c r="Z938" s="1396"/>
      <c r="AA938" s="1625"/>
      <c r="AB938" s="1545"/>
      <c r="AC938" s="1545"/>
      <c r="AD938" s="1545"/>
      <c r="AE938" s="1545"/>
      <c r="AF938" s="162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51" t="s">
        <v>2562</v>
      </c>
      <c r="G939" s="1652"/>
      <c r="H939" s="1652"/>
      <c r="I939" s="1652"/>
      <c r="J939" s="1652"/>
      <c r="K939" s="1652"/>
      <c r="L939" s="1652"/>
      <c r="M939" s="1652"/>
      <c r="N939" s="1652"/>
      <c r="O939" s="1652"/>
      <c r="P939" s="1652"/>
      <c r="Q939" s="1652"/>
      <c r="R939" s="1652"/>
      <c r="S939" s="1652"/>
      <c r="T939" s="1653"/>
      <c r="U939" s="1627" t="s">
        <v>600</v>
      </c>
      <c r="V939" s="1395"/>
      <c r="W939" s="1395"/>
      <c r="X939" s="1395"/>
      <c r="Y939" s="1395"/>
      <c r="Z939" s="1396"/>
      <c r="AA939" s="1625"/>
      <c r="AB939" s="1545"/>
      <c r="AC939" s="1545"/>
      <c r="AD939" s="1545"/>
      <c r="AE939" s="1545"/>
      <c r="AF939" s="162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27" t="s">
        <v>600</v>
      </c>
      <c r="V940" s="1395"/>
      <c r="W940" s="1395"/>
      <c r="X940" s="1395"/>
      <c r="Y940" s="1395"/>
      <c r="Z940" s="1396"/>
      <c r="AA940" s="1625"/>
      <c r="AB940" s="1545"/>
      <c r="AC940" s="1545"/>
      <c r="AD940" s="1545"/>
      <c r="AE940" s="1545"/>
      <c r="AF940" s="162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44" t="s">
        <v>2565</v>
      </c>
      <c r="G941" s="1645"/>
      <c r="H941" s="1645"/>
      <c r="I941" s="1645"/>
      <c r="J941" s="1645"/>
      <c r="K941" s="1645"/>
      <c r="L941" s="1645"/>
      <c r="M941" s="1645"/>
      <c r="N941" s="1645"/>
      <c r="O941" s="1645"/>
      <c r="P941" s="1645"/>
      <c r="Q941" s="1645"/>
      <c r="R941" s="1645"/>
      <c r="S941" s="1645"/>
      <c r="T941" s="1646"/>
      <c r="U941" s="1627" t="s">
        <v>600</v>
      </c>
      <c r="V941" s="1395"/>
      <c r="W941" s="1395"/>
      <c r="X941" s="1395"/>
      <c r="Y941" s="1395"/>
      <c r="Z941" s="1396"/>
      <c r="AA941" s="1625"/>
      <c r="AB941" s="1545"/>
      <c r="AC941" s="1545"/>
      <c r="AD941" s="1545"/>
      <c r="AE941" s="1545"/>
      <c r="AF941" s="162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27" t="s">
        <v>600</v>
      </c>
      <c r="V942" s="1395"/>
      <c r="W942" s="1395"/>
      <c r="X942" s="1395"/>
      <c r="Y942" s="1395"/>
      <c r="Z942" s="1396"/>
      <c r="AA942" s="1625"/>
      <c r="AB942" s="1545"/>
      <c r="AC942" s="1545"/>
      <c r="AD942" s="1545"/>
      <c r="AE942" s="1545"/>
      <c r="AF942" s="162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44" t="s">
        <v>2566</v>
      </c>
      <c r="G943" s="1645"/>
      <c r="H943" s="1645"/>
      <c r="I943" s="1645"/>
      <c r="J943" s="1645"/>
      <c r="K943" s="1645"/>
      <c r="L943" s="1645"/>
      <c r="M943" s="1645"/>
      <c r="N943" s="1645"/>
      <c r="O943" s="1645"/>
      <c r="P943" s="1645"/>
      <c r="Q943" s="1645"/>
      <c r="R943" s="1645"/>
      <c r="S943" s="1645"/>
      <c r="T943" s="1646"/>
      <c r="U943" s="1627" t="s">
        <v>600</v>
      </c>
      <c r="V943" s="1395"/>
      <c r="W943" s="1395"/>
      <c r="X943" s="1395"/>
      <c r="Y943" s="1395"/>
      <c r="Z943" s="1396"/>
      <c r="AA943" s="1625"/>
      <c r="AB943" s="1545"/>
      <c r="AC943" s="1545"/>
      <c r="AD943" s="1545"/>
      <c r="AE943" s="1545"/>
      <c r="AF943" s="162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27" t="s">
        <v>678</v>
      </c>
      <c r="Q944" s="1395"/>
      <c r="R944" s="1395"/>
      <c r="S944" s="1395"/>
      <c r="T944" s="1396"/>
      <c r="U944" s="1627" t="s">
        <v>600</v>
      </c>
      <c r="V944" s="1395"/>
      <c r="W944" s="1395"/>
      <c r="X944" s="1395"/>
      <c r="Y944" s="1395"/>
      <c r="Z944" s="1396"/>
      <c r="AA944" s="1625"/>
      <c r="AB944" s="1545"/>
      <c r="AC944" s="1545"/>
      <c r="AD944" s="1545"/>
      <c r="AE944" s="1545"/>
      <c r="AF944" s="162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51" t="s">
        <v>2553</v>
      </c>
      <c r="G945" s="1652"/>
      <c r="H945" s="1653"/>
      <c r="I945" s="1632" t="s">
        <v>335</v>
      </c>
      <c r="J945" s="1633"/>
      <c r="K945" s="1633"/>
      <c r="L945" s="1633"/>
      <c r="M945" s="1633"/>
      <c r="N945" s="1633"/>
      <c r="O945" s="1633"/>
      <c r="P945" s="1633"/>
      <c r="Q945" s="1633"/>
      <c r="R945" s="1633"/>
      <c r="S945" s="1633"/>
      <c r="T945" s="1634"/>
      <c r="U945" s="1627" t="s">
        <v>600</v>
      </c>
      <c r="V945" s="1395"/>
      <c r="W945" s="1395"/>
      <c r="X945" s="1395"/>
      <c r="Y945" s="1395"/>
      <c r="Z945" s="1396"/>
      <c r="AA945" s="1625"/>
      <c r="AB945" s="1545"/>
      <c r="AC945" s="1545"/>
      <c r="AD945" s="1545"/>
      <c r="AE945" s="1545"/>
      <c r="AF945" s="162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32" t="s">
        <v>335</v>
      </c>
      <c r="J946" s="1633"/>
      <c r="K946" s="1633"/>
      <c r="L946" s="1633"/>
      <c r="M946" s="1633"/>
      <c r="N946" s="1633"/>
      <c r="O946" s="1633"/>
      <c r="P946" s="1633"/>
      <c r="Q946" s="1633"/>
      <c r="R946" s="1633"/>
      <c r="S946" s="1633"/>
      <c r="T946" s="1634"/>
      <c r="U946" s="1627" t="s">
        <v>600</v>
      </c>
      <c r="V946" s="1395"/>
      <c r="W946" s="1395"/>
      <c r="X946" s="1395"/>
      <c r="Y946" s="1395"/>
      <c r="Z946" s="1396"/>
      <c r="AA946" s="1625"/>
      <c r="AB946" s="1545"/>
      <c r="AC946" s="1545"/>
      <c r="AD946" s="1545"/>
      <c r="AE946" s="1545"/>
      <c r="AF946" s="162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59" t="s">
        <v>335</v>
      </c>
      <c r="J947" s="1660"/>
      <c r="K947" s="1660"/>
      <c r="L947" s="1660"/>
      <c r="M947" s="1660"/>
      <c r="N947" s="1660"/>
      <c r="O947" s="1660"/>
      <c r="P947" s="1660"/>
      <c r="Q947" s="1660"/>
      <c r="R947" s="1660"/>
      <c r="S947" s="1660"/>
      <c r="T947" s="1661"/>
      <c r="U947" s="1627" t="s">
        <v>600</v>
      </c>
      <c r="V947" s="1395"/>
      <c r="W947" s="1395"/>
      <c r="X947" s="1395"/>
      <c r="Y947" s="1395"/>
      <c r="Z947" s="1396"/>
      <c r="AA947" s="1625"/>
      <c r="AB947" s="1545"/>
      <c r="AC947" s="1545"/>
      <c r="AD947" s="1545"/>
      <c r="AE947" s="1545"/>
      <c r="AF947" s="162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59" t="s">
        <v>335</v>
      </c>
      <c r="J948" s="1660"/>
      <c r="K948" s="1660"/>
      <c r="L948" s="1660"/>
      <c r="M948" s="1660"/>
      <c r="N948" s="1660"/>
      <c r="O948" s="1660"/>
      <c r="P948" s="1660"/>
      <c r="Q948" s="1660"/>
      <c r="R948" s="1660"/>
      <c r="S948" s="1660"/>
      <c r="T948" s="1661"/>
      <c r="U948" s="1627" t="s">
        <v>600</v>
      </c>
      <c r="V948" s="1395"/>
      <c r="W948" s="1395"/>
      <c r="X948" s="1395"/>
      <c r="Y948" s="1395"/>
      <c r="Z948" s="1396"/>
      <c r="AA948" s="1625"/>
      <c r="AB948" s="1545"/>
      <c r="AC948" s="1545"/>
      <c r="AD948" s="1545"/>
      <c r="AE948" s="1545"/>
      <c r="AF948" s="162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59" t="s">
        <v>335</v>
      </c>
      <c r="J949" s="1660"/>
      <c r="K949" s="1660"/>
      <c r="L949" s="1660"/>
      <c r="M949" s="1660"/>
      <c r="N949" s="1660"/>
      <c r="O949" s="1660"/>
      <c r="P949" s="1660"/>
      <c r="Q949" s="1660"/>
      <c r="R949" s="1660"/>
      <c r="S949" s="1660"/>
      <c r="T949" s="1661"/>
      <c r="U949" s="1627" t="s">
        <v>600</v>
      </c>
      <c r="V949" s="1395"/>
      <c r="W949" s="1395"/>
      <c r="X949" s="1395"/>
      <c r="Y949" s="1395"/>
      <c r="Z949" s="1396"/>
      <c r="AA949" s="1625"/>
      <c r="AB949" s="1545"/>
      <c r="AC949" s="1545"/>
      <c r="AD949" s="1545"/>
      <c r="AE949" s="1545"/>
      <c r="AF949" s="162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62">
        <v>45065</v>
      </c>
      <c r="N954" s="1641"/>
      <c r="O954" s="1641"/>
      <c r="P954" s="1641"/>
      <c r="Q954" s="1641"/>
      <c r="R954" s="1641"/>
      <c r="S954" s="1642"/>
      <c r="U954" s="66" t="s">
        <v>11</v>
      </c>
      <c r="V954" s="5"/>
      <c r="W954" s="5"/>
      <c r="X954" s="5"/>
      <c r="Y954" s="5"/>
      <c r="Z954" s="5"/>
      <c r="AA954" s="5"/>
      <c r="AB954" s="5"/>
      <c r="AC954" s="5"/>
      <c r="AD954" s="46"/>
      <c r="AE954" s="1662"/>
      <c r="AF954" s="1641"/>
      <c r="AG954" s="1641"/>
      <c r="AH954" s="1641"/>
      <c r="AI954" s="1641"/>
      <c r="AJ954" s="1641"/>
      <c r="AK954" s="1642"/>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33" t="s">
        <v>2725</v>
      </c>
      <c r="N955" s="1559"/>
      <c r="O955" s="1559"/>
      <c r="P955" s="1559"/>
      <c r="Q955" s="1559"/>
      <c r="R955" s="1559"/>
      <c r="S955" s="1734"/>
      <c r="U955" s="66" t="s">
        <v>12</v>
      </c>
      <c r="V955" s="5"/>
      <c r="W955" s="5"/>
      <c r="X955" s="5"/>
      <c r="Y955" s="5"/>
      <c r="Z955" s="5"/>
      <c r="AA955" s="5"/>
      <c r="AB955" s="5"/>
      <c r="AC955" s="5"/>
      <c r="AD955" s="46"/>
      <c r="AE955" s="1733"/>
      <c r="AF955" s="1559"/>
      <c r="AG955" s="1559"/>
      <c r="AH955" s="1559"/>
      <c r="AI955" s="1559"/>
      <c r="AJ955" s="1559"/>
      <c r="AK955" s="173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722" t="s">
        <v>2754</v>
      </c>
      <c r="K956" s="1723"/>
      <c r="L956" s="1723"/>
      <c r="M956" s="1723"/>
      <c r="N956" s="1723"/>
      <c r="O956" s="1723"/>
      <c r="P956" s="1723"/>
      <c r="Q956" s="1723"/>
      <c r="R956" s="1723"/>
      <c r="S956" s="1724"/>
      <c r="U956" s="66" t="s">
        <v>893</v>
      </c>
      <c r="V956" s="5"/>
      <c r="W956" s="5"/>
      <c r="AB956" s="1722" t="s">
        <v>308</v>
      </c>
      <c r="AC956" s="1723"/>
      <c r="AD956" s="1723"/>
      <c r="AE956" s="1723"/>
      <c r="AF956" s="1723"/>
      <c r="AG956" s="1723"/>
      <c r="AH956" s="1723"/>
      <c r="AI956" s="1723"/>
      <c r="AJ956" s="1723"/>
      <c r="AK956" s="172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20">
        <v>1</v>
      </c>
      <c r="N957" s="1684"/>
      <c r="O957" s="1684"/>
      <c r="P957" s="1684"/>
      <c r="Q957" s="1684"/>
      <c r="R957" s="1684"/>
      <c r="S957" s="1685"/>
      <c r="U957" s="66" t="s">
        <v>13</v>
      </c>
      <c r="V957" s="5"/>
      <c r="W957" s="5"/>
      <c r="X957" s="5"/>
      <c r="Y957" s="5"/>
      <c r="Z957" s="5"/>
      <c r="AA957" s="5"/>
      <c r="AB957" s="5"/>
      <c r="AC957" s="5"/>
      <c r="AD957" s="46"/>
      <c r="AE957" s="1683"/>
      <c r="AF957" s="1684"/>
      <c r="AG957" s="1684"/>
      <c r="AH957" s="1684"/>
      <c r="AI957" s="1684"/>
      <c r="AJ957" s="1684"/>
      <c r="AK957" s="1685"/>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29">
        <v>105</v>
      </c>
      <c r="N958" s="1630"/>
      <c r="O958" s="1630"/>
      <c r="P958" s="1630"/>
      <c r="Q958" s="1630"/>
      <c r="R958" s="1630"/>
      <c r="S958" s="1631"/>
      <c r="U958" s="66" t="s">
        <v>14</v>
      </c>
      <c r="V958" s="5"/>
      <c r="W958" s="5"/>
      <c r="X958" s="5"/>
      <c r="Y958" s="5"/>
      <c r="Z958" s="5"/>
      <c r="AA958" s="5"/>
      <c r="AB958" s="5"/>
      <c r="AC958" s="5"/>
      <c r="AD958" s="46"/>
      <c r="AE958" s="1629"/>
      <c r="AF958" s="1630"/>
      <c r="AG958" s="1630"/>
      <c r="AH958" s="1630"/>
      <c r="AI958" s="1630"/>
      <c r="AJ958" s="1630"/>
      <c r="AK958" s="163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5">
        <f>'Subsidy Contract Calculation'!J40</f>
        <v>768760.8</v>
      </c>
      <c r="N959" s="1545"/>
      <c r="O959" s="1545"/>
      <c r="P959" s="1545"/>
      <c r="Q959" s="1545"/>
      <c r="R959" s="1545"/>
      <c r="S959" s="1626"/>
      <c r="U959" s="66" t="s">
        <v>15</v>
      </c>
      <c r="V959" s="5"/>
      <c r="W959" s="5"/>
      <c r="X959" s="5"/>
      <c r="Y959" s="5"/>
      <c r="Z959" s="5"/>
      <c r="AA959" s="5"/>
      <c r="AB959" s="5"/>
      <c r="AC959" s="5"/>
      <c r="AD959" s="46"/>
      <c r="AE959" s="1625"/>
      <c r="AF959" s="1545"/>
      <c r="AG959" s="1545"/>
      <c r="AH959" s="1545"/>
      <c r="AI959" s="1545"/>
      <c r="AJ959" s="1545"/>
      <c r="AK959" s="162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5">
        <f>M959*M961</f>
        <v>15375216</v>
      </c>
      <c r="N960" s="1545"/>
      <c r="O960" s="1545"/>
      <c r="P960" s="1545"/>
      <c r="Q960" s="1545"/>
      <c r="R960" s="1545"/>
      <c r="S960" s="1626"/>
      <c r="U960" s="66" t="s">
        <v>16</v>
      </c>
      <c r="V960" s="5"/>
      <c r="W960" s="5"/>
      <c r="X960" s="5"/>
      <c r="Y960" s="5"/>
      <c r="Z960" s="5"/>
      <c r="AA960" s="5"/>
      <c r="AB960" s="5"/>
      <c r="AC960" s="5"/>
      <c r="AD960" s="46"/>
      <c r="AE960" s="1625"/>
      <c r="AF960" s="1545"/>
      <c r="AG960" s="1545"/>
      <c r="AH960" s="1545"/>
      <c r="AI960" s="1545"/>
      <c r="AJ960" s="1545"/>
      <c r="AK960" s="162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763">
        <v>20</v>
      </c>
      <c r="N961" s="1764"/>
      <c r="O961" s="1764"/>
      <c r="P961" s="1764"/>
      <c r="Q961" s="1764"/>
      <c r="R961" s="1764"/>
      <c r="S961" s="1765"/>
      <c r="U961" s="121" t="s">
        <v>1774</v>
      </c>
      <c r="V961" s="5"/>
      <c r="W961" s="5"/>
      <c r="X961" s="5"/>
      <c r="Y961" s="5"/>
      <c r="Z961" s="5"/>
      <c r="AA961" s="5"/>
      <c r="AB961" s="5"/>
      <c r="AC961" s="5"/>
      <c r="AD961" s="46"/>
      <c r="AE961" s="1763"/>
      <c r="AF961" s="1764"/>
      <c r="AG961" s="1764"/>
      <c r="AH961" s="1764"/>
      <c r="AI961" s="1764"/>
      <c r="AJ961" s="1764"/>
      <c r="AK961" s="176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663"/>
      <c r="N966" s="1664"/>
      <c r="O966" s="1664"/>
      <c r="P966" s="1664"/>
      <c r="Q966" s="1664"/>
      <c r="R966" s="1664"/>
      <c r="S966" s="1665"/>
      <c r="T966" s="66" t="s">
        <v>800</v>
      </c>
      <c r="U966" s="5"/>
      <c r="V966" s="5"/>
      <c r="W966" s="5"/>
      <c r="X966" s="5"/>
      <c r="Y966" s="5"/>
      <c r="Z966" s="46"/>
      <c r="AA966" s="1663"/>
      <c r="AB966" s="1664"/>
      <c r="AC966" s="1664"/>
      <c r="AD966" s="1664"/>
      <c r="AE966" s="1664"/>
      <c r="AF966" s="1664"/>
      <c r="AG966" s="166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663"/>
      <c r="N967" s="1664"/>
      <c r="O967" s="1664"/>
      <c r="P967" s="1664"/>
      <c r="Q967" s="1664"/>
      <c r="R967" s="1664"/>
      <c r="S967" s="1665"/>
      <c r="T967" s="66" t="s">
        <v>799</v>
      </c>
      <c r="U967" s="5"/>
      <c r="V967" s="5"/>
      <c r="W967" s="5"/>
      <c r="X967" s="5"/>
      <c r="Y967" s="5"/>
      <c r="Z967" s="46"/>
      <c r="AA967" s="1663"/>
      <c r="AB967" s="1664"/>
      <c r="AC967" s="1664"/>
      <c r="AD967" s="1664"/>
      <c r="AE967" s="1664"/>
      <c r="AF967" s="1664"/>
      <c r="AG967" s="166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27" t="s">
        <v>600</v>
      </c>
      <c r="N968" s="1728"/>
      <c r="O968" s="1728"/>
      <c r="P968" s="1728"/>
      <c r="Q968" s="1728"/>
      <c r="R968" s="1728"/>
      <c r="S968" s="1729"/>
      <c r="T968" s="45" t="s">
        <v>338</v>
      </c>
      <c r="U968" s="5"/>
      <c r="V968" s="5"/>
      <c r="W968" s="5"/>
      <c r="X968" s="5"/>
      <c r="Y968" s="5"/>
      <c r="Z968" s="46"/>
      <c r="AA968" s="1663"/>
      <c r="AB968" s="1664"/>
      <c r="AC968" s="1664"/>
      <c r="AD968" s="1664"/>
      <c r="AE968" s="1664"/>
      <c r="AF968" s="1664"/>
      <c r="AG968" s="166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663"/>
      <c r="N969" s="1664"/>
      <c r="O969" s="1664"/>
      <c r="P969" s="1664"/>
      <c r="Q969" s="1664"/>
      <c r="R969" s="1664"/>
      <c r="S969" s="1665"/>
      <c r="T969" s="45" t="s">
        <v>339</v>
      </c>
      <c r="U969" s="5"/>
      <c r="V969" s="5"/>
      <c r="W969" s="5"/>
      <c r="X969" s="5"/>
      <c r="Y969" s="5"/>
      <c r="Z969" s="46"/>
      <c r="AA969" s="1663"/>
      <c r="AB969" s="1664"/>
      <c r="AC969" s="1664"/>
      <c r="AD969" s="1664"/>
      <c r="AE969" s="1664"/>
      <c r="AF969" s="1664"/>
      <c r="AG969" s="166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663" t="s">
        <v>2755</v>
      </c>
      <c r="N970" s="1664"/>
      <c r="O970" s="1664"/>
      <c r="P970" s="1664"/>
      <c r="Q970" s="1664"/>
      <c r="R970" s="1664"/>
      <c r="S970" s="1665"/>
      <c r="T970" s="45" t="s">
        <v>377</v>
      </c>
      <c r="U970" s="5"/>
      <c r="V970" s="5"/>
      <c r="W970" s="5"/>
      <c r="X970" s="5"/>
      <c r="Y970" s="5"/>
      <c r="Z970" s="46"/>
      <c r="AA970" s="1663"/>
      <c r="AB970" s="1664"/>
      <c r="AC970" s="1664"/>
      <c r="AD970" s="1664"/>
      <c r="AE970" s="1664"/>
      <c r="AF970" s="1664"/>
      <c r="AG970" s="166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722" t="s">
        <v>2754</v>
      </c>
      <c r="N971" s="1723"/>
      <c r="O971" s="1723"/>
      <c r="P971" s="1723"/>
      <c r="Q971" s="1723"/>
      <c r="R971" s="1723"/>
      <c r="S971" s="1724"/>
      <c r="T971" s="1748"/>
      <c r="U971" s="1749"/>
      <c r="V971" s="1749"/>
      <c r="W971" s="1749"/>
      <c r="X971" s="1749"/>
      <c r="Y971" s="1749"/>
      <c r="Z971" s="1750"/>
      <c r="AA971" s="1663"/>
      <c r="AB971" s="1664"/>
      <c r="AC971" s="1664"/>
      <c r="AD971" s="1664"/>
      <c r="AE971" s="1664"/>
      <c r="AF971" s="1664"/>
      <c r="AG971" s="166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663"/>
      <c r="N972" s="1664"/>
      <c r="O972" s="1664"/>
      <c r="P972" s="1664"/>
      <c r="Q972" s="1664"/>
      <c r="R972" s="1664"/>
      <c r="S972" s="1665"/>
      <c r="T972" s="1748"/>
      <c r="U972" s="1749"/>
      <c r="V972" s="1749"/>
      <c r="W972" s="1749"/>
      <c r="X972" s="1749"/>
      <c r="Y972" s="1749"/>
      <c r="Z972" s="1750"/>
      <c r="AA972" s="1663"/>
      <c r="AB972" s="1664"/>
      <c r="AC972" s="1664"/>
      <c r="AD972" s="1664"/>
      <c r="AE972" s="1664"/>
      <c r="AF972" s="1664"/>
      <c r="AG972" s="166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16" t="s">
        <v>554</v>
      </c>
      <c r="P973" s="1418"/>
      <c r="Q973" s="92"/>
      <c r="R973" s="92"/>
      <c r="S973" s="93"/>
      <c r="T973" s="41" t="s">
        <v>170</v>
      </c>
      <c r="U973" s="42"/>
      <c r="V973" s="42"/>
      <c r="W973" s="1666" t="s">
        <v>335</v>
      </c>
      <c r="X973" s="1667"/>
      <c r="Y973" s="1667"/>
      <c r="Z973" s="1667"/>
      <c r="AA973" s="1667"/>
      <c r="AB973" s="1667"/>
      <c r="AC973" s="1667"/>
      <c r="AD973" s="1667"/>
      <c r="AE973" s="1667"/>
      <c r="AF973" s="1667"/>
      <c r="AG973" s="166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43" t="s">
        <v>33</v>
      </c>
      <c r="G974" s="1517"/>
      <c r="H974" s="1517"/>
      <c r="I974" s="1517"/>
      <c r="J974" s="1517"/>
      <c r="K974" s="1517"/>
      <c r="L974" s="1517"/>
      <c r="M974" s="1663">
        <f>'Subsidy Contract Calculation'!G40</f>
        <v>2590500</v>
      </c>
      <c r="N974" s="1664"/>
      <c r="O974" s="1664"/>
      <c r="P974" s="1664"/>
      <c r="Q974" s="1664"/>
      <c r="R974" s="1664"/>
      <c r="S974" s="1665"/>
      <c r="T974" s="47"/>
      <c r="U974" s="48"/>
      <c r="V974" s="48"/>
      <c r="W974" s="48"/>
      <c r="X974" s="48"/>
      <c r="Y974" s="48"/>
      <c r="Z974" s="124" t="s">
        <v>134</v>
      </c>
      <c r="AA974" s="1745"/>
      <c r="AB974" s="1746"/>
      <c r="AC974" s="1746"/>
      <c r="AD974" s="1746"/>
      <c r="AE974" s="1746"/>
      <c r="AF974" s="1746"/>
      <c r="AG974" s="1747"/>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50"/>
      <c r="BH975" s="1650"/>
      <c r="BI975" s="1650"/>
      <c r="BJ975" s="1650"/>
      <c r="BK975" s="1650"/>
      <c r="BL975" s="165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73" t="s">
        <v>557</v>
      </c>
      <c r="B978" s="1473"/>
      <c r="C978" s="1473"/>
      <c r="D978" s="1473"/>
      <c r="E978" s="1473"/>
      <c r="F978" s="1473"/>
      <c r="G978" s="1473"/>
      <c r="H978" s="1473"/>
      <c r="I978" s="1473"/>
      <c r="J978" s="1473"/>
      <c r="K978" s="1473"/>
      <c r="L978" s="1473"/>
      <c r="M978" s="1473"/>
      <c r="N978" s="1473"/>
      <c r="O978" s="1473"/>
      <c r="P978" s="1473"/>
      <c r="Q978" s="1473"/>
      <c r="R978" s="1473"/>
      <c r="S978" s="1473"/>
      <c r="T978" s="1473"/>
      <c r="U978" s="1473"/>
      <c r="V978" s="1473"/>
      <c r="W978" s="1473"/>
      <c r="X978" s="1473"/>
      <c r="Y978" s="1473"/>
      <c r="Z978" s="1473"/>
      <c r="AA978" s="1473"/>
      <c r="AB978" s="1473"/>
      <c r="AC978" s="1473"/>
      <c r="AD978" s="1473"/>
      <c r="AE978" s="1473"/>
      <c r="AF978" s="1473"/>
      <c r="AG978" s="1473"/>
      <c r="AH978" s="1473"/>
      <c r="AI978" s="1473"/>
      <c r="AJ978" s="1473"/>
      <c r="AK978" s="1473"/>
      <c r="AL978" s="1473"/>
      <c r="AM978" s="1473"/>
      <c r="AN978" s="1473"/>
      <c r="AO978" s="1473"/>
      <c r="AP978" s="1473"/>
      <c r="AQ978" s="1473"/>
      <c r="AR978" s="1473"/>
      <c r="AS978" s="1473"/>
      <c r="AT978" s="1473"/>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73"/>
      <c r="B979" s="1473"/>
      <c r="C979" s="1473"/>
      <c r="D979" s="1473"/>
      <c r="E979" s="1473"/>
      <c r="F979" s="1473"/>
      <c r="G979" s="1473"/>
      <c r="H979" s="1473"/>
      <c r="I979" s="1473"/>
      <c r="J979" s="1473"/>
      <c r="K979" s="1473"/>
      <c r="L979" s="1473"/>
      <c r="M979" s="1473"/>
      <c r="N979" s="1473"/>
      <c r="O979" s="1473"/>
      <c r="P979" s="1473"/>
      <c r="Q979" s="1473"/>
      <c r="R979" s="1473"/>
      <c r="S979" s="1473"/>
      <c r="T979" s="1473"/>
      <c r="U979" s="1473"/>
      <c r="V979" s="1473"/>
      <c r="W979" s="1473"/>
      <c r="X979" s="1473"/>
      <c r="Y979" s="1473"/>
      <c r="Z979" s="1473"/>
      <c r="AA979" s="1473"/>
      <c r="AB979" s="1473"/>
      <c r="AC979" s="1473"/>
      <c r="AD979" s="1473"/>
      <c r="AE979" s="1473"/>
      <c r="AF979" s="1473"/>
      <c r="AG979" s="1473"/>
      <c r="AH979" s="1473"/>
      <c r="AI979" s="1473"/>
      <c r="AJ979" s="1473"/>
      <c r="AK979" s="1473"/>
      <c r="AL979" s="1473"/>
      <c r="AM979" s="1473"/>
      <c r="AN979" s="1473"/>
      <c r="AO979" s="1473"/>
      <c r="AP979" s="1473"/>
      <c r="AQ979" s="1473"/>
      <c r="AR979" s="1473"/>
      <c r="AS979" s="1473"/>
      <c r="AT979" s="1473"/>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73"/>
      <c r="B980" s="1473"/>
      <c r="C980" s="1473"/>
      <c r="D980" s="1473"/>
      <c r="E980" s="1473"/>
      <c r="F980" s="1473"/>
      <c r="G980" s="1473"/>
      <c r="H980" s="1473"/>
      <c r="I980" s="1473"/>
      <c r="J980" s="1473"/>
      <c r="K980" s="1473"/>
      <c r="L980" s="1473"/>
      <c r="M980" s="1473"/>
      <c r="N980" s="1473"/>
      <c r="O980" s="1473"/>
      <c r="P980" s="1473"/>
      <c r="Q980" s="1473"/>
      <c r="R980" s="1473"/>
      <c r="S980" s="1473"/>
      <c r="T980" s="1473"/>
      <c r="U980" s="1473"/>
      <c r="V980" s="1473"/>
      <c r="W980" s="1473"/>
      <c r="X980" s="1473"/>
      <c r="Y980" s="1473"/>
      <c r="Z980" s="1473"/>
      <c r="AA980" s="1473"/>
      <c r="AB980" s="1473"/>
      <c r="AC980" s="1473"/>
      <c r="AD980" s="1473"/>
      <c r="AE980" s="1473"/>
      <c r="AF980" s="1473"/>
      <c r="AG980" s="1473"/>
      <c r="AH980" s="1473"/>
      <c r="AI980" s="1473"/>
      <c r="AJ980" s="1473"/>
      <c r="AK980" s="1473"/>
      <c r="AL980" s="1473"/>
      <c r="AM980" s="1473"/>
      <c r="AN980" s="1473"/>
      <c r="AO980" s="1473"/>
      <c r="AP980" s="1473"/>
      <c r="AQ980" s="1473"/>
      <c r="AR980" s="1473"/>
      <c r="AS980" s="1473"/>
      <c r="AT980" s="1473"/>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810" t="s">
        <v>647</v>
      </c>
      <c r="E984" s="1811"/>
      <c r="F984" s="1811"/>
      <c r="G984" s="1811"/>
      <c r="H984" s="1811"/>
      <c r="I984" s="1811"/>
      <c r="J984" s="1811"/>
      <c r="K984" s="1811"/>
      <c r="L984" s="1811"/>
      <c r="M984" s="1811"/>
      <c r="N984" s="1811"/>
      <c r="O984" s="1811"/>
      <c r="P984" s="1811"/>
      <c r="Q984" s="1812"/>
      <c r="R984" s="1810" t="s">
        <v>648</v>
      </c>
      <c r="S984" s="1811"/>
      <c r="T984" s="1811"/>
      <c r="U984" s="1811"/>
      <c r="V984" s="1811"/>
      <c r="W984" s="1811"/>
      <c r="X984" s="1811"/>
      <c r="Y984" s="1811"/>
      <c r="Z984" s="1811"/>
      <c r="AA984" s="1812"/>
      <c r="AB984" s="1810" t="s">
        <v>649</v>
      </c>
      <c r="AC984" s="1811"/>
      <c r="AD984" s="1811"/>
      <c r="AE984" s="1811"/>
      <c r="AF984" s="1811"/>
      <c r="AG984" s="1811"/>
      <c r="AH984" s="1811"/>
      <c r="AI984" s="1812"/>
      <c r="AJ984" s="1810" t="s">
        <v>650</v>
      </c>
      <c r="AK984" s="1811"/>
      <c r="AL984" s="1811"/>
      <c r="AM984" s="1811"/>
      <c r="AN984" s="1811"/>
      <c r="AO984" s="1811"/>
      <c r="AP984" s="1811"/>
      <c r="AQ984" s="181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9" t="s">
        <v>642</v>
      </c>
      <c r="E985" s="1530"/>
      <c r="F985" s="1530"/>
      <c r="G985" s="1530"/>
      <c r="H985" s="1530"/>
      <c r="I985" s="1530"/>
      <c r="J985" s="1530"/>
      <c r="K985" s="1530"/>
      <c r="L985" s="1530"/>
      <c r="M985" s="1530"/>
      <c r="N985" s="1530"/>
      <c r="O985" s="1530"/>
      <c r="P985" s="1530"/>
      <c r="Q985" s="1531"/>
      <c r="R985" s="1678">
        <f>IF(ISNA(IF($BN$796="4%",(INDEX($BP$806:$BT$863,MATCH($CB$796,$BO$806:$BO$863,0),MATCH(D985,$BP$805:$BT$805,0))),(INDEX($BW$806:$CA$863,MATCH($CB$796,$BV$806:$BV$863,0),MATCH(D985,$BW$805:$CA$805,0))))),0,IF($BN$796="4%",(INDEX($BP$806:$BT$863,MATCH($CB$796,$BO$806:$BO$863,0),MATCH(D985,$BP$805:$BT$805,0))),(INDEX($BW$806:$CA$863,MATCH($CB$796,$BV$806:$BV$863,0),MATCH(D985,$BW$805:$CA$805,0)))))</f>
        <v>331890</v>
      </c>
      <c r="S985" s="1678"/>
      <c r="T985" s="1678"/>
      <c r="U985" s="1678"/>
      <c r="V985" s="1678"/>
      <c r="W985" s="1678"/>
      <c r="X985" s="1678"/>
      <c r="Y985" s="1678"/>
      <c r="Z985" s="1678"/>
      <c r="AA985" s="1678"/>
      <c r="AB985" s="1804">
        <f>BN660</f>
        <v>10</v>
      </c>
      <c r="AC985" s="1805"/>
      <c r="AD985" s="1805"/>
      <c r="AE985" s="1805"/>
      <c r="AF985" s="1805"/>
      <c r="AG985" s="1805"/>
      <c r="AH985" s="1805"/>
      <c r="AI985" s="1806"/>
      <c r="AJ985" s="1730">
        <f>IF(ISERROR((R985*AB985)),0,(R985*AB985))</f>
        <v>3318900</v>
      </c>
      <c r="AK985" s="1731"/>
      <c r="AL985" s="1731"/>
      <c r="AM985" s="1731"/>
      <c r="AN985" s="1731"/>
      <c r="AO985" s="1731"/>
      <c r="AP985" s="1731"/>
      <c r="AQ985" s="1732"/>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9" t="s">
        <v>326</v>
      </c>
      <c r="E986" s="1530"/>
      <c r="F986" s="1530"/>
      <c r="G986" s="1530"/>
      <c r="H986" s="1530"/>
      <c r="I986" s="1530"/>
      <c r="J986" s="1530"/>
      <c r="K986" s="1530"/>
      <c r="L986" s="1530"/>
      <c r="M986" s="1530"/>
      <c r="N986" s="1530"/>
      <c r="O986" s="1530"/>
      <c r="P986" s="1530"/>
      <c r="Q986" s="1531"/>
      <c r="R986" s="1678">
        <f>IF(ISNA(IF($BN$796="4%",(INDEX($BP$806:$BT$863,MATCH($CB$796,$BO$806:$BO$863,0),MATCH(D986,$BP$805:$BT$805,0))),(INDEX($BW$806:$CA$863,MATCH($CB$796,$BV$806:$BV$863,0),MATCH(D986,$BW$805:$CA$805,0))))),0,IF($BN$796="4%",(INDEX($BP$806:$BT$863,MATCH($CB$796,$BO$806:$BO$863,0),MATCH(D986,$BP$805:$BT$805,0))),(INDEX($BW$806:$CA$863,MATCH($CB$796,$BV$806:$BV$863,0),MATCH(D986,$BW$805:$CA$805,0)))))</f>
        <v>382666</v>
      </c>
      <c r="S986" s="1678"/>
      <c r="T986" s="1678"/>
      <c r="U986" s="1678"/>
      <c r="V986" s="1678"/>
      <c r="W986" s="1678"/>
      <c r="X986" s="1678"/>
      <c r="Y986" s="1678"/>
      <c r="Z986" s="1678"/>
      <c r="AA986" s="1678"/>
      <c r="AB986" s="1804">
        <f>BS660</f>
        <v>18</v>
      </c>
      <c r="AC986" s="1805"/>
      <c r="AD986" s="1805"/>
      <c r="AE986" s="1805"/>
      <c r="AF986" s="1805"/>
      <c r="AG986" s="1805"/>
      <c r="AH986" s="1805"/>
      <c r="AI986" s="1806"/>
      <c r="AJ986" s="1730">
        <f>IF(ISERROR((R986*AB986)),0,(R986*AB986))</f>
        <v>6887988</v>
      </c>
      <c r="AK986" s="1731"/>
      <c r="AL986" s="1731"/>
      <c r="AM986" s="1731"/>
      <c r="AN986" s="1731"/>
      <c r="AO986" s="1731"/>
      <c r="AP986" s="1731"/>
      <c r="AQ986" s="1732"/>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9" t="s">
        <v>163</v>
      </c>
      <c r="E987" s="1530"/>
      <c r="F987" s="1530"/>
      <c r="G987" s="1530"/>
      <c r="H987" s="1530"/>
      <c r="I987" s="1530"/>
      <c r="J987" s="1530"/>
      <c r="K987" s="1530"/>
      <c r="L987" s="1530"/>
      <c r="M987" s="1530"/>
      <c r="N987" s="1530"/>
      <c r="O987" s="1530"/>
      <c r="P987" s="1530"/>
      <c r="Q987" s="1531"/>
      <c r="R987" s="1678">
        <f>IF(ISNA(IF($BN$796="4%",(INDEX($BP$806:$BT$863,MATCH($CB$796,$BO$806:$BO$863,0),MATCH(D987,$BP$805:$BT$805,0))),(INDEX($BW$806:$CA$863,MATCH($CB$796,$BV$806:$BV$863,0),MATCH(D987,$BW$805:$CA$805,0))))),0,IF($BN$796="4%",(INDEX($BP$806:$BT$863,MATCH($CB$796,$BO$806:$BO$863,0),MATCH(D987,$BP$805:$BT$805,0))),(INDEX($BW$806:$CA$863,MATCH($CB$796,$BV$806:$BV$863,0),MATCH(D987,$BW$805:$CA$805,0)))))</f>
        <v>461600</v>
      </c>
      <c r="S987" s="1678"/>
      <c r="T987" s="1678"/>
      <c r="U987" s="1678"/>
      <c r="V987" s="1678"/>
      <c r="W987" s="1678"/>
      <c r="X987" s="1678"/>
      <c r="Y987" s="1678"/>
      <c r="Z987" s="1678"/>
      <c r="AA987" s="1678"/>
      <c r="AB987" s="1804">
        <f>BX660</f>
        <v>28</v>
      </c>
      <c r="AC987" s="1805"/>
      <c r="AD987" s="1805"/>
      <c r="AE987" s="1805"/>
      <c r="AF987" s="1805"/>
      <c r="AG987" s="1805"/>
      <c r="AH987" s="1805"/>
      <c r="AI987" s="1806"/>
      <c r="AJ987" s="1730">
        <f>IF(ISERROR((R987*AB987)),0,(R987*AB987))</f>
        <v>12924800</v>
      </c>
      <c r="AK987" s="1731"/>
      <c r="AL987" s="1731"/>
      <c r="AM987" s="1731"/>
      <c r="AN987" s="1731"/>
      <c r="AO987" s="1731"/>
      <c r="AP987" s="1731"/>
      <c r="AQ987" s="1732"/>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9" t="s">
        <v>164</v>
      </c>
      <c r="E988" s="1530"/>
      <c r="F988" s="1530"/>
      <c r="G988" s="1530"/>
      <c r="H988" s="1530"/>
      <c r="I988" s="1530"/>
      <c r="J988" s="1530"/>
      <c r="K988" s="1530"/>
      <c r="L988" s="1530"/>
      <c r="M988" s="1530"/>
      <c r="N988" s="1530"/>
      <c r="O988" s="1530"/>
      <c r="P988" s="1530"/>
      <c r="Q988" s="1531"/>
      <c r="R988" s="1678">
        <f>IF(ISNA(IF($BN$796="4%",(INDEX($BP$806:$BT$863,MATCH($CB$796,$BO$806:$BO$863,0),MATCH(D988,$BP$805:$BT$805,0))),(INDEX($BW$806:$CA$863,MATCH($CB$796,$BV$806:$BV$863,0),MATCH(D988,$BW$805:$CA$805,0))))),0,IF($BN$796="4%",(INDEX($BP$806:$BT$863,MATCH($CB$796,$BO$806:$BO$863,0),MATCH(D988,$BP$805:$BT$805,0))),(INDEX($BW$806:$CA$863,MATCH($CB$796,$BV$806:$BV$863,0),MATCH(D988,$BW$805:$CA$805,0)))))</f>
        <v>590848</v>
      </c>
      <c r="S988" s="1678"/>
      <c r="T988" s="1678"/>
      <c r="U988" s="1678"/>
      <c r="V988" s="1678"/>
      <c r="W988" s="1678"/>
      <c r="X988" s="1678"/>
      <c r="Y988" s="1678"/>
      <c r="Z988" s="1678"/>
      <c r="AA988" s="1678"/>
      <c r="AB988" s="1804">
        <f>CC660</f>
        <v>42</v>
      </c>
      <c r="AC988" s="1805"/>
      <c r="AD988" s="1805"/>
      <c r="AE988" s="1805"/>
      <c r="AF988" s="1805"/>
      <c r="AG988" s="1805"/>
      <c r="AH988" s="1805"/>
      <c r="AI988" s="1806"/>
      <c r="AJ988" s="1730">
        <f>IF(ISERROR((R988*AB988)),0,(R988*AB988))</f>
        <v>24815616</v>
      </c>
      <c r="AK988" s="1731"/>
      <c r="AL988" s="1731"/>
      <c r="AM988" s="1731"/>
      <c r="AN988" s="1731"/>
      <c r="AO988" s="1731"/>
      <c r="AP988" s="1731"/>
      <c r="AQ988" s="1732"/>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9" t="s">
        <v>469</v>
      </c>
      <c r="E989" s="1530"/>
      <c r="F989" s="1530"/>
      <c r="G989" s="1530"/>
      <c r="H989" s="1530"/>
      <c r="I989" s="1530"/>
      <c r="J989" s="1530"/>
      <c r="K989" s="1530"/>
      <c r="L989" s="1530"/>
      <c r="M989" s="1530"/>
      <c r="N989" s="1530"/>
      <c r="O989" s="1530"/>
      <c r="P989" s="1530"/>
      <c r="Q989" s="1531"/>
      <c r="R989" s="1678">
        <f>IF(ISNA(IF($BN$796="4%",(INDEX($BP$806:$BT$863,MATCH($CB$796,$BO$806:$BO$863,0),MATCH(D989,$BP$805:$BT$805,0))),(INDEX($BW$806:$CA$863,MATCH($CB$796,$BV$806:$BV$863,0),MATCH(D989,$BW$805:$CA$805,0))))),0,IF($BN$796="4%",(INDEX($BP$806:$BT$863,MATCH($CB$796,$BO$806:$BO$863,0),MATCH(D989,$BP$805:$BT$805,0))),(INDEX($BW$806:$CA$863,MATCH($CB$796,$BV$806:$BV$863,0),MATCH(D989,$BW$805:$CA$805,0)))))</f>
        <v>658242</v>
      </c>
      <c r="S989" s="1678"/>
      <c r="T989" s="1678"/>
      <c r="U989" s="1678"/>
      <c r="V989" s="1678"/>
      <c r="W989" s="1678"/>
      <c r="X989" s="1678"/>
      <c r="Y989" s="1678"/>
      <c r="Z989" s="1678"/>
      <c r="AA989" s="1678"/>
      <c r="AB989" s="1804">
        <f>CM660+CH660</f>
        <v>8</v>
      </c>
      <c r="AC989" s="1805"/>
      <c r="AD989" s="1805"/>
      <c r="AE989" s="1805"/>
      <c r="AF989" s="1805"/>
      <c r="AG989" s="1805"/>
      <c r="AH989" s="1805"/>
      <c r="AI989" s="1806"/>
      <c r="AJ989" s="1730">
        <f>IF(ISERROR((R989*AB989)),0,(R989*AB989))</f>
        <v>5265936</v>
      </c>
      <c r="AK989" s="1731"/>
      <c r="AL989" s="1731"/>
      <c r="AM989" s="1731"/>
      <c r="AN989" s="1731"/>
      <c r="AO989" s="1731"/>
      <c r="AP989" s="1731"/>
      <c r="AQ989" s="1732"/>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90" t="s">
        <v>801</v>
      </c>
      <c r="C990" s="1791"/>
      <c r="D990" s="1791"/>
      <c r="E990" s="1791"/>
      <c r="F990" s="1791"/>
      <c r="G990" s="1791"/>
      <c r="H990" s="1791"/>
      <c r="I990" s="1791"/>
      <c r="J990" s="1791"/>
      <c r="K990" s="1791"/>
      <c r="L990" s="1791"/>
      <c r="M990" s="1791"/>
      <c r="N990" s="1791"/>
      <c r="O990" s="1791"/>
      <c r="P990" s="1791"/>
      <c r="Q990" s="1791"/>
      <c r="R990" s="1791"/>
      <c r="S990" s="1791"/>
      <c r="T990" s="1791"/>
      <c r="U990" s="1791"/>
      <c r="V990" s="1791"/>
      <c r="W990" s="1791"/>
      <c r="X990" s="1791"/>
      <c r="Y990" s="1791"/>
      <c r="Z990" s="1791"/>
      <c r="AA990" s="1792"/>
      <c r="AB990" s="1804">
        <f>SUM(AB985:AI989)</f>
        <v>106</v>
      </c>
      <c r="AC990" s="1805"/>
      <c r="AD990" s="1805"/>
      <c r="AE990" s="1805"/>
      <c r="AF990" s="1805"/>
      <c r="AG990" s="1805"/>
      <c r="AH990" s="1805"/>
      <c r="AI990" s="1806"/>
      <c r="AJ990" s="1730"/>
      <c r="AK990" s="1731"/>
      <c r="AL990" s="1731"/>
      <c r="AM990" s="1731"/>
      <c r="AN990" s="1731"/>
      <c r="AO990" s="1731"/>
      <c r="AP990" s="1731"/>
      <c r="AQ990" s="1732"/>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3" t="s">
        <v>521</v>
      </c>
      <c r="C991" s="1814"/>
      <c r="D991" s="1814"/>
      <c r="E991" s="1814"/>
      <c r="F991" s="1814"/>
      <c r="G991" s="1814"/>
      <c r="H991" s="1814"/>
      <c r="I991" s="1814"/>
      <c r="J991" s="1814"/>
      <c r="K991" s="1814"/>
      <c r="L991" s="1814"/>
      <c r="M991" s="1814"/>
      <c r="N991" s="1814"/>
      <c r="O991" s="1814"/>
      <c r="P991" s="1814"/>
      <c r="Q991" s="1814"/>
      <c r="R991" s="1814"/>
      <c r="S991" s="1814"/>
      <c r="T991" s="1814"/>
      <c r="U991" s="1814"/>
      <c r="V991" s="1814"/>
      <c r="W991" s="1814"/>
      <c r="X991" s="1814"/>
      <c r="Y991" s="1814"/>
      <c r="Z991" s="1814"/>
      <c r="AA991" s="1814"/>
      <c r="AB991" s="1814"/>
      <c r="AC991" s="1814"/>
      <c r="AD991" s="1814"/>
      <c r="AE991" s="1814"/>
      <c r="AF991" s="1814"/>
      <c r="AG991" s="1814"/>
      <c r="AH991" s="1814"/>
      <c r="AI991" s="1815"/>
      <c r="AJ991" s="1730">
        <f>SUM(AJ985:AQ989)</f>
        <v>53213240</v>
      </c>
      <c r="AK991" s="1731"/>
      <c r="AL991" s="1731"/>
      <c r="AM991" s="1731"/>
      <c r="AN991" s="1731"/>
      <c r="AO991" s="1731"/>
      <c r="AP991" s="1731"/>
      <c r="AQ991" s="1732"/>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84"/>
      <c r="C992" s="1785"/>
      <c r="D992" s="1785"/>
      <c r="E992" s="1785"/>
      <c r="F992" s="1785"/>
      <c r="G992" s="1785"/>
      <c r="H992" s="1785"/>
      <c r="I992" s="1785"/>
      <c r="J992" s="1785"/>
      <c r="K992" s="1785"/>
      <c r="L992" s="1785"/>
      <c r="M992" s="1785"/>
      <c r="N992" s="1785"/>
      <c r="O992" s="1785"/>
      <c r="P992" s="1785"/>
      <c r="Q992" s="1785"/>
      <c r="R992" s="1785"/>
      <c r="S992" s="1785"/>
      <c r="T992" s="1785"/>
      <c r="U992" s="1785"/>
      <c r="V992" s="1785"/>
      <c r="W992" s="1785"/>
      <c r="X992" s="1785"/>
      <c r="Y992" s="1785"/>
      <c r="Z992" s="1785"/>
      <c r="AA992" s="1785"/>
      <c r="AB992" s="1785"/>
      <c r="AC992" s="1785"/>
      <c r="AD992" s="1785"/>
      <c r="AE992" s="1786"/>
      <c r="AF992" s="1819" t="s">
        <v>675</v>
      </c>
      <c r="AG992" s="1820"/>
      <c r="AH992" s="1820"/>
      <c r="AI992" s="1821"/>
      <c r="AJ992" s="1784"/>
      <c r="AK992" s="1785"/>
      <c r="AL992" s="1785"/>
      <c r="AM992" s="1785"/>
      <c r="AN992" s="1785"/>
      <c r="AO992" s="1785"/>
      <c r="AP992" s="1785"/>
      <c r="AQ992" s="178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787" t="s">
        <v>1327</v>
      </c>
      <c r="E993" s="1788"/>
      <c r="F993" s="1788"/>
      <c r="G993" s="1788"/>
      <c r="H993" s="1788"/>
      <c r="I993" s="1788"/>
      <c r="J993" s="1788"/>
      <c r="K993" s="1788"/>
      <c r="L993" s="1788"/>
      <c r="M993" s="1788"/>
      <c r="N993" s="1788"/>
      <c r="O993" s="1788"/>
      <c r="P993" s="1788"/>
      <c r="Q993" s="1788"/>
      <c r="R993" s="1788"/>
      <c r="S993" s="1788"/>
      <c r="T993" s="1788"/>
      <c r="U993" s="1788"/>
      <c r="V993" s="1788"/>
      <c r="W993" s="1788"/>
      <c r="X993" s="1788"/>
      <c r="Y993" s="1788"/>
      <c r="Z993" s="1788"/>
      <c r="AA993" s="1788"/>
      <c r="AB993" s="1788"/>
      <c r="AC993" s="1788"/>
      <c r="AD993" s="1788"/>
      <c r="AE993" s="1789"/>
      <c r="AF993" s="79"/>
      <c r="AG993" s="1822" t="s">
        <v>678</v>
      </c>
      <c r="AH993" s="1823"/>
      <c r="AI993" s="87"/>
      <c r="AJ993" s="1767">
        <f>ROUND(IF(AND(AG993="yes",D999&gt;0),AJ991*0.2,0),0)</f>
        <v>0</v>
      </c>
      <c r="AK993" s="1768"/>
      <c r="AL993" s="1768"/>
      <c r="AM993" s="1768"/>
      <c r="AN993" s="1768"/>
      <c r="AO993" s="1768"/>
      <c r="AP993" s="1768"/>
      <c r="AQ993" s="176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54" t="s">
        <v>2567</v>
      </c>
      <c r="E994" s="1755"/>
      <c r="F994" s="1755"/>
      <c r="G994" s="1755"/>
      <c r="H994" s="1755"/>
      <c r="I994" s="1755"/>
      <c r="J994" s="1755"/>
      <c r="K994" s="1755"/>
      <c r="L994" s="1755"/>
      <c r="M994" s="1755"/>
      <c r="N994" s="1755"/>
      <c r="O994" s="1755"/>
      <c r="P994" s="1755"/>
      <c r="Q994" s="1755"/>
      <c r="R994" s="1755"/>
      <c r="S994" s="1755"/>
      <c r="T994" s="1755"/>
      <c r="U994" s="1755"/>
      <c r="V994" s="1755"/>
      <c r="W994" s="1755"/>
      <c r="X994" s="1755"/>
      <c r="Y994" s="1755"/>
      <c r="Z994" s="1755"/>
      <c r="AA994" s="1755"/>
      <c r="AB994" s="1755"/>
      <c r="AC994" s="1755"/>
      <c r="AD994" s="1755"/>
      <c r="AE994" s="1756"/>
      <c r="AF994" s="73"/>
      <c r="AG994" s="14"/>
      <c r="AH994" s="14"/>
      <c r="AI994" s="83"/>
      <c r="AJ994" s="1770"/>
      <c r="AK994" s="1771"/>
      <c r="AL994" s="1771"/>
      <c r="AM994" s="1771"/>
      <c r="AN994" s="1771"/>
      <c r="AO994" s="1771"/>
      <c r="AP994" s="1771"/>
      <c r="AQ994" s="177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54"/>
      <c r="E995" s="1755"/>
      <c r="F995" s="1755"/>
      <c r="G995" s="1755"/>
      <c r="H995" s="1755"/>
      <c r="I995" s="1755"/>
      <c r="J995" s="1755"/>
      <c r="K995" s="1755"/>
      <c r="L995" s="1755"/>
      <c r="M995" s="1755"/>
      <c r="N995" s="1755"/>
      <c r="O995" s="1755"/>
      <c r="P995" s="1755"/>
      <c r="Q995" s="1755"/>
      <c r="R995" s="1755"/>
      <c r="S995" s="1755"/>
      <c r="T995" s="1755"/>
      <c r="U995" s="1755"/>
      <c r="V995" s="1755"/>
      <c r="W995" s="1755"/>
      <c r="X995" s="1755"/>
      <c r="Y995" s="1755"/>
      <c r="Z995" s="1755"/>
      <c r="AA995" s="1755"/>
      <c r="AB995" s="1755"/>
      <c r="AC995" s="1755"/>
      <c r="AD995" s="1755"/>
      <c r="AE995" s="1756"/>
      <c r="AF995" s="73"/>
      <c r="AG995" s="14"/>
      <c r="AH995" s="14"/>
      <c r="AI995" s="83"/>
      <c r="AJ995" s="1770"/>
      <c r="AK995" s="1771"/>
      <c r="AL995" s="1771"/>
      <c r="AM995" s="1771"/>
      <c r="AN995" s="1771"/>
      <c r="AO995" s="1771"/>
      <c r="AP995" s="1771"/>
      <c r="AQ995" s="177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54"/>
      <c r="E996" s="1755"/>
      <c r="F996" s="1755"/>
      <c r="G996" s="1755"/>
      <c r="H996" s="1755"/>
      <c r="I996" s="1755"/>
      <c r="J996" s="1755"/>
      <c r="K996" s="1755"/>
      <c r="L996" s="1755"/>
      <c r="M996" s="1755"/>
      <c r="N996" s="1755"/>
      <c r="O996" s="1755"/>
      <c r="P996" s="1755"/>
      <c r="Q996" s="1755"/>
      <c r="R996" s="1755"/>
      <c r="S996" s="1755"/>
      <c r="T996" s="1755"/>
      <c r="U996" s="1755"/>
      <c r="V996" s="1755"/>
      <c r="W996" s="1755"/>
      <c r="X996" s="1755"/>
      <c r="Y996" s="1755"/>
      <c r="Z996" s="1755"/>
      <c r="AA996" s="1755"/>
      <c r="AB996" s="1755"/>
      <c r="AC996" s="1755"/>
      <c r="AD996" s="1755"/>
      <c r="AE996" s="1756"/>
      <c r="AF996" s="73"/>
      <c r="AG996" s="14"/>
      <c r="AH996" s="14"/>
      <c r="AI996" s="83"/>
      <c r="AJ996" s="1770"/>
      <c r="AK996" s="1771"/>
      <c r="AL996" s="1771"/>
      <c r="AM996" s="1771"/>
      <c r="AN996" s="1771"/>
      <c r="AO996" s="1771"/>
      <c r="AP996" s="1771"/>
      <c r="AQ996" s="177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54"/>
      <c r="E997" s="1755"/>
      <c r="F997" s="1755"/>
      <c r="G997" s="1755"/>
      <c r="H997" s="1755"/>
      <c r="I997" s="1755"/>
      <c r="J997" s="1755"/>
      <c r="K997" s="1755"/>
      <c r="L997" s="1755"/>
      <c r="M997" s="1755"/>
      <c r="N997" s="1755"/>
      <c r="O997" s="1755"/>
      <c r="P997" s="1755"/>
      <c r="Q997" s="1755"/>
      <c r="R997" s="1755"/>
      <c r="S997" s="1755"/>
      <c r="T997" s="1755"/>
      <c r="U997" s="1755"/>
      <c r="V997" s="1755"/>
      <c r="W997" s="1755"/>
      <c r="X997" s="1755"/>
      <c r="Y997" s="1755"/>
      <c r="Z997" s="1755"/>
      <c r="AA997" s="1755"/>
      <c r="AB997" s="1755"/>
      <c r="AC997" s="1755"/>
      <c r="AD997" s="1755"/>
      <c r="AE997" s="1756"/>
      <c r="AF997" s="73"/>
      <c r="AG997" s="14"/>
      <c r="AH997" s="14"/>
      <c r="AI997" s="83"/>
      <c r="AJ997" s="1770"/>
      <c r="AK997" s="1771"/>
      <c r="AL997" s="1771"/>
      <c r="AM997" s="1771"/>
      <c r="AN997" s="1771"/>
      <c r="AO997" s="1771"/>
      <c r="AP997" s="1771"/>
      <c r="AQ997" s="177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57" t="s">
        <v>2568</v>
      </c>
      <c r="E998" s="1758"/>
      <c r="F998" s="1758"/>
      <c r="G998" s="1758"/>
      <c r="H998" s="1758"/>
      <c r="I998" s="1758"/>
      <c r="J998" s="1758"/>
      <c r="K998" s="1758"/>
      <c r="L998" s="1758"/>
      <c r="M998" s="1758"/>
      <c r="N998" s="1758"/>
      <c r="O998" s="1758"/>
      <c r="P998" s="1758"/>
      <c r="Q998" s="1758"/>
      <c r="R998" s="1758"/>
      <c r="S998" s="1758"/>
      <c r="T998" s="1758"/>
      <c r="U998" s="1758"/>
      <c r="V998" s="1758"/>
      <c r="W998" s="1758"/>
      <c r="X998" s="1758"/>
      <c r="Y998" s="1758"/>
      <c r="Z998" s="1758"/>
      <c r="AA998" s="1758"/>
      <c r="AB998" s="1758"/>
      <c r="AC998" s="1758"/>
      <c r="AD998" s="1758"/>
      <c r="AE998" s="1759"/>
      <c r="AF998" s="73"/>
      <c r="AG998" s="14"/>
      <c r="AH998" s="14"/>
      <c r="AI998" s="83"/>
      <c r="AJ998" s="1770"/>
      <c r="AK998" s="1771"/>
      <c r="AL998" s="1771"/>
      <c r="AM998" s="1771"/>
      <c r="AN998" s="1771"/>
      <c r="AO998" s="1771"/>
      <c r="AP998" s="1771"/>
      <c r="AQ998" s="177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93"/>
      <c r="E999" s="1794"/>
      <c r="F999" s="1794"/>
      <c r="G999" s="1794"/>
      <c r="H999" s="1794"/>
      <c r="I999" s="1794"/>
      <c r="J999" s="1794"/>
      <c r="K999" s="1794"/>
      <c r="L999" s="1794"/>
      <c r="M999" s="1794"/>
      <c r="N999" s="1794"/>
      <c r="O999" s="1794"/>
      <c r="P999" s="1794"/>
      <c r="Q999" s="1794"/>
      <c r="R999" s="1794"/>
      <c r="S999" s="1794"/>
      <c r="T999" s="1794"/>
      <c r="U999" s="1794"/>
      <c r="V999" s="1794"/>
      <c r="W999" s="1794"/>
      <c r="X999" s="1794"/>
      <c r="Y999" s="1794"/>
      <c r="Z999" s="1794"/>
      <c r="AA999" s="1794"/>
      <c r="AB999" s="1794"/>
      <c r="AC999" s="1794"/>
      <c r="AD999" s="1794"/>
      <c r="AE999" s="1795"/>
      <c r="AF999" s="77"/>
      <c r="AG999" s="7"/>
      <c r="AH999" s="7"/>
      <c r="AI999" s="78"/>
      <c r="AJ999" s="1773"/>
      <c r="AK999" s="1774"/>
      <c r="AL999" s="1774"/>
      <c r="AM999" s="1774"/>
      <c r="AN999" s="1774"/>
      <c r="AO999" s="1774"/>
      <c r="AP999" s="1774"/>
      <c r="AQ999" s="177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51" t="s">
        <v>1395</v>
      </c>
      <c r="E1000" s="1752"/>
      <c r="F1000" s="1752"/>
      <c r="G1000" s="1752"/>
      <c r="H1000" s="1752"/>
      <c r="I1000" s="1752"/>
      <c r="J1000" s="1752"/>
      <c r="K1000" s="1752"/>
      <c r="L1000" s="1752"/>
      <c r="M1000" s="1752"/>
      <c r="N1000" s="1752"/>
      <c r="O1000" s="1752"/>
      <c r="P1000" s="1752"/>
      <c r="Q1000" s="1752"/>
      <c r="R1000" s="1752"/>
      <c r="S1000" s="1752"/>
      <c r="T1000" s="1752"/>
      <c r="U1000" s="1752"/>
      <c r="V1000" s="1752"/>
      <c r="W1000" s="1752"/>
      <c r="X1000" s="1752"/>
      <c r="Y1000" s="1752"/>
      <c r="Z1000" s="1752"/>
      <c r="AA1000" s="1752"/>
      <c r="AB1000" s="1752"/>
      <c r="AC1000" s="1752"/>
      <c r="AD1000" s="1752"/>
      <c r="AE1000" s="1753"/>
      <c r="AF1000" s="79"/>
      <c r="AG1000" s="1737" t="s">
        <v>678</v>
      </c>
      <c r="AH1000" s="1738"/>
      <c r="AI1000" s="87"/>
      <c r="AJ1000" s="1767">
        <f>ROUND(IF(AG1000="yes",AJ991*0.05,0),0)</f>
        <v>0</v>
      </c>
      <c r="AK1000" s="1768"/>
      <c r="AL1000" s="1768"/>
      <c r="AM1000" s="1768"/>
      <c r="AN1000" s="1768"/>
      <c r="AO1000" s="1768"/>
      <c r="AP1000" s="1768"/>
      <c r="AQ1000" s="176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54" t="s">
        <v>1393</v>
      </c>
      <c r="E1001" s="1755"/>
      <c r="F1001" s="1755"/>
      <c r="G1001" s="1755"/>
      <c r="H1001" s="1755"/>
      <c r="I1001" s="1755"/>
      <c r="J1001" s="1755"/>
      <c r="K1001" s="1755"/>
      <c r="L1001" s="1755"/>
      <c r="M1001" s="1755"/>
      <c r="N1001" s="1755"/>
      <c r="O1001" s="1755"/>
      <c r="P1001" s="1755"/>
      <c r="Q1001" s="1755"/>
      <c r="R1001" s="1755"/>
      <c r="S1001" s="1755"/>
      <c r="T1001" s="1755"/>
      <c r="U1001" s="1755"/>
      <c r="V1001" s="1755"/>
      <c r="W1001" s="1755"/>
      <c r="X1001" s="1755"/>
      <c r="Y1001" s="1755"/>
      <c r="Z1001" s="1755"/>
      <c r="AA1001" s="1755"/>
      <c r="AB1001" s="1755"/>
      <c r="AC1001" s="1755"/>
      <c r="AD1001" s="1755"/>
      <c r="AE1001" s="1756"/>
      <c r="AF1001" s="73"/>
      <c r="AG1001" s="14"/>
      <c r="AH1001" s="14"/>
      <c r="AI1001" s="83"/>
      <c r="AJ1001" s="1770"/>
      <c r="AK1001" s="1771"/>
      <c r="AL1001" s="1771"/>
      <c r="AM1001" s="1771"/>
      <c r="AN1001" s="1771"/>
      <c r="AO1001" s="1771"/>
      <c r="AP1001" s="1771"/>
      <c r="AQ1001" s="177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54"/>
      <c r="E1002" s="1755"/>
      <c r="F1002" s="1755"/>
      <c r="G1002" s="1755"/>
      <c r="H1002" s="1755"/>
      <c r="I1002" s="1755"/>
      <c r="J1002" s="1755"/>
      <c r="K1002" s="1755"/>
      <c r="L1002" s="1755"/>
      <c r="M1002" s="1755"/>
      <c r="N1002" s="1755"/>
      <c r="O1002" s="1755"/>
      <c r="P1002" s="1755"/>
      <c r="Q1002" s="1755"/>
      <c r="R1002" s="1755"/>
      <c r="S1002" s="1755"/>
      <c r="T1002" s="1755"/>
      <c r="U1002" s="1755"/>
      <c r="V1002" s="1755"/>
      <c r="W1002" s="1755"/>
      <c r="X1002" s="1755"/>
      <c r="Y1002" s="1755"/>
      <c r="Z1002" s="1755"/>
      <c r="AA1002" s="1755"/>
      <c r="AB1002" s="1755"/>
      <c r="AC1002" s="1755"/>
      <c r="AD1002" s="1755"/>
      <c r="AE1002" s="1756"/>
      <c r="AF1002" s="73"/>
      <c r="AG1002" s="14"/>
      <c r="AH1002" s="14"/>
      <c r="AI1002" s="83"/>
      <c r="AJ1002" s="1770"/>
      <c r="AK1002" s="1771"/>
      <c r="AL1002" s="1771"/>
      <c r="AM1002" s="1771"/>
      <c r="AN1002" s="1771"/>
      <c r="AO1002" s="1771"/>
      <c r="AP1002" s="1771"/>
      <c r="AQ1002" s="1772"/>
      <c r="AR1002" s="68"/>
      <c r="AS1002" s="68"/>
      <c r="AT1002" s="68"/>
      <c r="AU1002" s="68"/>
      <c r="AV1002" s="68"/>
      <c r="AW1002" s="68"/>
      <c r="AX1002" s="68"/>
      <c r="AY1002" s="949">
        <f>G753+O797</f>
        <v>105</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54"/>
      <c r="E1003" s="1755"/>
      <c r="F1003" s="1755"/>
      <c r="G1003" s="1755"/>
      <c r="H1003" s="1755"/>
      <c r="I1003" s="1755"/>
      <c r="J1003" s="1755"/>
      <c r="K1003" s="1755"/>
      <c r="L1003" s="1755"/>
      <c r="M1003" s="1755"/>
      <c r="N1003" s="1755"/>
      <c r="O1003" s="1755"/>
      <c r="P1003" s="1755"/>
      <c r="Q1003" s="1755"/>
      <c r="R1003" s="1755"/>
      <c r="S1003" s="1755"/>
      <c r="T1003" s="1755"/>
      <c r="U1003" s="1755"/>
      <c r="V1003" s="1755"/>
      <c r="W1003" s="1755"/>
      <c r="X1003" s="1755"/>
      <c r="Y1003" s="1755"/>
      <c r="Z1003" s="1755"/>
      <c r="AA1003" s="1755"/>
      <c r="AB1003" s="1755"/>
      <c r="AC1003" s="1755"/>
      <c r="AD1003" s="1755"/>
      <c r="AE1003" s="1756"/>
      <c r="AF1003" s="73"/>
      <c r="AG1003" s="14"/>
      <c r="AH1003" s="14"/>
      <c r="AI1003" s="83"/>
      <c r="AJ1003" s="1770"/>
      <c r="AK1003" s="1771"/>
      <c r="AL1003" s="1771"/>
      <c r="AM1003" s="1771"/>
      <c r="AN1003" s="1771"/>
      <c r="AO1003" s="1771"/>
      <c r="AP1003" s="1771"/>
      <c r="AQ1003" s="177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54"/>
      <c r="E1004" s="1755"/>
      <c r="F1004" s="1755"/>
      <c r="G1004" s="1755"/>
      <c r="H1004" s="1755"/>
      <c r="I1004" s="1755"/>
      <c r="J1004" s="1755"/>
      <c r="K1004" s="1755"/>
      <c r="L1004" s="1755"/>
      <c r="M1004" s="1755"/>
      <c r="N1004" s="1755"/>
      <c r="O1004" s="1755"/>
      <c r="P1004" s="1755"/>
      <c r="Q1004" s="1755"/>
      <c r="R1004" s="1755"/>
      <c r="S1004" s="1755"/>
      <c r="T1004" s="1755"/>
      <c r="U1004" s="1755"/>
      <c r="V1004" s="1755"/>
      <c r="W1004" s="1755"/>
      <c r="X1004" s="1755"/>
      <c r="Y1004" s="1755"/>
      <c r="Z1004" s="1755"/>
      <c r="AA1004" s="1755"/>
      <c r="AB1004" s="1755"/>
      <c r="AC1004" s="1755"/>
      <c r="AD1004" s="1755"/>
      <c r="AE1004" s="1756"/>
      <c r="AF1004" s="73"/>
      <c r="AG1004" s="14"/>
      <c r="AH1004" s="14"/>
      <c r="AI1004" s="83"/>
      <c r="AJ1004" s="1770"/>
      <c r="AK1004" s="1771"/>
      <c r="AL1004" s="1771"/>
      <c r="AM1004" s="1771"/>
      <c r="AN1004" s="1771"/>
      <c r="AO1004" s="1771"/>
      <c r="AP1004" s="1771"/>
      <c r="AQ1004" s="1772"/>
      <c r="AR1004" s="68"/>
      <c r="AS1004" s="68"/>
      <c r="AT1004" s="68"/>
      <c r="AU1004" s="68"/>
      <c r="AV1004" s="68"/>
      <c r="AW1004" s="68"/>
      <c r="AX1004" s="68"/>
      <c r="AY1004" s="948">
        <f>ROUNDDOWN(X1047/I1047,2)</f>
        <v>0.09</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57"/>
      <c r="E1005" s="1758"/>
      <c r="F1005" s="1758"/>
      <c r="G1005" s="1758"/>
      <c r="H1005" s="1758"/>
      <c r="I1005" s="1758"/>
      <c r="J1005" s="1758"/>
      <c r="K1005" s="1758"/>
      <c r="L1005" s="1758"/>
      <c r="M1005" s="1758"/>
      <c r="N1005" s="1758"/>
      <c r="O1005" s="1758"/>
      <c r="P1005" s="1758"/>
      <c r="Q1005" s="1758"/>
      <c r="R1005" s="1758"/>
      <c r="S1005" s="1758"/>
      <c r="T1005" s="1758"/>
      <c r="U1005" s="1758"/>
      <c r="V1005" s="1758"/>
      <c r="W1005" s="1758"/>
      <c r="X1005" s="1758"/>
      <c r="Y1005" s="1758"/>
      <c r="Z1005" s="1758"/>
      <c r="AA1005" s="1758"/>
      <c r="AB1005" s="1758"/>
      <c r="AC1005" s="1758"/>
      <c r="AD1005" s="1758"/>
      <c r="AE1005" s="1759"/>
      <c r="AF1005" s="77"/>
      <c r="AG1005" s="7"/>
      <c r="AH1005" s="7"/>
      <c r="AI1005" s="78"/>
      <c r="AJ1005" s="1773"/>
      <c r="AK1005" s="1774"/>
      <c r="AL1005" s="1774"/>
      <c r="AM1005" s="1774"/>
      <c r="AN1005" s="1774"/>
      <c r="AO1005" s="1774"/>
      <c r="AP1005" s="1774"/>
      <c r="AQ1005" s="1775"/>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751" t="s">
        <v>1872</v>
      </c>
      <c r="E1006" s="1752"/>
      <c r="F1006" s="1752"/>
      <c r="G1006" s="1752"/>
      <c r="H1006" s="1752"/>
      <c r="I1006" s="1752"/>
      <c r="J1006" s="1752"/>
      <c r="K1006" s="1752"/>
      <c r="L1006" s="1752"/>
      <c r="M1006" s="1752"/>
      <c r="N1006" s="1752"/>
      <c r="O1006" s="1752"/>
      <c r="P1006" s="1752"/>
      <c r="Q1006" s="1752"/>
      <c r="R1006" s="1752"/>
      <c r="S1006" s="1752"/>
      <c r="T1006" s="1752"/>
      <c r="U1006" s="1752"/>
      <c r="V1006" s="1752"/>
      <c r="W1006" s="1752"/>
      <c r="X1006" s="1752"/>
      <c r="Y1006" s="1752"/>
      <c r="Z1006" s="1752"/>
      <c r="AA1006" s="1752"/>
      <c r="AB1006" s="1752"/>
      <c r="AC1006" s="1752"/>
      <c r="AD1006" s="1752"/>
      <c r="AE1006" s="1753"/>
      <c r="AF1006" s="86"/>
      <c r="AG1006" s="1737" t="s">
        <v>678</v>
      </c>
      <c r="AH1006" s="1738"/>
      <c r="AI1006" s="87"/>
      <c r="AJ1006" s="1767">
        <f>ROUND(IF(AG1006="yes",AJ991*0.1,0),0)</f>
        <v>0</v>
      </c>
      <c r="AK1006" s="1768"/>
      <c r="AL1006" s="1768"/>
      <c r="AM1006" s="1768"/>
      <c r="AN1006" s="1768"/>
      <c r="AO1006" s="1768"/>
      <c r="AP1006" s="1768"/>
      <c r="AQ1006" s="1769"/>
      <c r="AR1006" s="68"/>
      <c r="AS1006" s="68"/>
      <c r="AT1006" s="68"/>
      <c r="AU1006" s="68"/>
      <c r="AV1006" s="68"/>
      <c r="AW1006" s="68"/>
      <c r="AX1006" s="68"/>
      <c r="BB1006" s="34"/>
      <c r="BD1006" s="34"/>
      <c r="BE1006" s="34"/>
      <c r="BF1006" s="34"/>
    </row>
    <row r="1007" spans="1:157" ht="12.95" customHeight="1">
      <c r="A1007" s="14"/>
      <c r="B1007" s="73"/>
      <c r="C1007" s="74"/>
      <c r="D1007" s="1669" t="s">
        <v>1394</v>
      </c>
      <c r="E1007" s="1670"/>
      <c r="F1007" s="1670"/>
      <c r="G1007" s="1670"/>
      <c r="H1007" s="1670"/>
      <c r="I1007" s="1670"/>
      <c r="J1007" s="1670"/>
      <c r="K1007" s="1670"/>
      <c r="L1007" s="1670"/>
      <c r="M1007" s="1670"/>
      <c r="N1007" s="1670"/>
      <c r="O1007" s="1670"/>
      <c r="P1007" s="1670"/>
      <c r="Q1007" s="1670"/>
      <c r="R1007" s="1670"/>
      <c r="S1007" s="1670"/>
      <c r="T1007" s="1670"/>
      <c r="U1007" s="1670"/>
      <c r="V1007" s="1670"/>
      <c r="W1007" s="1670"/>
      <c r="X1007" s="1670"/>
      <c r="Y1007" s="1670"/>
      <c r="Z1007" s="1670"/>
      <c r="AA1007" s="1670"/>
      <c r="AB1007" s="1670"/>
      <c r="AC1007" s="1670"/>
      <c r="AD1007" s="1670"/>
      <c r="AE1007" s="1671"/>
      <c r="AF1007" s="73"/>
      <c r="AI1007" s="83"/>
      <c r="AJ1007" s="1770"/>
      <c r="AK1007" s="1771"/>
      <c r="AL1007" s="1771"/>
      <c r="AM1007" s="1771"/>
      <c r="AN1007" s="1771"/>
      <c r="AO1007" s="1771"/>
      <c r="AP1007" s="1771"/>
      <c r="AQ1007" s="1772"/>
      <c r="AR1007" s="68"/>
      <c r="AS1007" s="68"/>
      <c r="AT1007" s="68"/>
      <c r="AU1007" s="68"/>
      <c r="AV1007" s="68"/>
      <c r="AW1007" s="68"/>
      <c r="AX1007" s="68"/>
    </row>
    <row r="1008" spans="1:157" ht="12.95" customHeight="1">
      <c r="A1008" s="14"/>
      <c r="B1008" s="73"/>
      <c r="C1008" s="74"/>
      <c r="D1008" s="1669"/>
      <c r="E1008" s="1670"/>
      <c r="F1008" s="1670"/>
      <c r="G1008" s="1670"/>
      <c r="H1008" s="1670"/>
      <c r="I1008" s="1670"/>
      <c r="J1008" s="1670"/>
      <c r="K1008" s="1670"/>
      <c r="L1008" s="1670"/>
      <c r="M1008" s="1670"/>
      <c r="N1008" s="1670"/>
      <c r="O1008" s="1670"/>
      <c r="P1008" s="1670"/>
      <c r="Q1008" s="1670"/>
      <c r="R1008" s="1670"/>
      <c r="S1008" s="1670"/>
      <c r="T1008" s="1670"/>
      <c r="U1008" s="1670"/>
      <c r="V1008" s="1670"/>
      <c r="W1008" s="1670"/>
      <c r="X1008" s="1670"/>
      <c r="Y1008" s="1670"/>
      <c r="Z1008" s="1670"/>
      <c r="AA1008" s="1670"/>
      <c r="AB1008" s="1670"/>
      <c r="AC1008" s="1670"/>
      <c r="AD1008" s="1670"/>
      <c r="AE1008" s="1671"/>
      <c r="AF1008" s="73"/>
      <c r="AG1008" s="14"/>
      <c r="AH1008" s="14"/>
      <c r="AI1008" s="83"/>
      <c r="AJ1008" s="1770"/>
      <c r="AK1008" s="1771"/>
      <c r="AL1008" s="1771"/>
      <c r="AM1008" s="1771"/>
      <c r="AN1008" s="1771"/>
      <c r="AO1008" s="1771"/>
      <c r="AP1008" s="1771"/>
      <c r="AQ1008" s="1772"/>
      <c r="AR1008" s="68"/>
      <c r="AS1008" s="68"/>
      <c r="AT1008" s="68"/>
      <c r="AU1008" s="68"/>
      <c r="AV1008" s="68"/>
      <c r="AW1008" s="68"/>
      <c r="AX1008" s="68"/>
    </row>
    <row r="1009" spans="1:51" ht="12.95" customHeight="1">
      <c r="A1009" s="14"/>
      <c r="B1009" s="85"/>
      <c r="C1009" s="76"/>
      <c r="D1009" s="1741"/>
      <c r="E1009" s="1742"/>
      <c r="F1009" s="1742"/>
      <c r="G1009" s="1742"/>
      <c r="H1009" s="1742"/>
      <c r="I1009" s="1742"/>
      <c r="J1009" s="1742"/>
      <c r="K1009" s="1742"/>
      <c r="L1009" s="1742"/>
      <c r="M1009" s="1742"/>
      <c r="N1009" s="1742"/>
      <c r="O1009" s="1742"/>
      <c r="P1009" s="1742"/>
      <c r="Q1009" s="1742"/>
      <c r="R1009" s="1742"/>
      <c r="S1009" s="1742"/>
      <c r="T1009" s="1742"/>
      <c r="U1009" s="1742"/>
      <c r="V1009" s="1742"/>
      <c r="W1009" s="1742"/>
      <c r="X1009" s="1742"/>
      <c r="Y1009" s="1742"/>
      <c r="Z1009" s="1742"/>
      <c r="AA1009" s="1742"/>
      <c r="AB1009" s="1742"/>
      <c r="AC1009" s="1742"/>
      <c r="AD1009" s="1742"/>
      <c r="AE1009" s="1743"/>
      <c r="AF1009" s="77"/>
      <c r="AG1009" s="7"/>
      <c r="AH1009" s="7"/>
      <c r="AI1009" s="78"/>
      <c r="AJ1009" s="1773"/>
      <c r="AK1009" s="1774"/>
      <c r="AL1009" s="1774"/>
      <c r="AM1009" s="1774"/>
      <c r="AN1009" s="1774"/>
      <c r="AO1009" s="1774"/>
      <c r="AP1009" s="1774"/>
      <c r="AQ1009" s="1775"/>
      <c r="AR1009" s="68"/>
      <c r="AS1009" s="68"/>
      <c r="AT1009" s="68"/>
      <c r="AU1009" s="68"/>
      <c r="AV1009" s="68"/>
      <c r="AW1009" s="68"/>
      <c r="AX1009" s="68"/>
    </row>
    <row r="1010" spans="1:51" ht="12.95" customHeight="1">
      <c r="A1010" s="14"/>
      <c r="B1010" s="79"/>
      <c r="C1010" s="80" t="s">
        <v>213</v>
      </c>
      <c r="D1010" s="1751" t="s">
        <v>1396</v>
      </c>
      <c r="E1010" s="1752"/>
      <c r="F1010" s="1752"/>
      <c r="G1010" s="1752"/>
      <c r="H1010" s="1752"/>
      <c r="I1010" s="1752"/>
      <c r="J1010" s="1752"/>
      <c r="K1010" s="1752"/>
      <c r="L1010" s="1752"/>
      <c r="M1010" s="1752"/>
      <c r="N1010" s="1752"/>
      <c r="O1010" s="1752"/>
      <c r="P1010" s="1752"/>
      <c r="Q1010" s="1752"/>
      <c r="R1010" s="1752"/>
      <c r="S1010" s="1752"/>
      <c r="T1010" s="1752"/>
      <c r="U1010" s="1752"/>
      <c r="V1010" s="1752"/>
      <c r="W1010" s="1752"/>
      <c r="X1010" s="1752"/>
      <c r="Y1010" s="1752"/>
      <c r="Z1010" s="1752"/>
      <c r="AA1010" s="1752"/>
      <c r="AB1010" s="1752"/>
      <c r="AC1010" s="1752"/>
      <c r="AD1010" s="1752"/>
      <c r="AE1010" s="1753"/>
      <c r="AF1010" s="79"/>
      <c r="AG1010" s="1737" t="s">
        <v>678</v>
      </c>
      <c r="AH1010" s="1738"/>
      <c r="AI1010" s="87"/>
      <c r="AJ1010" s="1767">
        <f>ROUND(IF(AG1010="yes",AJ991*0.02,0),0)</f>
        <v>0</v>
      </c>
      <c r="AK1010" s="1768"/>
      <c r="AL1010" s="1768"/>
      <c r="AM1010" s="1768"/>
      <c r="AN1010" s="1768"/>
      <c r="AO1010" s="1768"/>
      <c r="AP1010" s="1768"/>
      <c r="AQ1010" s="1769"/>
      <c r="AR1010" s="68"/>
      <c r="AS1010" s="68"/>
      <c r="AT1010" s="68"/>
      <c r="AU1010" s="68"/>
      <c r="AV1010" s="68"/>
      <c r="AW1010" s="68"/>
      <c r="AX1010" s="68"/>
      <c r="AY1010" s="215">
        <f>IF(SUM(AY1012:AY1020)&lt;=0.1,SUM(AY1012:AY1020),0.1)</f>
        <v>0</v>
      </c>
    </row>
    <row r="1011" spans="1:51" ht="14.25" customHeight="1">
      <c r="A1011" s="14"/>
      <c r="B1011" s="73"/>
      <c r="C1011" s="74"/>
      <c r="D1011" s="1741" t="s">
        <v>1397</v>
      </c>
      <c r="E1011" s="1742"/>
      <c r="F1011" s="1742"/>
      <c r="G1011" s="1742"/>
      <c r="H1011" s="1742"/>
      <c r="I1011" s="1742"/>
      <c r="J1011" s="1742"/>
      <c r="K1011" s="1742"/>
      <c r="L1011" s="1742"/>
      <c r="M1011" s="1742"/>
      <c r="N1011" s="1742"/>
      <c r="O1011" s="1742"/>
      <c r="P1011" s="1742"/>
      <c r="Q1011" s="1742"/>
      <c r="R1011" s="1742"/>
      <c r="S1011" s="1742"/>
      <c r="T1011" s="1742"/>
      <c r="U1011" s="1742"/>
      <c r="V1011" s="1742"/>
      <c r="W1011" s="1742"/>
      <c r="X1011" s="1742"/>
      <c r="Y1011" s="1742"/>
      <c r="Z1011" s="1742"/>
      <c r="AA1011" s="1742"/>
      <c r="AB1011" s="1742"/>
      <c r="AC1011" s="1742"/>
      <c r="AD1011" s="1742"/>
      <c r="AE1011" s="1743"/>
      <c r="AF1011" s="77"/>
      <c r="AG1011" s="7"/>
      <c r="AH1011" s="7"/>
      <c r="AI1011" s="78"/>
      <c r="AJ1011" s="1773"/>
      <c r="AK1011" s="1774"/>
      <c r="AL1011" s="1774"/>
      <c r="AM1011" s="1774"/>
      <c r="AN1011" s="1774"/>
      <c r="AO1011" s="1774"/>
      <c r="AP1011" s="1774"/>
      <c r="AQ1011" s="1775"/>
      <c r="AR1011" s="68"/>
      <c r="AS1011" s="68"/>
      <c r="AT1011" s="68"/>
      <c r="AU1011" s="68"/>
      <c r="AV1011" s="68"/>
      <c r="AW1011" s="68"/>
      <c r="AX1011" s="68"/>
    </row>
    <row r="1012" spans="1:51" ht="12.95" customHeight="1">
      <c r="A1012" s="14"/>
      <c r="B1012" s="79"/>
      <c r="C1012" s="80" t="s">
        <v>216</v>
      </c>
      <c r="D1012" s="1751" t="s">
        <v>1398</v>
      </c>
      <c r="E1012" s="1752"/>
      <c r="F1012" s="1752"/>
      <c r="G1012" s="1752"/>
      <c r="H1012" s="1752"/>
      <c r="I1012" s="1752"/>
      <c r="J1012" s="1752"/>
      <c r="K1012" s="1752"/>
      <c r="L1012" s="1752"/>
      <c r="M1012" s="1752"/>
      <c r="N1012" s="1752"/>
      <c r="O1012" s="1752"/>
      <c r="P1012" s="1752"/>
      <c r="Q1012" s="1752"/>
      <c r="R1012" s="1752"/>
      <c r="S1012" s="1752"/>
      <c r="T1012" s="1752"/>
      <c r="U1012" s="1752"/>
      <c r="V1012" s="1752"/>
      <c r="W1012" s="1752"/>
      <c r="X1012" s="1752"/>
      <c r="Y1012" s="1752"/>
      <c r="Z1012" s="1752"/>
      <c r="AA1012" s="1752"/>
      <c r="AB1012" s="1752"/>
      <c r="AC1012" s="1752"/>
      <c r="AD1012" s="1752"/>
      <c r="AE1012" s="1753"/>
      <c r="AF1012" s="79"/>
      <c r="AG1012" s="1737" t="s">
        <v>678</v>
      </c>
      <c r="AH1012" s="1738"/>
      <c r="AI1012" s="79"/>
      <c r="AJ1012" s="1767">
        <f>ROUND(IF(AG1012="yes",AJ991*0.02,0),0)</f>
        <v>0</v>
      </c>
      <c r="AK1012" s="1768"/>
      <c r="AL1012" s="1768"/>
      <c r="AM1012" s="1768"/>
      <c r="AN1012" s="1768"/>
      <c r="AO1012" s="1768"/>
      <c r="AP1012" s="1768"/>
      <c r="AQ1012" s="1769"/>
      <c r="AR1012" s="68"/>
      <c r="AS1012" s="68"/>
      <c r="AT1012" s="68"/>
      <c r="AU1012" s="68"/>
      <c r="AV1012" s="68"/>
      <c r="AW1012" s="68"/>
      <c r="AX1012" s="68"/>
      <c r="AY1012" s="213">
        <f>IF(A1064="Yes",0.05,0)</f>
        <v>0</v>
      </c>
    </row>
    <row r="1013" spans="1:51" ht="12.95" customHeight="1">
      <c r="A1013" s="14"/>
      <c r="B1013" s="73"/>
      <c r="C1013" s="74"/>
      <c r="D1013" s="1669" t="s">
        <v>1399</v>
      </c>
      <c r="E1013" s="1670"/>
      <c r="F1013" s="1670"/>
      <c r="G1013" s="1670"/>
      <c r="H1013" s="1670"/>
      <c r="I1013" s="1670"/>
      <c r="J1013" s="1670"/>
      <c r="K1013" s="1670"/>
      <c r="L1013" s="1670"/>
      <c r="M1013" s="1670"/>
      <c r="N1013" s="1670"/>
      <c r="O1013" s="1670"/>
      <c r="P1013" s="1670"/>
      <c r="Q1013" s="1670"/>
      <c r="R1013" s="1670"/>
      <c r="S1013" s="1670"/>
      <c r="T1013" s="1670"/>
      <c r="U1013" s="1670"/>
      <c r="V1013" s="1670"/>
      <c r="W1013" s="1670"/>
      <c r="X1013" s="1670"/>
      <c r="Y1013" s="1670"/>
      <c r="Z1013" s="1670"/>
      <c r="AA1013" s="1670"/>
      <c r="AB1013" s="1670"/>
      <c r="AC1013" s="1670"/>
      <c r="AD1013" s="1670"/>
      <c r="AE1013" s="1671"/>
      <c r="AF1013" s="1855" t="str">
        <f>IF(AND(AG1012="yes",AB212&lt;&gt;1),"The project may not be eligible for this boost","")</f>
        <v/>
      </c>
      <c r="AG1013" s="1856"/>
      <c r="AH1013" s="1856"/>
      <c r="AI1013" s="1857"/>
      <c r="AJ1013" s="1770"/>
      <c r="AK1013" s="1771"/>
      <c r="AL1013" s="1771"/>
      <c r="AM1013" s="1771"/>
      <c r="AN1013" s="1771"/>
      <c r="AO1013" s="1771"/>
      <c r="AP1013" s="1771"/>
      <c r="AQ1013" s="1772"/>
      <c r="AR1013" s="68"/>
      <c r="AS1013" s="68"/>
      <c r="AT1013" s="68"/>
      <c r="AU1013" s="68"/>
      <c r="AV1013" s="68"/>
      <c r="AW1013" s="68"/>
      <c r="AX1013" s="68"/>
      <c r="AY1013" s="213">
        <f>IF(A1070="Yes",0.02,0)</f>
        <v>0</v>
      </c>
    </row>
    <row r="1014" spans="1:51" ht="12.95" customHeight="1">
      <c r="A1014" s="14"/>
      <c r="B1014" s="75"/>
      <c r="C1014" s="76"/>
      <c r="D1014" s="1741"/>
      <c r="E1014" s="1742"/>
      <c r="F1014" s="1742"/>
      <c r="G1014" s="1742"/>
      <c r="H1014" s="1742"/>
      <c r="I1014" s="1742"/>
      <c r="J1014" s="1742"/>
      <c r="K1014" s="1742"/>
      <c r="L1014" s="1742"/>
      <c r="M1014" s="1742"/>
      <c r="N1014" s="1742"/>
      <c r="O1014" s="1742"/>
      <c r="P1014" s="1742"/>
      <c r="Q1014" s="1742"/>
      <c r="R1014" s="1742"/>
      <c r="S1014" s="1742"/>
      <c r="T1014" s="1742"/>
      <c r="U1014" s="1742"/>
      <c r="V1014" s="1742"/>
      <c r="W1014" s="1742"/>
      <c r="X1014" s="1742"/>
      <c r="Y1014" s="1742"/>
      <c r="Z1014" s="1742"/>
      <c r="AA1014" s="1742"/>
      <c r="AB1014" s="1742"/>
      <c r="AC1014" s="1742"/>
      <c r="AD1014" s="1742"/>
      <c r="AE1014" s="1743"/>
      <c r="AF1014" s="1858"/>
      <c r="AG1014" s="1859"/>
      <c r="AH1014" s="1859"/>
      <c r="AI1014" s="1860"/>
      <c r="AJ1014" s="1773"/>
      <c r="AK1014" s="1774"/>
      <c r="AL1014" s="1774"/>
      <c r="AM1014" s="1774"/>
      <c r="AN1014" s="1774"/>
      <c r="AO1014" s="1774"/>
      <c r="AP1014" s="1774"/>
      <c r="AQ1014" s="1775"/>
      <c r="AR1014" s="68"/>
      <c r="AS1014" s="68"/>
      <c r="AT1014" s="68"/>
      <c r="AU1014" s="68"/>
      <c r="AV1014" s="68"/>
      <c r="AW1014" s="68"/>
      <c r="AX1014" s="68"/>
      <c r="AY1014" s="213">
        <f>IF(A1076="Yes",0.04,0)</f>
        <v>0</v>
      </c>
    </row>
    <row r="1015" spans="1:51" ht="12.95" customHeight="1">
      <c r="A1015" s="14"/>
      <c r="B1015" s="79"/>
      <c r="C1015" s="80" t="s">
        <v>219</v>
      </c>
      <c r="D1015" s="1787" t="s">
        <v>1400</v>
      </c>
      <c r="E1015" s="1788"/>
      <c r="F1015" s="1788"/>
      <c r="G1015" s="1788"/>
      <c r="H1015" s="1788"/>
      <c r="I1015" s="1788"/>
      <c r="J1015" s="1788"/>
      <c r="K1015" s="1788"/>
      <c r="L1015" s="1788"/>
      <c r="M1015" s="1788"/>
      <c r="N1015" s="1788"/>
      <c r="O1015" s="1788"/>
      <c r="P1015" s="1788"/>
      <c r="Q1015" s="1788"/>
      <c r="R1015" s="1788"/>
      <c r="S1015" s="1788"/>
      <c r="T1015" s="1788"/>
      <c r="U1015" s="1788"/>
      <c r="V1015" s="1788"/>
      <c r="W1015" s="1788"/>
      <c r="X1015" s="1788"/>
      <c r="Y1015" s="1788"/>
      <c r="Z1015" s="1788"/>
      <c r="AA1015" s="1788"/>
      <c r="AB1015" s="1788"/>
      <c r="AC1015" s="1788"/>
      <c r="AD1015" s="1788"/>
      <c r="AE1015" s="1789"/>
      <c r="AF1015" s="79"/>
      <c r="AG1015" s="1737" t="s">
        <v>678</v>
      </c>
      <c r="AH1015" s="1738"/>
      <c r="AI1015" s="87"/>
      <c r="AJ1015" s="1767">
        <f>IF(AG1015="yes",AJ991*AY1010,0)</f>
        <v>0</v>
      </c>
      <c r="AK1015" s="1768"/>
      <c r="AL1015" s="1768"/>
      <c r="AM1015" s="1768"/>
      <c r="AN1015" s="1768"/>
      <c r="AO1015" s="1768"/>
      <c r="AP1015" s="1768"/>
      <c r="AQ1015" s="1769"/>
      <c r="AR1015" s="68"/>
      <c r="AS1015" s="68"/>
      <c r="AT1015" s="68"/>
      <c r="AU1015" s="68"/>
      <c r="AV1015" s="68"/>
      <c r="AW1015" s="68"/>
      <c r="AX1015" s="68"/>
      <c r="AY1015" s="213">
        <f>IF(A1083="Yes",0.04,0)</f>
        <v>0</v>
      </c>
    </row>
    <row r="1016" spans="1:51" ht="12.95" customHeight="1">
      <c r="A1016" s="14"/>
      <c r="B1016" s="73"/>
      <c r="C1016" s="74"/>
      <c r="D1016" s="1669" t="s">
        <v>1401</v>
      </c>
      <c r="E1016" s="1670"/>
      <c r="F1016" s="1670"/>
      <c r="G1016" s="1670"/>
      <c r="H1016" s="1670"/>
      <c r="I1016" s="1670"/>
      <c r="J1016" s="1670"/>
      <c r="K1016" s="1670"/>
      <c r="L1016" s="1670"/>
      <c r="M1016" s="1670"/>
      <c r="N1016" s="1670"/>
      <c r="O1016" s="1670"/>
      <c r="P1016" s="1670"/>
      <c r="Q1016" s="1670"/>
      <c r="R1016" s="1670"/>
      <c r="S1016" s="1670"/>
      <c r="T1016" s="1670"/>
      <c r="U1016" s="1670"/>
      <c r="V1016" s="1670"/>
      <c r="W1016" s="1670"/>
      <c r="X1016" s="1670"/>
      <c r="Y1016" s="1670"/>
      <c r="Z1016" s="1670"/>
      <c r="AA1016" s="1670"/>
      <c r="AB1016" s="1670"/>
      <c r="AC1016" s="1670"/>
      <c r="AD1016" s="1670"/>
      <c r="AE1016" s="1671"/>
      <c r="AF1016" s="1849" t="str">
        <f>IF(AND(AG1015="Yes",AY1010=0),AY1022,"")</f>
        <v/>
      </c>
      <c r="AG1016" s="1850"/>
      <c r="AH1016" s="1850"/>
      <c r="AI1016" s="1851"/>
      <c r="AJ1016" s="1770"/>
      <c r="AK1016" s="1771"/>
      <c r="AL1016" s="1771"/>
      <c r="AM1016" s="1771"/>
      <c r="AN1016" s="1771"/>
      <c r="AO1016" s="1771"/>
      <c r="AP1016" s="1771"/>
      <c r="AQ1016" s="1772"/>
      <c r="AR1016" s="68"/>
      <c r="AS1016" s="68"/>
      <c r="AT1016" s="68"/>
      <c r="AU1016" s="68"/>
      <c r="AV1016" s="68"/>
      <c r="AW1016" s="68"/>
      <c r="AX1016" s="68"/>
      <c r="AY1016" s="213">
        <f>IF(A1086="Yes",0.01,0)</f>
        <v>0</v>
      </c>
    </row>
    <row r="1017" spans="1:51" ht="12.95" customHeight="1">
      <c r="A1017" s="14"/>
      <c r="B1017" s="73"/>
      <c r="C1017" s="74"/>
      <c r="D1017" s="1669"/>
      <c r="E1017" s="1670"/>
      <c r="F1017" s="1670"/>
      <c r="G1017" s="1670"/>
      <c r="H1017" s="1670"/>
      <c r="I1017" s="1670"/>
      <c r="J1017" s="1670"/>
      <c r="K1017" s="1670"/>
      <c r="L1017" s="1670"/>
      <c r="M1017" s="1670"/>
      <c r="N1017" s="1670"/>
      <c r="O1017" s="1670"/>
      <c r="P1017" s="1670"/>
      <c r="Q1017" s="1670"/>
      <c r="R1017" s="1670"/>
      <c r="S1017" s="1670"/>
      <c r="T1017" s="1670"/>
      <c r="U1017" s="1670"/>
      <c r="V1017" s="1670"/>
      <c r="W1017" s="1670"/>
      <c r="X1017" s="1670"/>
      <c r="Y1017" s="1670"/>
      <c r="Z1017" s="1670"/>
      <c r="AA1017" s="1670"/>
      <c r="AB1017" s="1670"/>
      <c r="AC1017" s="1670"/>
      <c r="AD1017" s="1670"/>
      <c r="AE1017" s="1671"/>
      <c r="AF1017" s="1849"/>
      <c r="AG1017" s="1850"/>
      <c r="AH1017" s="1850"/>
      <c r="AI1017" s="1851"/>
      <c r="AJ1017" s="1770"/>
      <c r="AK1017" s="1771"/>
      <c r="AL1017" s="1771"/>
      <c r="AM1017" s="1771"/>
      <c r="AN1017" s="1771"/>
      <c r="AO1017" s="1771"/>
      <c r="AP1017" s="1771"/>
      <c r="AQ1017" s="1772"/>
      <c r="AR1017" s="68"/>
      <c r="AS1017" s="68"/>
      <c r="AT1017" s="68"/>
      <c r="AU1017" s="68"/>
      <c r="AV1017" s="68"/>
      <c r="AW1017" s="68"/>
      <c r="AX1017" s="68"/>
      <c r="AY1017" s="213">
        <f>IF(A1091="Yes",0.01,0)</f>
        <v>0</v>
      </c>
    </row>
    <row r="1018" spans="1:51" ht="12.95" customHeight="1">
      <c r="A1018" s="14"/>
      <c r="B1018" s="81"/>
      <c r="C1018" s="82"/>
      <c r="D1018" s="1741"/>
      <c r="E1018" s="1742"/>
      <c r="F1018" s="1742"/>
      <c r="G1018" s="1742"/>
      <c r="H1018" s="1742"/>
      <c r="I1018" s="1742"/>
      <c r="J1018" s="1742"/>
      <c r="K1018" s="1742"/>
      <c r="L1018" s="1742"/>
      <c r="M1018" s="1742"/>
      <c r="N1018" s="1742"/>
      <c r="O1018" s="1742"/>
      <c r="P1018" s="1742"/>
      <c r="Q1018" s="1742"/>
      <c r="R1018" s="1742"/>
      <c r="S1018" s="1742"/>
      <c r="T1018" s="1742"/>
      <c r="U1018" s="1742"/>
      <c r="V1018" s="1742"/>
      <c r="W1018" s="1742"/>
      <c r="X1018" s="1742"/>
      <c r="Y1018" s="1742"/>
      <c r="Z1018" s="1742"/>
      <c r="AA1018" s="1742"/>
      <c r="AB1018" s="1742"/>
      <c r="AC1018" s="1742"/>
      <c r="AD1018" s="1742"/>
      <c r="AE1018" s="1743"/>
      <c r="AF1018" s="1852"/>
      <c r="AG1018" s="1853"/>
      <c r="AH1018" s="1853"/>
      <c r="AI1018" s="1854"/>
      <c r="AJ1018" s="1773"/>
      <c r="AK1018" s="1774"/>
      <c r="AL1018" s="1774"/>
      <c r="AM1018" s="1774"/>
      <c r="AN1018" s="1774"/>
      <c r="AO1018" s="1774"/>
      <c r="AP1018" s="1774"/>
      <c r="AQ1018" s="1775"/>
      <c r="AR1018" s="68"/>
      <c r="AS1018" s="68"/>
      <c r="AT1018" s="68"/>
      <c r="AU1018" s="68"/>
      <c r="AV1018" s="68"/>
      <c r="AW1018" s="68"/>
      <c r="AX1018" s="68"/>
      <c r="AY1018" s="213">
        <f>IF(A1094="Yes",0.01,0)</f>
        <v>0</v>
      </c>
    </row>
    <row r="1019" spans="1:51" ht="12.95" customHeight="1">
      <c r="A1019" s="14"/>
      <c r="B1019" s="79"/>
      <c r="C1019" s="80" t="s">
        <v>224</v>
      </c>
      <c r="D1019" s="1798" t="s">
        <v>1402</v>
      </c>
      <c r="E1019" s="1799"/>
      <c r="F1019" s="1799"/>
      <c r="G1019" s="1799"/>
      <c r="H1019" s="1799"/>
      <c r="I1019" s="1799"/>
      <c r="J1019" s="1799"/>
      <c r="K1019" s="1799"/>
      <c r="L1019" s="1799"/>
      <c r="M1019" s="1799"/>
      <c r="N1019" s="1799"/>
      <c r="O1019" s="1799"/>
      <c r="P1019" s="1799"/>
      <c r="Q1019" s="1799"/>
      <c r="R1019" s="1799"/>
      <c r="S1019" s="1799"/>
      <c r="T1019" s="1799"/>
      <c r="U1019" s="1799"/>
      <c r="V1019" s="1799"/>
      <c r="W1019" s="1799"/>
      <c r="X1019" s="1799"/>
      <c r="Y1019" s="1799"/>
      <c r="Z1019" s="1799"/>
      <c r="AA1019" s="1799"/>
      <c r="AB1019" s="1799"/>
      <c r="AC1019" s="1799"/>
      <c r="AD1019" s="1799"/>
      <c r="AE1019" s="1800"/>
      <c r="AF1019" s="79"/>
      <c r="AG1019" s="1737" t="s">
        <v>678</v>
      </c>
      <c r="AH1019" s="1738"/>
      <c r="AI1019" s="87"/>
      <c r="AJ1019" s="1767">
        <f>ROUND(IF(AND(AG1019="Yes",J1023&lt;&gt;"N/A",AF1022&lt;&gt;""),MIN(AF1022,(0.15*AJ991)),0),0)</f>
        <v>0</v>
      </c>
      <c r="AK1019" s="1768"/>
      <c r="AL1019" s="1768"/>
      <c r="AM1019" s="1768"/>
      <c r="AN1019" s="1768"/>
      <c r="AO1019" s="1768"/>
      <c r="AP1019" s="1768"/>
      <c r="AQ1019" s="1769"/>
      <c r="AR1019" s="68"/>
      <c r="AS1019" s="68"/>
      <c r="AT1019" s="68"/>
      <c r="AU1019" s="68"/>
      <c r="AV1019" s="68"/>
      <c r="AW1019" s="68"/>
      <c r="AX1019" s="68"/>
      <c r="AY1019" s="213">
        <f>IF(A1098="Yes",0.02,0)</f>
        <v>0</v>
      </c>
    </row>
    <row r="1020" spans="1:51" ht="12.95" customHeight="1">
      <c r="A1020" s="14"/>
      <c r="B1020" s="81"/>
      <c r="C1020" s="84"/>
      <c r="D1020" s="1801"/>
      <c r="E1020" s="1802"/>
      <c r="F1020" s="1802"/>
      <c r="G1020" s="1802"/>
      <c r="H1020" s="1802"/>
      <c r="I1020" s="1802"/>
      <c r="J1020" s="1802"/>
      <c r="K1020" s="1802"/>
      <c r="L1020" s="1802"/>
      <c r="M1020" s="1802"/>
      <c r="N1020" s="1802"/>
      <c r="O1020" s="1802"/>
      <c r="P1020" s="1802"/>
      <c r="Q1020" s="1802"/>
      <c r="R1020" s="1802"/>
      <c r="S1020" s="1802"/>
      <c r="T1020" s="1802"/>
      <c r="U1020" s="1802"/>
      <c r="V1020" s="1802"/>
      <c r="W1020" s="1802"/>
      <c r="X1020" s="1802"/>
      <c r="Y1020" s="1802"/>
      <c r="Z1020" s="1802"/>
      <c r="AA1020" s="1802"/>
      <c r="AB1020" s="1802"/>
      <c r="AC1020" s="1802"/>
      <c r="AD1020" s="1802"/>
      <c r="AE1020" s="1803"/>
      <c r="AF1020" s="1824" t="str">
        <f>IF(AG1019="yes","Please Select Type and Enter Amount:","")</f>
        <v/>
      </c>
      <c r="AG1020" s="1825"/>
      <c r="AH1020" s="1825"/>
      <c r="AI1020" s="1826"/>
      <c r="AJ1020" s="1770"/>
      <c r="AK1020" s="1771"/>
      <c r="AL1020" s="1771"/>
      <c r="AM1020" s="1771"/>
      <c r="AN1020" s="1771"/>
      <c r="AO1020" s="1771"/>
      <c r="AP1020" s="1771"/>
      <c r="AQ1020" s="1772"/>
      <c r="AR1020" s="68"/>
      <c r="AS1020" s="68"/>
      <c r="AT1020" s="68"/>
      <c r="AU1020" s="68"/>
      <c r="AV1020" s="68"/>
      <c r="AW1020" s="68"/>
      <c r="AX1020" s="68"/>
      <c r="AY1020" s="214">
        <f>IF(A1103="Yes",0.02,0)</f>
        <v>0</v>
      </c>
    </row>
    <row r="1021" spans="1:51" ht="12.95" customHeight="1">
      <c r="A1021" s="14"/>
      <c r="B1021" s="81"/>
      <c r="C1021" s="84"/>
      <c r="D1021" s="1669" t="s">
        <v>1403</v>
      </c>
      <c r="E1021" s="1670"/>
      <c r="F1021" s="1670"/>
      <c r="G1021" s="1670"/>
      <c r="H1021" s="1670"/>
      <c r="I1021" s="1670"/>
      <c r="J1021" s="1670"/>
      <c r="K1021" s="1670"/>
      <c r="L1021" s="1670"/>
      <c r="M1021" s="1670"/>
      <c r="N1021" s="1670"/>
      <c r="O1021" s="1670"/>
      <c r="P1021" s="1670"/>
      <c r="Q1021" s="1670"/>
      <c r="R1021" s="1670"/>
      <c r="S1021" s="1670"/>
      <c r="T1021" s="1670"/>
      <c r="U1021" s="1670"/>
      <c r="V1021" s="1670"/>
      <c r="W1021" s="1670"/>
      <c r="X1021" s="1670"/>
      <c r="Y1021" s="1670"/>
      <c r="Z1021" s="1670"/>
      <c r="AA1021" s="1670"/>
      <c r="AB1021" s="1670"/>
      <c r="AC1021" s="1670"/>
      <c r="AD1021" s="1670"/>
      <c r="AE1021" s="1671"/>
      <c r="AF1021" s="1824"/>
      <c r="AG1021" s="1825"/>
      <c r="AH1021" s="1825"/>
      <c r="AI1021" s="1826"/>
      <c r="AJ1021" s="1770"/>
      <c r="AK1021" s="1771"/>
      <c r="AL1021" s="1771"/>
      <c r="AM1021" s="1771"/>
      <c r="AN1021" s="1771"/>
      <c r="AO1021" s="1771"/>
      <c r="AP1021" s="1771"/>
      <c r="AQ1021" s="1772"/>
      <c r="AR1021" s="68"/>
      <c r="AS1021" s="68"/>
      <c r="AT1021" s="68"/>
      <c r="AU1021" s="68"/>
      <c r="AV1021" s="68"/>
      <c r="AW1021" s="68"/>
      <c r="AX1021" s="68"/>
      <c r="AY1021" s="68"/>
    </row>
    <row r="1022" spans="1:51" ht="12.95" customHeight="1">
      <c r="A1022" s="14"/>
      <c r="B1022" s="81"/>
      <c r="C1022" s="84"/>
      <c r="D1022" s="1669"/>
      <c r="E1022" s="1670"/>
      <c r="F1022" s="1670"/>
      <c r="G1022" s="1670"/>
      <c r="H1022" s="1670"/>
      <c r="I1022" s="1670"/>
      <c r="J1022" s="1670"/>
      <c r="K1022" s="1670"/>
      <c r="L1022" s="1670"/>
      <c r="M1022" s="1670"/>
      <c r="N1022" s="1670"/>
      <c r="O1022" s="1670"/>
      <c r="P1022" s="1670"/>
      <c r="Q1022" s="1670"/>
      <c r="R1022" s="1670"/>
      <c r="S1022" s="1670"/>
      <c r="T1022" s="1670"/>
      <c r="U1022" s="1670"/>
      <c r="V1022" s="1670"/>
      <c r="W1022" s="1670"/>
      <c r="X1022" s="1670"/>
      <c r="Y1022" s="1670"/>
      <c r="Z1022" s="1670"/>
      <c r="AA1022" s="1670"/>
      <c r="AB1022" s="1670"/>
      <c r="AC1022" s="1670"/>
      <c r="AD1022" s="1670"/>
      <c r="AE1022" s="1671"/>
      <c r="AF1022" s="1760"/>
      <c r="AG1022" s="1760"/>
      <c r="AH1022" s="1760"/>
      <c r="AI1022" s="1760"/>
      <c r="AJ1022" s="1770"/>
      <c r="AK1022" s="1771"/>
      <c r="AL1022" s="1771"/>
      <c r="AM1022" s="1771"/>
      <c r="AN1022" s="1771"/>
      <c r="AO1022" s="1771"/>
      <c r="AP1022" s="1771"/>
      <c r="AQ1022" s="1772"/>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16" t="s">
        <v>600</v>
      </c>
      <c r="K1023" s="1817"/>
      <c r="L1023" s="1817"/>
      <c r="M1023" s="1817"/>
      <c r="N1023" s="1817"/>
      <c r="O1023" s="1817"/>
      <c r="P1023" s="1817"/>
      <c r="Q1023" s="1817"/>
      <c r="R1023" s="1817"/>
      <c r="S1023" s="1817"/>
      <c r="T1023" s="1817"/>
      <c r="U1023" s="1817"/>
      <c r="V1023" s="1817"/>
      <c r="W1023" s="1817"/>
      <c r="X1023" s="1817"/>
      <c r="Y1023" s="1817"/>
      <c r="Z1023" s="1817"/>
      <c r="AA1023" s="1817"/>
      <c r="AB1023" s="1817"/>
      <c r="AC1023" s="1817"/>
      <c r="AD1023" s="1817"/>
      <c r="AE1023" s="1818"/>
      <c r="AF1023" s="1760"/>
      <c r="AG1023" s="1760"/>
      <c r="AH1023" s="1760"/>
      <c r="AI1023" s="1760"/>
      <c r="AJ1023" s="1773"/>
      <c r="AK1023" s="1774"/>
      <c r="AL1023" s="1774"/>
      <c r="AM1023" s="1774"/>
      <c r="AN1023" s="1774"/>
      <c r="AO1023" s="1774"/>
      <c r="AP1023" s="1774"/>
      <c r="AQ1023" s="1775"/>
      <c r="AR1023" s="68"/>
      <c r="AS1023" s="68"/>
      <c r="AT1023" s="68"/>
      <c r="AU1023" s="68"/>
      <c r="AV1023" s="68"/>
      <c r="AW1023" s="68"/>
      <c r="AX1023" s="68"/>
      <c r="AY1023" s="68"/>
    </row>
    <row r="1024" spans="1:51" ht="12.95" customHeight="1">
      <c r="A1024" s="14"/>
      <c r="B1024" s="79"/>
      <c r="C1024" s="80" t="s">
        <v>230</v>
      </c>
      <c r="D1024" s="1751" t="s">
        <v>1404</v>
      </c>
      <c r="E1024" s="1752"/>
      <c r="F1024" s="1752"/>
      <c r="G1024" s="1752"/>
      <c r="H1024" s="1752"/>
      <c r="I1024" s="1752"/>
      <c r="J1024" s="1752"/>
      <c r="K1024" s="1752"/>
      <c r="L1024" s="1752"/>
      <c r="M1024" s="1752"/>
      <c r="N1024" s="1752"/>
      <c r="O1024" s="1752"/>
      <c r="P1024" s="1752"/>
      <c r="Q1024" s="1752"/>
      <c r="R1024" s="1752"/>
      <c r="S1024" s="1752"/>
      <c r="T1024" s="1752"/>
      <c r="U1024" s="1752"/>
      <c r="V1024" s="1752"/>
      <c r="W1024" s="1752"/>
      <c r="X1024" s="1752"/>
      <c r="Y1024" s="1752"/>
      <c r="Z1024" s="1752"/>
      <c r="AA1024" s="1752"/>
      <c r="AB1024" s="1752"/>
      <c r="AC1024" s="1752"/>
      <c r="AD1024" s="1752"/>
      <c r="AE1024" s="1753"/>
      <c r="AF1024" s="79"/>
      <c r="AG1024" s="1737" t="s">
        <v>678</v>
      </c>
      <c r="AH1024" s="1738"/>
      <c r="AI1024" s="87"/>
      <c r="AJ1024" s="1767">
        <f>ROUND(IF(AG1024="Yes",AF1026,0),0)</f>
        <v>0</v>
      </c>
      <c r="AK1024" s="1768"/>
      <c r="AL1024" s="1768"/>
      <c r="AM1024" s="1768"/>
      <c r="AN1024" s="1768"/>
      <c r="AO1024" s="1768"/>
      <c r="AP1024" s="1768"/>
      <c r="AQ1024" s="1769"/>
      <c r="AR1024" s="68"/>
      <c r="AS1024" s="68"/>
      <c r="AT1024" s="68"/>
      <c r="AU1024" s="68"/>
      <c r="AV1024" s="68"/>
      <c r="AW1024" s="68"/>
      <c r="AX1024" s="68"/>
      <c r="AY1024" s="68"/>
    </row>
    <row r="1025" spans="1:51" ht="12.95" customHeight="1">
      <c r="A1025" s="14"/>
      <c r="B1025" s="73"/>
      <c r="C1025" s="74"/>
      <c r="D1025" s="1669" t="s">
        <v>1879</v>
      </c>
      <c r="E1025" s="1670"/>
      <c r="F1025" s="1670"/>
      <c r="G1025" s="1670"/>
      <c r="H1025" s="1670"/>
      <c r="I1025" s="1670"/>
      <c r="J1025" s="1670"/>
      <c r="K1025" s="1670"/>
      <c r="L1025" s="1670"/>
      <c r="M1025" s="1670"/>
      <c r="N1025" s="1670"/>
      <c r="O1025" s="1670"/>
      <c r="P1025" s="1670"/>
      <c r="Q1025" s="1670"/>
      <c r="R1025" s="1670"/>
      <c r="S1025" s="1670"/>
      <c r="T1025" s="1670"/>
      <c r="U1025" s="1670"/>
      <c r="V1025" s="1670"/>
      <c r="W1025" s="1670"/>
      <c r="X1025" s="1670"/>
      <c r="Y1025" s="1670"/>
      <c r="Z1025" s="1670"/>
      <c r="AA1025" s="1670"/>
      <c r="AB1025" s="1670"/>
      <c r="AC1025" s="1670"/>
      <c r="AD1025" s="1670"/>
      <c r="AE1025" s="1671"/>
      <c r="AF1025" s="1807" t="str">
        <f>IF(AG1024="yes","Enter Amount:","")</f>
        <v/>
      </c>
      <c r="AG1025" s="1808"/>
      <c r="AH1025" s="1808"/>
      <c r="AI1025" s="1809"/>
      <c r="AJ1025" s="1770"/>
      <c r="AK1025" s="1771"/>
      <c r="AL1025" s="1771"/>
      <c r="AM1025" s="1771"/>
      <c r="AN1025" s="1771"/>
      <c r="AO1025" s="1771"/>
      <c r="AP1025" s="1771"/>
      <c r="AQ1025" s="1772"/>
      <c r="AR1025" s="68"/>
      <c r="AS1025" s="68"/>
      <c r="AT1025" s="68"/>
      <c r="AU1025" s="68"/>
      <c r="AV1025" s="68"/>
      <c r="AW1025" s="68"/>
      <c r="AX1025" s="68"/>
      <c r="AY1025" s="68"/>
    </row>
    <row r="1026" spans="1:51" ht="12.95" customHeight="1">
      <c r="A1026" s="14"/>
      <c r="B1026" s="73"/>
      <c r="C1026" s="74"/>
      <c r="D1026" s="1669"/>
      <c r="E1026" s="1670"/>
      <c r="F1026" s="1670"/>
      <c r="G1026" s="1670"/>
      <c r="H1026" s="1670"/>
      <c r="I1026" s="1670"/>
      <c r="J1026" s="1670"/>
      <c r="K1026" s="1670"/>
      <c r="L1026" s="1670"/>
      <c r="M1026" s="1670"/>
      <c r="N1026" s="1670"/>
      <c r="O1026" s="1670"/>
      <c r="P1026" s="1670"/>
      <c r="Q1026" s="1670"/>
      <c r="R1026" s="1670"/>
      <c r="S1026" s="1670"/>
      <c r="T1026" s="1670"/>
      <c r="U1026" s="1670"/>
      <c r="V1026" s="1670"/>
      <c r="W1026" s="1670"/>
      <c r="X1026" s="1670"/>
      <c r="Y1026" s="1670"/>
      <c r="Z1026" s="1670"/>
      <c r="AA1026" s="1670"/>
      <c r="AB1026" s="1670"/>
      <c r="AC1026" s="1670"/>
      <c r="AD1026" s="1670"/>
      <c r="AE1026" s="1671"/>
      <c r="AF1026" s="1760"/>
      <c r="AG1026" s="1760"/>
      <c r="AH1026" s="1760"/>
      <c r="AI1026" s="1760"/>
      <c r="AJ1026" s="1770"/>
      <c r="AK1026" s="1771"/>
      <c r="AL1026" s="1771"/>
      <c r="AM1026" s="1771"/>
      <c r="AN1026" s="1771"/>
      <c r="AO1026" s="1771"/>
      <c r="AP1026" s="1771"/>
      <c r="AQ1026" s="1772"/>
      <c r="AR1026" s="68"/>
      <c r="AS1026" s="68"/>
      <c r="AT1026" s="68"/>
      <c r="AU1026" s="68"/>
      <c r="AV1026" s="68"/>
      <c r="AW1026" s="68"/>
      <c r="AX1026" s="68"/>
      <c r="AY1026" s="68"/>
    </row>
    <row r="1027" spans="1:51" ht="12.95" customHeight="1">
      <c r="A1027" s="14"/>
      <c r="B1027" s="85"/>
      <c r="C1027" s="84"/>
      <c r="D1027" s="1741"/>
      <c r="E1027" s="1742"/>
      <c r="F1027" s="1742"/>
      <c r="G1027" s="1742"/>
      <c r="H1027" s="1742"/>
      <c r="I1027" s="1742"/>
      <c r="J1027" s="1742"/>
      <c r="K1027" s="1742"/>
      <c r="L1027" s="1742"/>
      <c r="M1027" s="1742"/>
      <c r="N1027" s="1742"/>
      <c r="O1027" s="1742"/>
      <c r="P1027" s="1742"/>
      <c r="Q1027" s="1742"/>
      <c r="R1027" s="1742"/>
      <c r="S1027" s="1742"/>
      <c r="T1027" s="1742"/>
      <c r="U1027" s="1742"/>
      <c r="V1027" s="1742"/>
      <c r="W1027" s="1742"/>
      <c r="X1027" s="1742"/>
      <c r="Y1027" s="1742"/>
      <c r="Z1027" s="1742"/>
      <c r="AA1027" s="1742"/>
      <c r="AB1027" s="1742"/>
      <c r="AC1027" s="1742"/>
      <c r="AD1027" s="1742"/>
      <c r="AE1027" s="1743"/>
      <c r="AF1027" s="1760"/>
      <c r="AG1027" s="1760"/>
      <c r="AH1027" s="1760"/>
      <c r="AI1027" s="1760"/>
      <c r="AJ1027" s="1773"/>
      <c r="AK1027" s="1774"/>
      <c r="AL1027" s="1774"/>
      <c r="AM1027" s="1774"/>
      <c r="AN1027" s="1774"/>
      <c r="AO1027" s="1774"/>
      <c r="AP1027" s="1774"/>
      <c r="AQ1027" s="1775"/>
      <c r="AR1027" s="68"/>
      <c r="AS1027" s="68"/>
      <c r="AT1027" s="68"/>
      <c r="AU1027" s="68"/>
      <c r="AV1027" s="68"/>
      <c r="AW1027" s="68"/>
      <c r="AX1027" s="68"/>
      <c r="AY1027" s="68"/>
    </row>
    <row r="1028" spans="1:51" ht="12.95" customHeight="1">
      <c r="A1028" s="14"/>
      <c r="B1028" s="79"/>
      <c r="C1028" s="80" t="s">
        <v>235</v>
      </c>
      <c r="D1028" s="1787" t="s">
        <v>1405</v>
      </c>
      <c r="E1028" s="1788"/>
      <c r="F1028" s="1788"/>
      <c r="G1028" s="1788"/>
      <c r="H1028" s="1788"/>
      <c r="I1028" s="1788"/>
      <c r="J1028" s="1788"/>
      <c r="K1028" s="1788"/>
      <c r="L1028" s="1788"/>
      <c r="M1028" s="1788"/>
      <c r="N1028" s="1788"/>
      <c r="O1028" s="1788"/>
      <c r="P1028" s="1788"/>
      <c r="Q1028" s="1788"/>
      <c r="R1028" s="1788"/>
      <c r="S1028" s="1788"/>
      <c r="T1028" s="1788"/>
      <c r="U1028" s="1788"/>
      <c r="V1028" s="1788"/>
      <c r="W1028" s="1788"/>
      <c r="X1028" s="1788"/>
      <c r="Y1028" s="1788"/>
      <c r="Z1028" s="1788"/>
      <c r="AA1028" s="1788"/>
      <c r="AB1028" s="1788"/>
      <c r="AC1028" s="1788"/>
      <c r="AD1028" s="1788"/>
      <c r="AE1028" s="1789"/>
      <c r="AF1028" s="79"/>
      <c r="AG1028" s="1737" t="s">
        <v>678</v>
      </c>
      <c r="AH1028" s="1738"/>
      <c r="AI1028" s="87"/>
      <c r="AJ1028" s="1767">
        <f>ROUND(IF(AG1028="yes",(AJ991*0.1),0),0)</f>
        <v>0</v>
      </c>
      <c r="AK1028" s="1768"/>
      <c r="AL1028" s="1768"/>
      <c r="AM1028" s="1768"/>
      <c r="AN1028" s="1768"/>
      <c r="AO1028" s="1768"/>
      <c r="AP1028" s="1768"/>
      <c r="AQ1028" s="1769"/>
      <c r="AR1028" s="68"/>
      <c r="AS1028" s="68"/>
      <c r="AT1028" s="68"/>
      <c r="AU1028" s="68"/>
      <c r="AV1028" s="68"/>
      <c r="AW1028" s="68"/>
      <c r="AX1028" s="68"/>
      <c r="AY1028" s="68"/>
    </row>
    <row r="1029" spans="1:51" ht="12.95" customHeight="1">
      <c r="A1029" s="14"/>
      <c r="B1029" s="73"/>
      <c r="C1029" s="74"/>
      <c r="D1029" s="1669" t="s">
        <v>1406</v>
      </c>
      <c r="E1029" s="1670"/>
      <c r="F1029" s="1670"/>
      <c r="G1029" s="1670"/>
      <c r="H1029" s="1670"/>
      <c r="I1029" s="1670"/>
      <c r="J1029" s="1670"/>
      <c r="K1029" s="1670"/>
      <c r="L1029" s="1670"/>
      <c r="M1029" s="1670"/>
      <c r="N1029" s="1670"/>
      <c r="O1029" s="1670"/>
      <c r="P1029" s="1670"/>
      <c r="Q1029" s="1670"/>
      <c r="R1029" s="1670"/>
      <c r="S1029" s="1670"/>
      <c r="T1029" s="1670"/>
      <c r="U1029" s="1670"/>
      <c r="V1029" s="1670"/>
      <c r="W1029" s="1670"/>
      <c r="X1029" s="1670"/>
      <c r="Y1029" s="1670"/>
      <c r="Z1029" s="1670"/>
      <c r="AA1029" s="1670"/>
      <c r="AB1029" s="1670"/>
      <c r="AC1029" s="1670"/>
      <c r="AD1029" s="1670"/>
      <c r="AE1029" s="1671"/>
      <c r="AF1029" s="73"/>
      <c r="AG1029" s="14"/>
      <c r="AH1029" s="14"/>
      <c r="AI1029" s="83"/>
      <c r="AJ1029" s="1770"/>
      <c r="AK1029" s="1771"/>
      <c r="AL1029" s="1771"/>
      <c r="AM1029" s="1771"/>
      <c r="AN1029" s="1771"/>
      <c r="AO1029" s="1771"/>
      <c r="AP1029" s="1771"/>
      <c r="AQ1029" s="1772"/>
      <c r="AR1029" s="68"/>
      <c r="AS1029" s="68"/>
      <c r="AT1029" s="68"/>
      <c r="AU1029" s="68"/>
      <c r="AV1029" s="68"/>
      <c r="AW1029" s="68"/>
      <c r="AX1029" s="68"/>
      <c r="AY1029" s="68"/>
    </row>
    <row r="1030" spans="1:51" ht="12.95" customHeight="1">
      <c r="A1030" s="14"/>
      <c r="B1030" s="77"/>
      <c r="C1030" s="74"/>
      <c r="D1030" s="1741"/>
      <c r="E1030" s="1742"/>
      <c r="F1030" s="1742"/>
      <c r="G1030" s="1742"/>
      <c r="H1030" s="1742"/>
      <c r="I1030" s="1742"/>
      <c r="J1030" s="1742"/>
      <c r="K1030" s="1742"/>
      <c r="L1030" s="1742"/>
      <c r="M1030" s="1742"/>
      <c r="N1030" s="1742"/>
      <c r="O1030" s="1742"/>
      <c r="P1030" s="1742"/>
      <c r="Q1030" s="1742"/>
      <c r="R1030" s="1742"/>
      <c r="S1030" s="1742"/>
      <c r="T1030" s="1742"/>
      <c r="U1030" s="1742"/>
      <c r="V1030" s="1742"/>
      <c r="W1030" s="1742"/>
      <c r="X1030" s="1742"/>
      <c r="Y1030" s="1742"/>
      <c r="Z1030" s="1742"/>
      <c r="AA1030" s="1742"/>
      <c r="AB1030" s="1742"/>
      <c r="AC1030" s="1742"/>
      <c r="AD1030" s="1742"/>
      <c r="AE1030" s="1743"/>
      <c r="AF1030" s="73"/>
      <c r="AG1030" s="14"/>
      <c r="AH1030" s="14"/>
      <c r="AI1030" s="83"/>
      <c r="AJ1030" s="1773"/>
      <c r="AK1030" s="1774"/>
      <c r="AL1030" s="1774"/>
      <c r="AM1030" s="1774"/>
      <c r="AN1030" s="1774"/>
      <c r="AO1030" s="1774"/>
      <c r="AP1030" s="1774"/>
      <c r="AQ1030" s="1775"/>
      <c r="AR1030" s="68"/>
      <c r="AS1030" s="68"/>
      <c r="AT1030" s="68"/>
      <c r="AU1030" s="68"/>
      <c r="AV1030" s="68"/>
      <c r="AW1030" s="68"/>
      <c r="AX1030" s="68"/>
      <c r="AY1030" s="68"/>
    </row>
    <row r="1031" spans="1:51" ht="12.95" customHeight="1">
      <c r="A1031" s="14"/>
      <c r="B1031" s="73"/>
      <c r="C1031" s="367" t="s">
        <v>697</v>
      </c>
      <c r="D1031" s="1751" t="s">
        <v>1875</v>
      </c>
      <c r="E1031" s="1752"/>
      <c r="F1031" s="1752"/>
      <c r="G1031" s="1752"/>
      <c r="H1031" s="1752"/>
      <c r="I1031" s="1752"/>
      <c r="J1031" s="1752"/>
      <c r="K1031" s="1752"/>
      <c r="L1031" s="1752"/>
      <c r="M1031" s="1752"/>
      <c r="N1031" s="1752"/>
      <c r="O1031" s="1752"/>
      <c r="P1031" s="1752"/>
      <c r="Q1031" s="1752"/>
      <c r="R1031" s="1752"/>
      <c r="S1031" s="1752"/>
      <c r="T1031" s="1752"/>
      <c r="U1031" s="1752"/>
      <c r="V1031" s="1752"/>
      <c r="W1031" s="1752"/>
      <c r="X1031" s="1752"/>
      <c r="Y1031" s="1752"/>
      <c r="Z1031" s="1752"/>
      <c r="AA1031" s="1752"/>
      <c r="AB1031" s="1752"/>
      <c r="AC1031" s="1752"/>
      <c r="AD1031" s="1752"/>
      <c r="AE1031" s="1753"/>
      <c r="AF1031" s="79"/>
      <c r="AG1031" s="1737" t="s">
        <v>678</v>
      </c>
      <c r="AH1031" s="1738"/>
      <c r="AI1031" s="87"/>
      <c r="AJ1031" s="1767">
        <f>ROUND(IF(AG1031="yes",(AJ991*0.15),0),0)</f>
        <v>0</v>
      </c>
      <c r="AK1031" s="1768"/>
      <c r="AL1031" s="1768"/>
      <c r="AM1031" s="1768"/>
      <c r="AN1031" s="1768"/>
      <c r="AO1031" s="1768"/>
      <c r="AP1031" s="1768"/>
      <c r="AQ1031" s="1769"/>
      <c r="AR1031" s="68"/>
      <c r="AS1031" s="68"/>
      <c r="AT1031" s="68"/>
      <c r="AU1031" s="68"/>
      <c r="AV1031" s="68"/>
      <c r="AW1031" s="68"/>
      <c r="AX1031" s="68"/>
      <c r="AY1031" s="68"/>
    </row>
    <row r="1032" spans="1:51" ht="12.95" customHeight="1">
      <c r="A1032" s="14"/>
      <c r="B1032" s="73"/>
      <c r="C1032" s="74"/>
      <c r="D1032" s="1779"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80"/>
      <c r="AF1032" s="950"/>
      <c r="AG1032" s="951"/>
      <c r="AH1032" s="951"/>
      <c r="AI1032" s="952"/>
      <c r="AJ1032" s="1770"/>
      <c r="AK1032" s="1771"/>
      <c r="AL1032" s="1771"/>
      <c r="AM1032" s="1771"/>
      <c r="AN1032" s="1771"/>
      <c r="AO1032" s="1771"/>
      <c r="AP1032" s="1771"/>
      <c r="AQ1032" s="1772"/>
      <c r="AR1032" s="68"/>
      <c r="AS1032" s="68"/>
      <c r="AT1032" s="68"/>
      <c r="AU1032" s="68"/>
      <c r="AV1032" s="68"/>
      <c r="AW1032" s="68"/>
      <c r="AX1032" s="68"/>
      <c r="AY1032" s="68"/>
    </row>
    <row r="1033" spans="1:51" ht="12.95" customHeight="1">
      <c r="A1033" s="14"/>
      <c r="B1033" s="73"/>
      <c r="C1033" s="74"/>
      <c r="D1033" s="1779"/>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80"/>
      <c r="AF1033" s="950"/>
      <c r="AG1033" s="951"/>
      <c r="AH1033" s="951"/>
      <c r="AI1033" s="952"/>
      <c r="AJ1033" s="1770"/>
      <c r="AK1033" s="1771"/>
      <c r="AL1033" s="1771"/>
      <c r="AM1033" s="1771"/>
      <c r="AN1033" s="1771"/>
      <c r="AO1033" s="1771"/>
      <c r="AP1033" s="1771"/>
      <c r="AQ1033" s="1772"/>
      <c r="AR1033" s="68"/>
      <c r="AS1033" s="68"/>
      <c r="AT1033" s="68"/>
      <c r="AU1033" s="68"/>
      <c r="AV1033" s="68"/>
      <c r="AW1033" s="68"/>
      <c r="AX1033" s="68"/>
      <c r="AY1033" s="68"/>
    </row>
    <row r="1034" spans="1:51" ht="12.95" customHeight="1">
      <c r="A1034" s="14"/>
      <c r="B1034" s="73"/>
      <c r="C1034" s="74"/>
      <c r="D1034" s="1781"/>
      <c r="E1034" s="1782"/>
      <c r="F1034" s="1782"/>
      <c r="G1034" s="1782"/>
      <c r="H1034" s="1782"/>
      <c r="I1034" s="1782"/>
      <c r="J1034" s="1782"/>
      <c r="K1034" s="1782"/>
      <c r="L1034" s="1782"/>
      <c r="M1034" s="1782"/>
      <c r="N1034" s="1782"/>
      <c r="O1034" s="1782"/>
      <c r="P1034" s="1782"/>
      <c r="Q1034" s="1782"/>
      <c r="R1034" s="1782"/>
      <c r="S1034" s="1782"/>
      <c r="T1034" s="1782"/>
      <c r="U1034" s="1782"/>
      <c r="V1034" s="1782"/>
      <c r="W1034" s="1782"/>
      <c r="X1034" s="1782"/>
      <c r="Y1034" s="1782"/>
      <c r="Z1034" s="1782"/>
      <c r="AA1034" s="1782"/>
      <c r="AB1034" s="1782"/>
      <c r="AC1034" s="1782"/>
      <c r="AD1034" s="1782"/>
      <c r="AE1034" s="1783"/>
      <c r="AF1034" s="953"/>
      <c r="AG1034" s="954"/>
      <c r="AH1034" s="954"/>
      <c r="AI1034" s="955"/>
      <c r="AJ1034" s="1773"/>
      <c r="AK1034" s="1774"/>
      <c r="AL1034" s="1774"/>
      <c r="AM1034" s="1774"/>
      <c r="AN1034" s="1774"/>
      <c r="AO1034" s="1774"/>
      <c r="AP1034" s="1774"/>
      <c r="AQ1034" s="1775"/>
      <c r="AR1034" s="68"/>
      <c r="AS1034" s="68"/>
      <c r="AT1034" s="68"/>
      <c r="AU1034" s="68"/>
      <c r="AV1034" s="68"/>
      <c r="AW1034" s="68"/>
      <c r="AX1034" s="68"/>
      <c r="AY1034" s="68"/>
    </row>
    <row r="1035" spans="1:51" ht="12.95" customHeight="1">
      <c r="A1035" s="14"/>
      <c r="B1035" s="73"/>
      <c r="C1035" s="367" t="s">
        <v>697</v>
      </c>
      <c r="D1035" s="1787" t="s">
        <v>1877</v>
      </c>
      <c r="E1035" s="1788"/>
      <c r="F1035" s="1788"/>
      <c r="G1035" s="1788"/>
      <c r="H1035" s="1788"/>
      <c r="I1035" s="1788"/>
      <c r="J1035" s="1788"/>
      <c r="K1035" s="1788"/>
      <c r="L1035" s="1788"/>
      <c r="M1035" s="1788"/>
      <c r="N1035" s="1788"/>
      <c r="O1035" s="1788"/>
      <c r="P1035" s="1788"/>
      <c r="Q1035" s="1788"/>
      <c r="R1035" s="1788"/>
      <c r="S1035" s="1788"/>
      <c r="T1035" s="1788"/>
      <c r="U1035" s="1788"/>
      <c r="V1035" s="1788"/>
      <c r="W1035" s="1788"/>
      <c r="X1035" s="1788"/>
      <c r="Y1035" s="1788"/>
      <c r="Z1035" s="1788"/>
      <c r="AA1035" s="1788"/>
      <c r="AB1035" s="1788"/>
      <c r="AC1035" s="1788"/>
      <c r="AD1035" s="1788"/>
      <c r="AE1035" s="1789"/>
      <c r="AF1035" s="73"/>
      <c r="AG1035" s="1739" t="s">
        <v>678</v>
      </c>
      <c r="AH1035" s="1740"/>
      <c r="AI1035" s="83"/>
      <c r="AJ1035" s="1767">
        <f>ROUND(IF(AND(AG1035="yes",AJ1031=0),(AJ991*0.1),0),0)</f>
        <v>0</v>
      </c>
      <c r="AK1035" s="1768"/>
      <c r="AL1035" s="1768"/>
      <c r="AM1035" s="1768"/>
      <c r="AN1035" s="1768"/>
      <c r="AO1035" s="1768"/>
      <c r="AP1035" s="1768"/>
      <c r="AQ1035" s="1769"/>
      <c r="AR1035" s="68"/>
      <c r="AS1035" s="68"/>
      <c r="AT1035" s="68"/>
      <c r="AU1035" s="68"/>
      <c r="AV1035" s="68"/>
      <c r="AW1035" s="68"/>
      <c r="AX1035" s="68"/>
      <c r="AY1035" s="68"/>
    </row>
    <row r="1036" spans="1:51" ht="12.95" customHeight="1">
      <c r="A1036" s="14"/>
      <c r="B1036" s="73"/>
      <c r="C1036" s="74"/>
      <c r="D1036" s="1779"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80"/>
      <c r="AF1036" s="73"/>
      <c r="AG1036" s="14"/>
      <c r="AH1036" s="14"/>
      <c r="AI1036" s="83"/>
      <c r="AJ1036" s="1770"/>
      <c r="AK1036" s="1771"/>
      <c r="AL1036" s="1771"/>
      <c r="AM1036" s="1771"/>
      <c r="AN1036" s="1771"/>
      <c r="AO1036" s="1771"/>
      <c r="AP1036" s="1771"/>
      <c r="AQ1036" s="1772"/>
      <c r="AR1036" s="68"/>
      <c r="AS1036" s="68"/>
      <c r="AT1036" s="68"/>
      <c r="AU1036" s="68"/>
      <c r="AV1036" s="68"/>
      <c r="AW1036" s="68"/>
      <c r="AX1036" s="68"/>
      <c r="AY1036" s="68"/>
    </row>
    <row r="1037" spans="1:51" ht="12.95" customHeight="1">
      <c r="A1037" s="14"/>
      <c r="B1037" s="73"/>
      <c r="C1037" s="74"/>
      <c r="D1037" s="1779"/>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80"/>
      <c r="AF1037" s="73"/>
      <c r="AG1037" s="14"/>
      <c r="AH1037" s="14"/>
      <c r="AI1037" s="83"/>
      <c r="AJ1037" s="1770"/>
      <c r="AK1037" s="1771"/>
      <c r="AL1037" s="1771"/>
      <c r="AM1037" s="1771"/>
      <c r="AN1037" s="1771"/>
      <c r="AO1037" s="1771"/>
      <c r="AP1037" s="1771"/>
      <c r="AQ1037" s="1772"/>
      <c r="AR1037" s="68"/>
      <c r="AS1037" s="68"/>
      <c r="AT1037" s="68"/>
      <c r="AU1037" s="68"/>
      <c r="AV1037" s="68"/>
      <c r="AW1037" s="68"/>
      <c r="AX1037" s="68"/>
      <c r="AY1037" s="68"/>
    </row>
    <row r="1038" spans="1:51" ht="12.95" customHeight="1">
      <c r="A1038" s="14"/>
      <c r="B1038" s="73"/>
      <c r="C1038" s="74"/>
      <c r="D1038" s="1779"/>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80"/>
      <c r="AF1038" s="73"/>
      <c r="AG1038" s="14"/>
      <c r="AH1038" s="14"/>
      <c r="AI1038" s="83"/>
      <c r="AJ1038" s="1770"/>
      <c r="AK1038" s="1771"/>
      <c r="AL1038" s="1771"/>
      <c r="AM1038" s="1771"/>
      <c r="AN1038" s="1771"/>
      <c r="AO1038" s="1771"/>
      <c r="AP1038" s="1771"/>
      <c r="AQ1038" s="1772"/>
      <c r="AR1038" s="68"/>
      <c r="AS1038" s="68"/>
      <c r="AT1038" s="68"/>
      <c r="AU1038" s="68"/>
      <c r="AV1038" s="68"/>
      <c r="AW1038" s="68"/>
      <c r="AX1038" s="68"/>
      <c r="AY1038" s="68"/>
    </row>
    <row r="1039" spans="1:51" ht="12.95" customHeight="1">
      <c r="A1039" s="14"/>
      <c r="B1039" s="73"/>
      <c r="C1039" s="74"/>
      <c r="D1039" s="1781"/>
      <c r="E1039" s="1782"/>
      <c r="F1039" s="1782"/>
      <c r="G1039" s="1782"/>
      <c r="H1039" s="1782"/>
      <c r="I1039" s="1782"/>
      <c r="J1039" s="1782"/>
      <c r="K1039" s="1782"/>
      <c r="L1039" s="1782"/>
      <c r="M1039" s="1782"/>
      <c r="N1039" s="1782"/>
      <c r="O1039" s="1782"/>
      <c r="P1039" s="1782"/>
      <c r="Q1039" s="1782"/>
      <c r="R1039" s="1782"/>
      <c r="S1039" s="1782"/>
      <c r="T1039" s="1782"/>
      <c r="U1039" s="1782"/>
      <c r="V1039" s="1782"/>
      <c r="W1039" s="1782"/>
      <c r="X1039" s="1782"/>
      <c r="Y1039" s="1782"/>
      <c r="Z1039" s="1782"/>
      <c r="AA1039" s="1782"/>
      <c r="AB1039" s="1782"/>
      <c r="AC1039" s="1782"/>
      <c r="AD1039" s="1782"/>
      <c r="AE1039" s="1783"/>
      <c r="AF1039" s="73"/>
      <c r="AG1039" s="14"/>
      <c r="AH1039" s="14"/>
      <c r="AI1039" s="83"/>
      <c r="AJ1039" s="1770"/>
      <c r="AK1039" s="1771"/>
      <c r="AL1039" s="1771"/>
      <c r="AM1039" s="1771"/>
      <c r="AN1039" s="1771"/>
      <c r="AO1039" s="1771"/>
      <c r="AP1039" s="1771"/>
      <c r="AQ1039" s="1772"/>
      <c r="AR1039" s="68"/>
      <c r="AS1039" s="68"/>
      <c r="AT1039" s="68"/>
      <c r="AU1039" s="68"/>
      <c r="AV1039" s="68"/>
      <c r="AW1039" s="68"/>
      <c r="AX1039" s="68"/>
      <c r="AY1039" s="68"/>
    </row>
    <row r="1040" spans="1:51" ht="12.95" customHeight="1">
      <c r="A1040" s="14"/>
      <c r="B1040" s="79"/>
      <c r="C1040" s="131" t="s">
        <v>1035</v>
      </c>
      <c r="D1040" s="1751" t="s">
        <v>1407</v>
      </c>
      <c r="E1040" s="1752"/>
      <c r="F1040" s="1752"/>
      <c r="G1040" s="1752"/>
      <c r="H1040" s="1752"/>
      <c r="I1040" s="1752"/>
      <c r="J1040" s="1752"/>
      <c r="K1040" s="1752"/>
      <c r="L1040" s="1752"/>
      <c r="M1040" s="1752"/>
      <c r="N1040" s="1752"/>
      <c r="O1040" s="1752"/>
      <c r="P1040" s="1752"/>
      <c r="Q1040" s="1752"/>
      <c r="R1040" s="1752"/>
      <c r="S1040" s="1752"/>
      <c r="T1040" s="1752"/>
      <c r="U1040" s="1752"/>
      <c r="V1040" s="1752"/>
      <c r="W1040" s="1752"/>
      <c r="X1040" s="1752"/>
      <c r="Y1040" s="1752"/>
      <c r="Z1040" s="1752"/>
      <c r="AA1040" s="1752"/>
      <c r="AB1040" s="1752"/>
      <c r="AC1040" s="1752"/>
      <c r="AD1040" s="1752"/>
      <c r="AE1040" s="1753"/>
      <c r="AF1040" s="79"/>
      <c r="AG1040" s="1737" t="s">
        <v>678</v>
      </c>
      <c r="AH1040" s="1738"/>
      <c r="AI1040" s="87"/>
      <c r="AJ1040" s="1767">
        <f>ROUND(IF(AG1040="yes",(AJ991*0.1),0),0)</f>
        <v>0</v>
      </c>
      <c r="AK1040" s="1768"/>
      <c r="AL1040" s="1768"/>
      <c r="AM1040" s="1768"/>
      <c r="AN1040" s="1768"/>
      <c r="AO1040" s="1768"/>
      <c r="AP1040" s="1768"/>
      <c r="AQ1040" s="1769"/>
      <c r="AR1040" s="68"/>
      <c r="AS1040" s="68"/>
      <c r="AT1040" s="68"/>
      <c r="AU1040" s="68"/>
      <c r="AV1040" s="68"/>
      <c r="AW1040" s="68"/>
      <c r="AX1040" s="68"/>
      <c r="AY1040" s="68"/>
    </row>
    <row r="1041" spans="1:51" ht="12.95" customHeight="1">
      <c r="A1041" s="14"/>
      <c r="B1041" s="73"/>
      <c r="C1041" s="74"/>
      <c r="D1041" s="1669" t="s">
        <v>2503</v>
      </c>
      <c r="E1041" s="1670"/>
      <c r="F1041" s="1670"/>
      <c r="G1041" s="1670"/>
      <c r="H1041" s="1670"/>
      <c r="I1041" s="1670"/>
      <c r="J1041" s="1670"/>
      <c r="K1041" s="1670"/>
      <c r="L1041" s="1670"/>
      <c r="M1041" s="1670"/>
      <c r="N1041" s="1670"/>
      <c r="O1041" s="1670"/>
      <c r="P1041" s="1670"/>
      <c r="Q1041" s="1670"/>
      <c r="R1041" s="1670"/>
      <c r="S1041" s="1670"/>
      <c r="T1041" s="1670"/>
      <c r="U1041" s="1670"/>
      <c r="V1041" s="1670"/>
      <c r="W1041" s="1670"/>
      <c r="X1041" s="1670"/>
      <c r="Y1041" s="1670"/>
      <c r="Z1041" s="1670"/>
      <c r="AA1041" s="1670"/>
      <c r="AB1041" s="1670"/>
      <c r="AC1041" s="1670"/>
      <c r="AD1041" s="1670"/>
      <c r="AE1041" s="1671"/>
      <c r="AF1041" s="73"/>
      <c r="AG1041" s="14"/>
      <c r="AH1041" s="14"/>
      <c r="AI1041" s="83"/>
      <c r="AJ1041" s="1770"/>
      <c r="AK1041" s="1771"/>
      <c r="AL1041" s="1771"/>
      <c r="AM1041" s="1771"/>
      <c r="AN1041" s="1771"/>
      <c r="AO1041" s="1771"/>
      <c r="AP1041" s="1771"/>
      <c r="AQ1041" s="1772"/>
      <c r="AR1041" s="68"/>
      <c r="AS1041" s="68"/>
      <c r="AT1041" s="68"/>
      <c r="AU1041" s="68"/>
      <c r="AV1041" s="68"/>
      <c r="AW1041" s="68"/>
      <c r="AX1041" s="68"/>
      <c r="AY1041" s="68"/>
    </row>
    <row r="1042" spans="1:51" ht="12.95" customHeight="1">
      <c r="A1042" s="14"/>
      <c r="B1042" s="73"/>
      <c r="C1042" s="74"/>
      <c r="D1042" s="1669"/>
      <c r="E1042" s="1670"/>
      <c r="F1042" s="1670"/>
      <c r="G1042" s="1670"/>
      <c r="H1042" s="1670"/>
      <c r="I1042" s="1670"/>
      <c r="J1042" s="1670"/>
      <c r="K1042" s="1670"/>
      <c r="L1042" s="1670"/>
      <c r="M1042" s="1670"/>
      <c r="N1042" s="1670"/>
      <c r="O1042" s="1670"/>
      <c r="P1042" s="1670"/>
      <c r="Q1042" s="1670"/>
      <c r="R1042" s="1670"/>
      <c r="S1042" s="1670"/>
      <c r="T1042" s="1670"/>
      <c r="U1042" s="1670"/>
      <c r="V1042" s="1670"/>
      <c r="W1042" s="1670"/>
      <c r="X1042" s="1670"/>
      <c r="Y1042" s="1670"/>
      <c r="Z1042" s="1670"/>
      <c r="AA1042" s="1670"/>
      <c r="AB1042" s="1670"/>
      <c r="AC1042" s="1670"/>
      <c r="AD1042" s="1670"/>
      <c r="AE1042" s="1671"/>
      <c r="AF1042" s="73"/>
      <c r="AG1042" s="14"/>
      <c r="AH1042" s="14"/>
      <c r="AI1042" s="83"/>
      <c r="AJ1042" s="1770"/>
      <c r="AK1042" s="1771"/>
      <c r="AL1042" s="1771"/>
      <c r="AM1042" s="1771"/>
      <c r="AN1042" s="1771"/>
      <c r="AO1042" s="1771"/>
      <c r="AP1042" s="1771"/>
      <c r="AQ1042" s="1772"/>
      <c r="AR1042" s="68"/>
      <c r="AS1042" s="68"/>
      <c r="AT1042" s="68"/>
      <c r="AU1042" s="68"/>
      <c r="AV1042" s="68"/>
      <c r="AW1042" s="68"/>
      <c r="AX1042" s="68"/>
      <c r="AY1042" s="68"/>
    </row>
    <row r="1043" spans="1:51" ht="12.95" customHeight="1">
      <c r="A1043" s="14"/>
      <c r="B1043" s="73"/>
      <c r="C1043" s="74"/>
      <c r="D1043" s="1741"/>
      <c r="E1043" s="1742"/>
      <c r="F1043" s="1742"/>
      <c r="G1043" s="1742"/>
      <c r="H1043" s="1742"/>
      <c r="I1043" s="1742"/>
      <c r="J1043" s="1742"/>
      <c r="K1043" s="1742"/>
      <c r="L1043" s="1742"/>
      <c r="M1043" s="1742"/>
      <c r="N1043" s="1742"/>
      <c r="O1043" s="1742"/>
      <c r="P1043" s="1742"/>
      <c r="Q1043" s="1742"/>
      <c r="R1043" s="1742"/>
      <c r="S1043" s="1742"/>
      <c r="T1043" s="1742"/>
      <c r="U1043" s="1742"/>
      <c r="V1043" s="1742"/>
      <c r="W1043" s="1742"/>
      <c r="X1043" s="1742"/>
      <c r="Y1043" s="1742"/>
      <c r="Z1043" s="1742"/>
      <c r="AA1043" s="1742"/>
      <c r="AB1043" s="1742"/>
      <c r="AC1043" s="1742"/>
      <c r="AD1043" s="1742"/>
      <c r="AE1043" s="1743"/>
      <c r="AF1043" s="73"/>
      <c r="AG1043" s="14"/>
      <c r="AH1043" s="14"/>
      <c r="AI1043" s="83"/>
      <c r="AJ1043" s="1773"/>
      <c r="AK1043" s="1774"/>
      <c r="AL1043" s="1774"/>
      <c r="AM1043" s="1774"/>
      <c r="AN1043" s="1774"/>
      <c r="AO1043" s="1774"/>
      <c r="AP1043" s="1774"/>
      <c r="AQ1043" s="1775"/>
      <c r="AR1043" s="68"/>
      <c r="AS1043" s="68"/>
      <c r="AT1043" s="68"/>
      <c r="AU1043" s="68"/>
      <c r="AV1043" s="68"/>
      <c r="AW1043" s="68"/>
      <c r="AX1043" s="68"/>
      <c r="AY1043" s="68"/>
    </row>
    <row r="1044" spans="1:51" ht="12.95" customHeight="1">
      <c r="A1044" s="14"/>
      <c r="B1044" s="79"/>
      <c r="C1044" s="131" t="s">
        <v>1873</v>
      </c>
      <c r="D1044" s="1787" t="s">
        <v>2055</v>
      </c>
      <c r="E1044" s="1788"/>
      <c r="F1044" s="1788"/>
      <c r="G1044" s="1788"/>
      <c r="H1044" s="1788"/>
      <c r="I1044" s="1788"/>
      <c r="J1044" s="1788"/>
      <c r="K1044" s="1788"/>
      <c r="L1044" s="1788"/>
      <c r="M1044" s="1788"/>
      <c r="N1044" s="1788"/>
      <c r="O1044" s="1788"/>
      <c r="P1044" s="1788"/>
      <c r="Q1044" s="1788"/>
      <c r="R1044" s="1788"/>
      <c r="S1044" s="1788"/>
      <c r="T1044" s="1788"/>
      <c r="U1044" s="1788"/>
      <c r="V1044" s="1788"/>
      <c r="W1044" s="1788"/>
      <c r="X1044" s="1788"/>
      <c r="Y1044" s="1788"/>
      <c r="Z1044" s="1788"/>
      <c r="AA1044" s="1788"/>
      <c r="AB1044" s="1788"/>
      <c r="AC1044" s="1788"/>
      <c r="AD1044" s="1788"/>
      <c r="AE1044" s="1789"/>
      <c r="AF1044" s="79"/>
      <c r="AG1044" s="1676" t="str">
        <f>IF(X1047&gt;0,"Yes","No")</f>
        <v>Yes</v>
      </c>
      <c r="AH1044" s="1677"/>
      <c r="AI1044" s="87"/>
      <c r="AJ1044" s="1767">
        <f>IF((X1047=0),0,AY1004*AJ991)</f>
        <v>4789191.5999999996</v>
      </c>
      <c r="AK1044" s="1768"/>
      <c r="AL1044" s="1768"/>
      <c r="AM1044" s="1768"/>
      <c r="AN1044" s="1768"/>
      <c r="AO1044" s="1768"/>
      <c r="AP1044" s="1768"/>
      <c r="AQ1044" s="1769"/>
      <c r="AR1044" s="68"/>
      <c r="AS1044" s="68"/>
      <c r="AT1044" s="68"/>
      <c r="AU1044" s="68"/>
      <c r="AV1044" s="68"/>
      <c r="AW1044" s="68"/>
      <c r="AX1044" s="68"/>
      <c r="AY1044" s="68"/>
    </row>
    <row r="1045" spans="1:51" ht="12.95" customHeight="1">
      <c r="A1045" s="14"/>
      <c r="B1045" s="73"/>
      <c r="C1045" s="476"/>
      <c r="D1045" s="1669" t="s">
        <v>1409</v>
      </c>
      <c r="E1045" s="1670"/>
      <c r="F1045" s="1670"/>
      <c r="G1045" s="1670"/>
      <c r="H1045" s="1670"/>
      <c r="I1045" s="1670"/>
      <c r="J1045" s="1670"/>
      <c r="K1045" s="1670"/>
      <c r="L1045" s="1670"/>
      <c r="M1045" s="1670"/>
      <c r="N1045" s="1670"/>
      <c r="O1045" s="1670"/>
      <c r="P1045" s="1670"/>
      <c r="Q1045" s="1670"/>
      <c r="R1045" s="1670"/>
      <c r="S1045" s="1670"/>
      <c r="T1045" s="1670"/>
      <c r="U1045" s="1670"/>
      <c r="V1045" s="1670"/>
      <c r="W1045" s="1670"/>
      <c r="X1045" s="1670"/>
      <c r="Y1045" s="1670"/>
      <c r="Z1045" s="1670"/>
      <c r="AA1045" s="1670"/>
      <c r="AB1045" s="1670"/>
      <c r="AC1045" s="1670"/>
      <c r="AD1045" s="1670"/>
      <c r="AE1045" s="1671"/>
      <c r="AF1045" s="73"/>
      <c r="AG1045" s="477"/>
      <c r="AH1045" s="477"/>
      <c r="AI1045" s="83"/>
      <c r="AJ1045" s="1770"/>
      <c r="AK1045" s="1771"/>
      <c r="AL1045" s="1771"/>
      <c r="AM1045" s="1771"/>
      <c r="AN1045" s="1771"/>
      <c r="AO1045" s="1771"/>
      <c r="AP1045" s="1771"/>
      <c r="AQ1045" s="1772"/>
      <c r="AR1045" s="68"/>
      <c r="AS1045" s="68"/>
      <c r="AT1045" s="68"/>
      <c r="AU1045" s="13"/>
      <c r="AV1045" s="68"/>
      <c r="AW1045" s="68"/>
      <c r="AX1045" s="68"/>
      <c r="AY1045" s="68"/>
    </row>
    <row r="1046" spans="1:51" ht="12.95" customHeight="1">
      <c r="A1046" s="14"/>
      <c r="B1046" s="73"/>
      <c r="C1046" s="476"/>
      <c r="D1046" s="1669"/>
      <c r="E1046" s="1670"/>
      <c r="F1046" s="1670"/>
      <c r="G1046" s="1670"/>
      <c r="H1046" s="1670"/>
      <c r="I1046" s="1670"/>
      <c r="J1046" s="1670"/>
      <c r="K1046" s="1670"/>
      <c r="L1046" s="1670"/>
      <c r="M1046" s="1670"/>
      <c r="N1046" s="1670"/>
      <c r="O1046" s="1670"/>
      <c r="P1046" s="1670"/>
      <c r="Q1046" s="1670"/>
      <c r="R1046" s="1670"/>
      <c r="S1046" s="1670"/>
      <c r="T1046" s="1670"/>
      <c r="U1046" s="1670"/>
      <c r="V1046" s="1670"/>
      <c r="W1046" s="1670"/>
      <c r="X1046" s="1670"/>
      <c r="Y1046" s="1670"/>
      <c r="Z1046" s="1670"/>
      <c r="AA1046" s="1670"/>
      <c r="AB1046" s="1670"/>
      <c r="AC1046" s="1670"/>
      <c r="AD1046" s="1670"/>
      <c r="AE1046" s="1671"/>
      <c r="AF1046" s="73"/>
      <c r="AG1046" s="477"/>
      <c r="AH1046" s="477"/>
      <c r="AI1046" s="83"/>
      <c r="AJ1046" s="1770"/>
      <c r="AK1046" s="1771"/>
      <c r="AL1046" s="1771"/>
      <c r="AM1046" s="1771"/>
      <c r="AN1046" s="1771"/>
      <c r="AO1046" s="1771"/>
      <c r="AP1046" s="1771"/>
      <c r="AQ1046" s="1772"/>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674">
        <f>AY1002</f>
        <v>105</v>
      </c>
      <c r="J1047" s="1675"/>
      <c r="K1047" s="7"/>
      <c r="L1047" s="133"/>
      <c r="M1047" s="133"/>
      <c r="N1047" s="133"/>
      <c r="O1047" s="133"/>
      <c r="P1047" s="133"/>
      <c r="Q1047" s="133"/>
      <c r="R1047" s="133"/>
      <c r="S1047" s="133"/>
      <c r="T1047" s="133"/>
      <c r="U1047" s="133"/>
      <c r="V1047" s="134" t="s">
        <v>993</v>
      </c>
      <c r="W1047" s="48"/>
      <c r="X1047" s="1672">
        <f>BG632</f>
        <v>10</v>
      </c>
      <c r="Y1047" s="1673"/>
      <c r="Z1047" s="48"/>
      <c r="AA1047" s="48"/>
      <c r="AB1047" s="48"/>
      <c r="AC1047" s="48"/>
      <c r="AD1047" s="48"/>
      <c r="AE1047" s="49"/>
      <c r="AF1047" s="959"/>
      <c r="AG1047" s="960"/>
      <c r="AH1047" s="960"/>
      <c r="AI1047" s="961"/>
      <c r="AJ1047" s="1773"/>
      <c r="AK1047" s="1774"/>
      <c r="AL1047" s="1774"/>
      <c r="AM1047" s="1774"/>
      <c r="AN1047" s="1774"/>
      <c r="AO1047" s="1774"/>
      <c r="AP1047" s="1774"/>
      <c r="AQ1047" s="1775"/>
      <c r="AR1047" s="68"/>
      <c r="AS1047" s="68"/>
      <c r="AT1047" s="68"/>
      <c r="AU1047" s="14"/>
      <c r="AV1047" s="68"/>
      <c r="AW1047" s="68"/>
      <c r="AX1047" s="68"/>
      <c r="AY1047" s="68"/>
    </row>
    <row r="1048" spans="1:51" ht="12.95" customHeight="1">
      <c r="A1048" s="14"/>
      <c r="B1048" s="79"/>
      <c r="C1048" s="131" t="s">
        <v>1874</v>
      </c>
      <c r="D1048" s="1751" t="s">
        <v>2532</v>
      </c>
      <c r="E1048" s="1752"/>
      <c r="F1048" s="1752"/>
      <c r="G1048" s="1752"/>
      <c r="H1048" s="1752"/>
      <c r="I1048" s="1752"/>
      <c r="J1048" s="1752"/>
      <c r="K1048" s="1752"/>
      <c r="L1048" s="1752"/>
      <c r="M1048" s="1752"/>
      <c r="N1048" s="1752"/>
      <c r="O1048" s="1752"/>
      <c r="P1048" s="1752"/>
      <c r="Q1048" s="1752"/>
      <c r="R1048" s="1752"/>
      <c r="S1048" s="1752"/>
      <c r="T1048" s="1752"/>
      <c r="U1048" s="1752"/>
      <c r="V1048" s="1752"/>
      <c r="W1048" s="1752"/>
      <c r="X1048" s="1752"/>
      <c r="Y1048" s="1752"/>
      <c r="Z1048" s="1752"/>
      <c r="AA1048" s="1752"/>
      <c r="AB1048" s="1752"/>
      <c r="AC1048" s="1752"/>
      <c r="AD1048" s="1752"/>
      <c r="AE1048" s="1753"/>
      <c r="AF1048" s="73"/>
      <c r="AG1048" s="1676" t="str">
        <f>IF(X1051&gt;0,"Yes","No")</f>
        <v>Yes</v>
      </c>
      <c r="AH1048" s="1677"/>
      <c r="AI1048" s="83"/>
      <c r="AJ1048" s="1767">
        <f>IF((X1051=0),0,(2*AY1005)*AJ991)</f>
        <v>10642648</v>
      </c>
      <c r="AK1048" s="1768"/>
      <c r="AL1048" s="1768"/>
      <c r="AM1048" s="1768"/>
      <c r="AN1048" s="1768"/>
      <c r="AO1048" s="1768"/>
      <c r="AP1048" s="1768"/>
      <c r="AQ1048" s="1769"/>
      <c r="AR1048" s="68"/>
      <c r="AS1048" s="68"/>
      <c r="AT1048" s="68"/>
      <c r="AU1048" s="14"/>
      <c r="AV1048" s="68"/>
      <c r="AW1048" s="68"/>
      <c r="AX1048" s="68"/>
      <c r="AY1048" s="68"/>
    </row>
    <row r="1049" spans="1:51" ht="12.95" customHeight="1">
      <c r="A1049" s="14"/>
      <c r="B1049" s="73"/>
      <c r="C1049" s="476"/>
      <c r="D1049" s="1669" t="s">
        <v>1408</v>
      </c>
      <c r="E1049" s="1670"/>
      <c r="F1049" s="1670"/>
      <c r="G1049" s="1670"/>
      <c r="H1049" s="1670"/>
      <c r="I1049" s="1670"/>
      <c r="J1049" s="1670"/>
      <c r="K1049" s="1670"/>
      <c r="L1049" s="1670"/>
      <c r="M1049" s="1670"/>
      <c r="N1049" s="1670"/>
      <c r="O1049" s="1670"/>
      <c r="P1049" s="1670"/>
      <c r="Q1049" s="1670"/>
      <c r="R1049" s="1670"/>
      <c r="S1049" s="1670"/>
      <c r="T1049" s="1670"/>
      <c r="U1049" s="1670"/>
      <c r="V1049" s="1670"/>
      <c r="W1049" s="1670"/>
      <c r="X1049" s="1670"/>
      <c r="Y1049" s="1670"/>
      <c r="Z1049" s="1670"/>
      <c r="AA1049" s="1670"/>
      <c r="AB1049" s="1670"/>
      <c r="AC1049" s="1670"/>
      <c r="AD1049" s="1670"/>
      <c r="AE1049" s="1671"/>
      <c r="AF1049" s="73"/>
      <c r="AG1049" s="477"/>
      <c r="AH1049" s="477"/>
      <c r="AI1049" s="83"/>
      <c r="AJ1049" s="1770"/>
      <c r="AK1049" s="1771"/>
      <c r="AL1049" s="1771"/>
      <c r="AM1049" s="1771"/>
      <c r="AN1049" s="1771"/>
      <c r="AO1049" s="1771"/>
      <c r="AP1049" s="1771"/>
      <c r="AQ1049" s="1772"/>
      <c r="AR1049" s="68"/>
      <c r="AS1049" s="68"/>
      <c r="AT1049" s="68"/>
      <c r="AU1049" s="68"/>
      <c r="AV1049" s="68"/>
      <c r="AW1049" s="68"/>
      <c r="AX1049" s="68"/>
      <c r="AY1049" s="68"/>
    </row>
    <row r="1050" spans="1:51" ht="12.95" customHeight="1">
      <c r="A1050" s="14"/>
      <c r="B1050" s="73"/>
      <c r="C1050" s="83"/>
      <c r="D1050" s="1669"/>
      <c r="E1050" s="1670"/>
      <c r="F1050" s="1670"/>
      <c r="G1050" s="1670"/>
      <c r="H1050" s="1670"/>
      <c r="I1050" s="1670"/>
      <c r="J1050" s="1670"/>
      <c r="K1050" s="1670"/>
      <c r="L1050" s="1670"/>
      <c r="M1050" s="1670"/>
      <c r="N1050" s="1670"/>
      <c r="O1050" s="1670"/>
      <c r="P1050" s="1670"/>
      <c r="Q1050" s="1670"/>
      <c r="R1050" s="1670"/>
      <c r="S1050" s="1670"/>
      <c r="T1050" s="1670"/>
      <c r="U1050" s="1670"/>
      <c r="V1050" s="1670"/>
      <c r="W1050" s="1670"/>
      <c r="X1050" s="1670"/>
      <c r="Y1050" s="1670"/>
      <c r="Z1050" s="1670"/>
      <c r="AA1050" s="1670"/>
      <c r="AB1050" s="1670"/>
      <c r="AC1050" s="1670"/>
      <c r="AD1050" s="1670"/>
      <c r="AE1050" s="1671"/>
      <c r="AF1050" s="956"/>
      <c r="AG1050" s="957"/>
      <c r="AH1050" s="957"/>
      <c r="AI1050" s="958"/>
      <c r="AJ1050" s="1770"/>
      <c r="AK1050" s="1771"/>
      <c r="AL1050" s="1771"/>
      <c r="AM1050" s="1771"/>
      <c r="AN1050" s="1771"/>
      <c r="AO1050" s="1771"/>
      <c r="AP1050" s="1771"/>
      <c r="AQ1050" s="1772"/>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674">
        <f>AY1002</f>
        <v>105</v>
      </c>
      <c r="J1051" s="1675"/>
      <c r="K1051" s="14"/>
      <c r="L1051" s="133"/>
      <c r="M1051" s="133"/>
      <c r="N1051" s="133"/>
      <c r="O1051" s="133"/>
      <c r="P1051" s="133"/>
      <c r="Q1051" s="133"/>
      <c r="R1051" s="133"/>
      <c r="S1051" s="133"/>
      <c r="T1051" s="133"/>
      <c r="U1051" s="133"/>
      <c r="V1051" s="134" t="s">
        <v>994</v>
      </c>
      <c r="X1051" s="1672">
        <f>BK632</f>
        <v>11</v>
      </c>
      <c r="Y1051" s="1673"/>
      <c r="AF1051" s="959"/>
      <c r="AG1051" s="960"/>
      <c r="AH1051" s="960"/>
      <c r="AI1051" s="961"/>
      <c r="AJ1051" s="1773"/>
      <c r="AK1051" s="1774"/>
      <c r="AL1051" s="1774"/>
      <c r="AM1051" s="1774"/>
      <c r="AN1051" s="1774"/>
      <c r="AO1051" s="1774"/>
      <c r="AP1051" s="1774"/>
      <c r="AQ1051" s="1775"/>
      <c r="AR1051" s="68"/>
      <c r="AS1051" s="68"/>
      <c r="AT1051" s="68"/>
      <c r="AU1051" s="68"/>
      <c r="AV1051" s="68"/>
      <c r="AW1051" s="68"/>
      <c r="AX1051" s="68"/>
      <c r="AY1051" s="68"/>
    </row>
    <row r="1052" spans="1:51" ht="12.95" customHeight="1">
      <c r="A1052" s="14"/>
      <c r="B1052" s="102"/>
      <c r="C1052" s="103"/>
      <c r="D1052" s="1796" t="s">
        <v>522</v>
      </c>
      <c r="E1052" s="1796"/>
      <c r="F1052" s="1796"/>
      <c r="G1052" s="1796"/>
      <c r="H1052" s="1796"/>
      <c r="I1052" s="1796"/>
      <c r="J1052" s="1796"/>
      <c r="K1052" s="1796"/>
      <c r="L1052" s="1796"/>
      <c r="M1052" s="1796"/>
      <c r="N1052" s="1796"/>
      <c r="O1052" s="1796"/>
      <c r="P1052" s="1796"/>
      <c r="Q1052" s="1796"/>
      <c r="R1052" s="1796"/>
      <c r="S1052" s="1796"/>
      <c r="T1052" s="1796"/>
      <c r="U1052" s="1796"/>
      <c r="V1052" s="1796"/>
      <c r="W1052" s="1796"/>
      <c r="X1052" s="1796"/>
      <c r="Y1052" s="1796"/>
      <c r="Z1052" s="1796"/>
      <c r="AA1052" s="1796"/>
      <c r="AB1052" s="1796"/>
      <c r="AC1052" s="1796"/>
      <c r="AD1052" s="1796"/>
      <c r="AE1052" s="1796"/>
      <c r="AF1052" s="1796"/>
      <c r="AG1052" s="1796"/>
      <c r="AH1052" s="1796"/>
      <c r="AI1052" s="1797"/>
      <c r="AJ1052" s="1776">
        <f>SUM(AJ991:AQ1051)</f>
        <v>68645079.599999994</v>
      </c>
      <c r="AK1052" s="1777"/>
      <c r="AL1052" s="1777"/>
      <c r="AM1052" s="1777"/>
      <c r="AN1052" s="1777"/>
      <c r="AO1052" s="1777"/>
      <c r="AP1052" s="1777"/>
      <c r="AQ1052" s="177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2">
        <f>IF(ISNA(IF((AJ1019&gt;(AJ991*0.15)),"(f) cannot be greater than 15% of unadjusted eligible basis.",0)),"",(IF((AJ1019&gt;(AJ991*0.15)),"(f) cannot be greater than 15% of unadjusted eligible basis.",0)))</f>
        <v>0</v>
      </c>
      <c r="C1059" s="1862"/>
      <c r="D1059" s="1862"/>
      <c r="E1059" s="1862"/>
      <c r="F1059" s="1862"/>
      <c r="G1059" s="1862"/>
      <c r="H1059" s="1862"/>
      <c r="I1059" s="1862"/>
      <c r="J1059" s="1862"/>
      <c r="K1059" s="1862"/>
      <c r="L1059" s="1862"/>
      <c r="M1059" s="1862"/>
      <c r="N1059" s="1862"/>
      <c r="O1059" s="1862"/>
      <c r="P1059" s="1862"/>
      <c r="Q1059" s="1862"/>
      <c r="R1059" s="1862"/>
      <c r="S1059" s="1862"/>
      <c r="T1059" s="1862"/>
      <c r="U1059" s="1862"/>
      <c r="V1059" s="1862"/>
      <c r="W1059" s="1862"/>
      <c r="X1059" s="1862"/>
      <c r="Y1059" s="1862"/>
      <c r="Z1059" s="1862"/>
      <c r="AA1059" s="1862"/>
      <c r="AB1059" s="1862"/>
      <c r="AC1059" s="1862"/>
      <c r="AD1059" s="1862"/>
      <c r="AE1059" s="1862"/>
      <c r="AF1059" s="1862"/>
      <c r="AG1059" s="1862"/>
      <c r="AH1059" s="1862"/>
      <c r="AI1059" s="1862"/>
      <c r="AJ1059" s="1862"/>
      <c r="AK1059" s="1862"/>
      <c r="AL1059" s="1862"/>
      <c r="AM1059" s="1862"/>
      <c r="AN1059" s="1862"/>
      <c r="AO1059" s="1862"/>
      <c r="AP1059" s="1862"/>
      <c r="AQ1059" s="68"/>
      <c r="AR1059" s="68"/>
      <c r="AS1059" s="68"/>
      <c r="AT1059" s="68"/>
      <c r="AU1059" s="68"/>
      <c r="AV1059" s="68"/>
      <c r="AW1059" s="68"/>
      <c r="AX1059" s="68"/>
      <c r="AY1059" s="68"/>
    </row>
    <row r="1060" spans="1:51" ht="12.95"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28" t="s">
        <v>600</v>
      </c>
      <c r="B1064" s="1428"/>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28" t="s">
        <v>600</v>
      </c>
      <c r="B1070" s="1428"/>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28" t="s">
        <v>600</v>
      </c>
      <c r="B1076" s="1428"/>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28" t="s">
        <v>600</v>
      </c>
      <c r="B1083" s="1428"/>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28" t="s">
        <v>600</v>
      </c>
      <c r="B1086" s="1428"/>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28" t="s">
        <v>600</v>
      </c>
      <c r="B1091" s="1428"/>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28" t="s">
        <v>600</v>
      </c>
      <c r="B1094" s="1428"/>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28" t="s">
        <v>600</v>
      </c>
      <c r="B1098" s="1428"/>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28" t="s">
        <v>600</v>
      </c>
      <c r="B1103" s="1428"/>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9:AO749"/>
    <mergeCell ref="AK750:AO750"/>
    <mergeCell ref="AK751:AO751"/>
    <mergeCell ref="T737:W737"/>
    <mergeCell ref="X739:AB739"/>
    <mergeCell ref="G740:J740"/>
    <mergeCell ref="T733:W733"/>
    <mergeCell ref="O734:S734"/>
    <mergeCell ref="K739:N739"/>
    <mergeCell ref="K747:N747"/>
    <mergeCell ref="G753:J753"/>
    <mergeCell ref="AH750:AJ750"/>
    <mergeCell ref="AH751:AJ751"/>
    <mergeCell ref="T776:W776"/>
    <mergeCell ref="X748:AB748"/>
    <mergeCell ref="M636:P636"/>
    <mergeCell ref="M637:P637"/>
    <mergeCell ref="Q638:S638"/>
    <mergeCell ref="T722:W722"/>
    <mergeCell ref="T732:W732"/>
    <mergeCell ref="G735:J735"/>
    <mergeCell ref="K726:N726"/>
    <mergeCell ref="C637:L637"/>
    <mergeCell ref="C638:L638"/>
    <mergeCell ref="G732:J732"/>
    <mergeCell ref="K728:N728"/>
    <mergeCell ref="O746:S746"/>
    <mergeCell ref="T746:W746"/>
    <mergeCell ref="K734:N734"/>
    <mergeCell ref="B746:F746"/>
    <mergeCell ref="B747:F747"/>
    <mergeCell ref="B748:F748"/>
    <mergeCell ref="B749:F749"/>
    <mergeCell ref="B750:F750"/>
    <mergeCell ref="B743:F743"/>
    <mergeCell ref="B744:F744"/>
    <mergeCell ref="H672:R672"/>
    <mergeCell ref="G676:R676"/>
    <mergeCell ref="O747:S747"/>
    <mergeCell ref="T747:W747"/>
    <mergeCell ref="B714:F717"/>
    <mergeCell ref="G729:J729"/>
    <mergeCell ref="B726:F726"/>
    <mergeCell ref="G655:L655"/>
    <mergeCell ref="H656:R656"/>
    <mergeCell ref="G723:J723"/>
    <mergeCell ref="O725:S725"/>
    <mergeCell ref="O726:S726"/>
    <mergeCell ref="K727:N727"/>
    <mergeCell ref="O731:S731"/>
    <mergeCell ref="O732:S732"/>
    <mergeCell ref="B719:F719"/>
    <mergeCell ref="B739:F739"/>
    <mergeCell ref="B745:F745"/>
    <mergeCell ref="B732:F732"/>
    <mergeCell ref="J704:X704"/>
    <mergeCell ref="K720:N720"/>
    <mergeCell ref="W703:AK703"/>
    <mergeCell ref="P679:R679"/>
    <mergeCell ref="AK736:AO736"/>
    <mergeCell ref="X734:AB734"/>
    <mergeCell ref="X736:AB736"/>
    <mergeCell ref="T735:W735"/>
    <mergeCell ref="AC734:AG734"/>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T750:W750"/>
    <mergeCell ref="K751:N751"/>
    <mergeCell ref="O751:S751"/>
    <mergeCell ref="T751:W751"/>
    <mergeCell ref="B742:F742"/>
    <mergeCell ref="K746:N746"/>
    <mergeCell ref="C636:L636"/>
    <mergeCell ref="N665:O665"/>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C633:L633"/>
    <mergeCell ref="C634:L634"/>
    <mergeCell ref="AI561:AL561"/>
    <mergeCell ref="AE560:AH560"/>
    <mergeCell ref="T556:V556"/>
    <mergeCell ref="AC520:AF520"/>
    <mergeCell ref="AC527:AF527"/>
    <mergeCell ref="AC735:AG735"/>
    <mergeCell ref="X733:AB733"/>
    <mergeCell ref="M624:P626"/>
    <mergeCell ref="M627:P627"/>
    <mergeCell ref="M628:P628"/>
    <mergeCell ref="M629:P629"/>
    <mergeCell ref="AC638:AE638"/>
    <mergeCell ref="G647:L647"/>
    <mergeCell ref="W635:Y635"/>
    <mergeCell ref="B639:AN639"/>
    <mergeCell ref="B640:AN640"/>
    <mergeCell ref="B641:AN641"/>
    <mergeCell ref="G643:R643"/>
    <mergeCell ref="Z646:AK646"/>
    <mergeCell ref="V381:W381"/>
    <mergeCell ref="T555:V555"/>
    <mergeCell ref="W559:Y559"/>
    <mergeCell ref="P421:R421"/>
    <mergeCell ref="T558:V558"/>
    <mergeCell ref="W561:Y561"/>
    <mergeCell ref="W562:Y562"/>
    <mergeCell ref="T560:V560"/>
    <mergeCell ref="W634:Y634"/>
    <mergeCell ref="H590:R590"/>
    <mergeCell ref="Q635:S635"/>
    <mergeCell ref="T624:V626"/>
    <mergeCell ref="Z604:AK604"/>
    <mergeCell ref="AM563:AS563"/>
    <mergeCell ref="H573:R573"/>
    <mergeCell ref="C628:L628"/>
    <mergeCell ref="Z593:AK593"/>
    <mergeCell ref="AK629:AN629"/>
    <mergeCell ref="U930:Z930"/>
    <mergeCell ref="G580:R580"/>
    <mergeCell ref="W631:Y631"/>
    <mergeCell ref="AG615:AH615"/>
    <mergeCell ref="G612:R612"/>
    <mergeCell ref="G611:R611"/>
    <mergeCell ref="Z602:AK602"/>
    <mergeCell ref="Z612:AK612"/>
    <mergeCell ref="AC627:AE627"/>
    <mergeCell ref="U928:Z928"/>
    <mergeCell ref="AA928:AF928"/>
    <mergeCell ref="U929:Z929"/>
    <mergeCell ref="AA929:AF929"/>
    <mergeCell ref="AC733:AG733"/>
    <mergeCell ref="B751:F751"/>
    <mergeCell ref="X735:AB735"/>
    <mergeCell ref="AI564:AL564"/>
    <mergeCell ref="G597:L597"/>
    <mergeCell ref="AG591:AH591"/>
    <mergeCell ref="P605:R605"/>
    <mergeCell ref="Q634:S634"/>
    <mergeCell ref="AK633:AN633"/>
    <mergeCell ref="P613:R613"/>
    <mergeCell ref="G577:R577"/>
    <mergeCell ref="G594:R594"/>
    <mergeCell ref="N615:O615"/>
    <mergeCell ref="AC633:AE633"/>
    <mergeCell ref="AC634:AE634"/>
    <mergeCell ref="AC635:AE635"/>
    <mergeCell ref="AA573:AK573"/>
    <mergeCell ref="Z594:AK594"/>
    <mergeCell ref="G601:R601"/>
    <mergeCell ref="T731:W731"/>
    <mergeCell ref="AK742:AO742"/>
    <mergeCell ref="AK743:AO743"/>
    <mergeCell ref="AK744:AO744"/>
    <mergeCell ref="G731:J731"/>
    <mergeCell ref="X729:AB729"/>
    <mergeCell ref="X732:AB732"/>
    <mergeCell ref="AK727:AO727"/>
    <mergeCell ref="AK720:AO720"/>
    <mergeCell ref="AK721:AO721"/>
    <mergeCell ref="H340:M340"/>
    <mergeCell ref="I410:AE410"/>
    <mergeCell ref="Z651:AK651"/>
    <mergeCell ref="AF631:AJ631"/>
    <mergeCell ref="AF632:AJ632"/>
    <mergeCell ref="Z577:AK577"/>
    <mergeCell ref="AE565:AH565"/>
    <mergeCell ref="W630:Y630"/>
    <mergeCell ref="G587:R587"/>
    <mergeCell ref="G578:R578"/>
    <mergeCell ref="M633:P633"/>
    <mergeCell ref="M634:P634"/>
    <mergeCell ref="G610:R610"/>
    <mergeCell ref="W628:Y628"/>
    <mergeCell ref="W629:Y629"/>
    <mergeCell ref="M630:P630"/>
    <mergeCell ref="M631:P631"/>
    <mergeCell ref="M632:P632"/>
    <mergeCell ref="AK627:AN627"/>
    <mergeCell ref="AG649:AH649"/>
    <mergeCell ref="W560:Y560"/>
    <mergeCell ref="AA656:AK656"/>
    <mergeCell ref="AK740:AO740"/>
    <mergeCell ref="AK741:AO741"/>
    <mergeCell ref="AK752:AO752"/>
    <mergeCell ref="AH737:AJ737"/>
    <mergeCell ref="AH738:AJ738"/>
    <mergeCell ref="BS653:BW653"/>
    <mergeCell ref="BS655:BW655"/>
    <mergeCell ref="AK731:AO731"/>
    <mergeCell ref="AK738:AO738"/>
    <mergeCell ref="G730:J730"/>
    <mergeCell ref="X730:AB730"/>
    <mergeCell ref="X731:AB731"/>
    <mergeCell ref="AH727:AJ727"/>
    <mergeCell ref="AC724:AG724"/>
    <mergeCell ref="AC730:AG730"/>
    <mergeCell ref="O730:S730"/>
    <mergeCell ref="AC739:AG739"/>
    <mergeCell ref="AH733:AJ733"/>
    <mergeCell ref="T745:W745"/>
    <mergeCell ref="K735:N735"/>
    <mergeCell ref="K736:N736"/>
    <mergeCell ref="G736:J736"/>
    <mergeCell ref="O722:S722"/>
    <mergeCell ref="T736:W736"/>
    <mergeCell ref="O741:S741"/>
    <mergeCell ref="O723:S723"/>
    <mergeCell ref="O724:S724"/>
    <mergeCell ref="G737:J737"/>
    <mergeCell ref="AK728:AO728"/>
    <mergeCell ref="AK729:AO729"/>
    <mergeCell ref="AH732:AJ732"/>
    <mergeCell ref="AH729:AJ729"/>
    <mergeCell ref="Z669:AK669"/>
    <mergeCell ref="E707:AK707"/>
    <mergeCell ref="W706:AK706"/>
    <mergeCell ref="K730:N730"/>
    <mergeCell ref="AH724:AJ724"/>
    <mergeCell ref="K718:N718"/>
    <mergeCell ref="K719:N719"/>
    <mergeCell ref="G718:J718"/>
    <mergeCell ref="BN652:BR652"/>
    <mergeCell ref="BN653:BR653"/>
    <mergeCell ref="BN654:BR654"/>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E694:AF694"/>
    <mergeCell ref="Z670:AK670"/>
    <mergeCell ref="AK723:AO723"/>
    <mergeCell ref="AK724:AO724"/>
    <mergeCell ref="AK725:AO725"/>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CX651:DB651"/>
    <mergeCell ref="BS651:BW651"/>
    <mergeCell ref="DC651:DG651"/>
    <mergeCell ref="DR649:DV649"/>
    <mergeCell ref="DR652:DV652"/>
    <mergeCell ref="BS649:BW649"/>
    <mergeCell ref="CM649:CQ649"/>
    <mergeCell ref="DH649:DL649"/>
    <mergeCell ref="DM649:DQ649"/>
    <mergeCell ref="CS651:CW651"/>
    <mergeCell ref="BS652:BW652"/>
    <mergeCell ref="CH651:CL651"/>
    <mergeCell ref="DM653:DQ653"/>
    <mergeCell ref="DH654:DL654"/>
    <mergeCell ref="DM654:DQ654"/>
    <mergeCell ref="BX655:CB655"/>
    <mergeCell ref="DH653:DL653"/>
    <mergeCell ref="CC650:CG650"/>
    <mergeCell ref="CC652:CG652"/>
    <mergeCell ref="CC653:CG653"/>
    <mergeCell ref="CC654:CG654"/>
    <mergeCell ref="CH650:CL650"/>
    <mergeCell ref="BS650:BW650"/>
    <mergeCell ref="BX653:CB653"/>
    <mergeCell ref="BX654:CB654"/>
    <mergeCell ref="CH652:CL652"/>
    <mergeCell ref="CH653:CL653"/>
    <mergeCell ref="CH654:CL654"/>
    <mergeCell ref="CM652:CQ652"/>
    <mergeCell ref="CM653:CQ653"/>
    <mergeCell ref="CM654:CQ654"/>
    <mergeCell ref="CS655:CW655"/>
    <mergeCell ref="DH652:DL652"/>
    <mergeCell ref="CS653:CW653"/>
    <mergeCell ref="CX653:DB653"/>
    <mergeCell ref="BX652:CB652"/>
    <mergeCell ref="CS654:CW654"/>
    <mergeCell ref="CX654:DB654"/>
    <mergeCell ref="CX655:DB655"/>
    <mergeCell ref="DC655:DG655"/>
    <mergeCell ref="CC655:CG655"/>
    <mergeCell ref="CH655:CL655"/>
    <mergeCell ref="CM655:CQ655"/>
    <mergeCell ref="DM647:DQ647"/>
    <mergeCell ref="CH660:CL660"/>
    <mergeCell ref="DH650:DL650"/>
    <mergeCell ref="DH648:DL648"/>
    <mergeCell ref="DM648:DQ648"/>
    <mergeCell ref="DR648:DV648"/>
    <mergeCell ref="CS649:CW649"/>
    <mergeCell ref="DC654:DG654"/>
    <mergeCell ref="CM660:CQ660"/>
    <mergeCell ref="DR657:DV657"/>
    <mergeCell ref="CH647:CL647"/>
    <mergeCell ref="CS650:CW650"/>
    <mergeCell ref="CX650:DB650"/>
    <mergeCell ref="CC660:CG660"/>
    <mergeCell ref="DH655:DL655"/>
    <mergeCell ref="DM655:DQ655"/>
    <mergeCell ref="DM652:DQ652"/>
    <mergeCell ref="CX646:DB646"/>
    <mergeCell ref="CH646:CL646"/>
    <mergeCell ref="CC640:CG640"/>
    <mergeCell ref="CH625:CL625"/>
    <mergeCell ref="BX649:CB649"/>
    <mergeCell ref="BX650:CB650"/>
    <mergeCell ref="CS632:CW632"/>
    <mergeCell ref="CX632:DB632"/>
    <mergeCell ref="CM647:CQ647"/>
    <mergeCell ref="CM646:CQ646"/>
    <mergeCell ref="BX647:CB647"/>
    <mergeCell ref="CC638:CG638"/>
    <mergeCell ref="DR647:DV647"/>
    <mergeCell ref="DR651:DV651"/>
    <mergeCell ref="CS647:CW647"/>
    <mergeCell ref="CX647:DB647"/>
    <mergeCell ref="DC647:DG647"/>
    <mergeCell ref="DC649:DG649"/>
    <mergeCell ref="DR630:DV630"/>
    <mergeCell ref="CC631:CG631"/>
    <mergeCell ref="CM629:CQ629"/>
    <mergeCell ref="BX651:CB651"/>
    <mergeCell ref="CC651:CG651"/>
    <mergeCell ref="CC647:CG647"/>
    <mergeCell ref="CH648:CL648"/>
    <mergeCell ref="CC648:CG648"/>
    <mergeCell ref="CM650:CQ650"/>
    <mergeCell ref="DR650:DV650"/>
    <mergeCell ref="CM651:CQ651"/>
    <mergeCell ref="DM650:DQ650"/>
    <mergeCell ref="CX649:DB649"/>
    <mergeCell ref="DH647:DL647"/>
    <mergeCell ref="CC619:CG619"/>
    <mergeCell ref="DM619:DQ619"/>
    <mergeCell ref="CM625:CQ625"/>
    <mergeCell ref="BX625:CB625"/>
    <mergeCell ref="CC623:CG623"/>
    <mergeCell ref="CC629:CG629"/>
    <mergeCell ref="CH629:CL629"/>
    <mergeCell ref="CM638:CQ638"/>
    <mergeCell ref="CS648:CW648"/>
    <mergeCell ref="BX648:CB648"/>
    <mergeCell ref="CX648:DB648"/>
    <mergeCell ref="DC648:DG648"/>
    <mergeCell ref="CM648:CQ648"/>
    <mergeCell ref="BX627:CB627"/>
    <mergeCell ref="CC627:CG627"/>
    <mergeCell ref="CH627:CL627"/>
    <mergeCell ref="CM627:CQ627"/>
    <mergeCell ref="CS621:CW621"/>
    <mergeCell ref="CX621:DB621"/>
    <mergeCell ref="BX624:CB624"/>
    <mergeCell ref="CC624:CG624"/>
    <mergeCell ref="DC645:DG645"/>
    <mergeCell ref="CS646:CW646"/>
    <mergeCell ref="DM632:DQ632"/>
    <mergeCell ref="BX645:CB645"/>
    <mergeCell ref="CH640:CL640"/>
    <mergeCell ref="CM640:CQ640"/>
    <mergeCell ref="CM639:CQ639"/>
    <mergeCell ref="CH632:CL632"/>
    <mergeCell ref="CS645:CW645"/>
    <mergeCell ref="CX645:DB645"/>
    <mergeCell ref="DM622:DQ622"/>
    <mergeCell ref="CS618:CW618"/>
    <mergeCell ref="CX618:DB618"/>
    <mergeCell ref="DC618:DG618"/>
    <mergeCell ref="CX624:DB624"/>
    <mergeCell ref="CC621:CG621"/>
    <mergeCell ref="BX622:CB622"/>
    <mergeCell ref="CC622:CG622"/>
    <mergeCell ref="CH622:CL622"/>
    <mergeCell ref="CM622:CQ622"/>
    <mergeCell ref="CM623:CQ623"/>
    <mergeCell ref="CH624:CL624"/>
    <mergeCell ref="CM624:CQ624"/>
    <mergeCell ref="DC621:DG621"/>
    <mergeCell ref="DH621:DL621"/>
    <mergeCell ref="DM621:DQ621"/>
    <mergeCell ref="DH646:DL646"/>
    <mergeCell ref="DM646:DQ646"/>
    <mergeCell ref="CC630:CG630"/>
    <mergeCell ref="BX632:CB632"/>
    <mergeCell ref="CM645:CQ645"/>
    <mergeCell ref="CH639:CL639"/>
    <mergeCell ref="DH630:DL630"/>
    <mergeCell ref="DM618:DQ618"/>
    <mergeCell ref="CC639:CG639"/>
    <mergeCell ref="DC630:DG630"/>
    <mergeCell ref="CS630:CW630"/>
    <mergeCell ref="CX630:DB630"/>
    <mergeCell ref="BX646:CB646"/>
    <mergeCell ref="CC645:CG645"/>
    <mergeCell ref="CX622:DB622"/>
    <mergeCell ref="DC622:DG622"/>
    <mergeCell ref="DH622:DL622"/>
    <mergeCell ref="BS631:BW631"/>
    <mergeCell ref="BS637:BW637"/>
    <mergeCell ref="DR617:DV617"/>
    <mergeCell ref="CS631:CW631"/>
    <mergeCell ref="CX631:DB631"/>
    <mergeCell ref="CH631:CL631"/>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R645:DV645"/>
    <mergeCell ref="DR620:DV620"/>
    <mergeCell ref="DR646:DV646"/>
    <mergeCell ref="CS624:CW624"/>
    <mergeCell ref="DM617:DQ617"/>
    <mergeCell ref="CC617:CG617"/>
    <mergeCell ref="DM624:DQ624"/>
    <mergeCell ref="CS628:CW628"/>
    <mergeCell ref="CX628:DB628"/>
    <mergeCell ref="DC628:DG628"/>
    <mergeCell ref="DH628:DL628"/>
    <mergeCell ref="DR618:DV618"/>
    <mergeCell ref="CH637:CL637"/>
    <mergeCell ref="CH641:CL641"/>
    <mergeCell ref="BX638:CB638"/>
    <mergeCell ref="AO634:AS634"/>
    <mergeCell ref="BX637:CB637"/>
    <mergeCell ref="CH638:CL638"/>
    <mergeCell ref="AF635:AJ635"/>
    <mergeCell ref="AO635:AS635"/>
    <mergeCell ref="DR619:DV619"/>
    <mergeCell ref="Z636:AB636"/>
    <mergeCell ref="Z637:AB637"/>
    <mergeCell ref="Z638:AB638"/>
    <mergeCell ref="W627:Y627"/>
    <mergeCell ref="T627:V627"/>
    <mergeCell ref="Z624:AB626"/>
    <mergeCell ref="BN641:BR641"/>
    <mergeCell ref="BN637:BR637"/>
    <mergeCell ref="AF637:AJ637"/>
    <mergeCell ref="AF638:AJ638"/>
    <mergeCell ref="AK624:AN626"/>
    <mergeCell ref="W624:Y626"/>
    <mergeCell ref="T634:V634"/>
    <mergeCell ref="AO637:AS637"/>
    <mergeCell ref="AK636:AN636"/>
    <mergeCell ref="CM632:CQ632"/>
    <mergeCell ref="CM637:CQ637"/>
    <mergeCell ref="CH630:CL630"/>
    <mergeCell ref="CM641:CQ641"/>
    <mergeCell ref="CC637:CG637"/>
    <mergeCell ref="BX641:CB641"/>
    <mergeCell ref="CC641:CG641"/>
    <mergeCell ref="CS620:CW620"/>
    <mergeCell ref="CX620:DB620"/>
    <mergeCell ref="EC641:EG641"/>
    <mergeCell ref="CS614:CW614"/>
    <mergeCell ref="CX613:DB613"/>
    <mergeCell ref="ER619:EV619"/>
    <mergeCell ref="EH640:EL640"/>
    <mergeCell ref="ER655:EV655"/>
    <mergeCell ref="EH648:EL648"/>
    <mergeCell ref="EH651:EL651"/>
    <mergeCell ref="DX632:EB632"/>
    <mergeCell ref="EC632:EG632"/>
    <mergeCell ref="DH614:DL614"/>
    <mergeCell ref="DM614:DQ614"/>
    <mergeCell ref="CX614:DB614"/>
    <mergeCell ref="EH619:EL619"/>
    <mergeCell ref="DR616:DV616"/>
    <mergeCell ref="CX616:DB616"/>
    <mergeCell ref="DC632:DG632"/>
    <mergeCell ref="DH632:DL632"/>
    <mergeCell ref="DX639:EB639"/>
    <mergeCell ref="EH642:EL642"/>
    <mergeCell ref="EM642:EQ642"/>
    <mergeCell ref="ER642:EV642"/>
    <mergeCell ref="DX641:EB641"/>
    <mergeCell ref="EH641:EL641"/>
    <mergeCell ref="EM641:EQ641"/>
    <mergeCell ref="ER618:EV618"/>
    <mergeCell ref="DX619:EB619"/>
    <mergeCell ref="EC619:EG619"/>
    <mergeCell ref="EC624:EG624"/>
    <mergeCell ref="EH624:EL624"/>
    <mergeCell ref="CM619:CQ619"/>
    <mergeCell ref="CH619:CL619"/>
    <mergeCell ref="CM633:CQ633"/>
    <mergeCell ref="ER650:EV650"/>
    <mergeCell ref="EM619:EQ619"/>
    <mergeCell ref="EC637:EG637"/>
    <mergeCell ref="EH637:EL637"/>
    <mergeCell ref="DH645:DL645"/>
    <mergeCell ref="DM645:DQ645"/>
    <mergeCell ref="EM640:EQ640"/>
    <mergeCell ref="DX667:EB667"/>
    <mergeCell ref="DX662:EB662"/>
    <mergeCell ref="EW669:FA669"/>
    <mergeCell ref="DX656:EB656"/>
    <mergeCell ref="EC656:EG656"/>
    <mergeCell ref="EH661:EL661"/>
    <mergeCell ref="ER670:EV670"/>
    <mergeCell ref="DX669:EB669"/>
    <mergeCell ref="EC670:EG670"/>
    <mergeCell ref="EH670:EL670"/>
    <mergeCell ref="EC665:EG665"/>
    <mergeCell ref="EH665:EL665"/>
    <mergeCell ref="EM665:EQ665"/>
    <mergeCell ref="ER665:EV665"/>
    <mergeCell ref="EW665:FA665"/>
    <mergeCell ref="EW662:FA662"/>
    <mergeCell ref="DX663:EB663"/>
    <mergeCell ref="EC663:EG663"/>
    <mergeCell ref="EH663:EL663"/>
    <mergeCell ref="EM663:EQ663"/>
    <mergeCell ref="EW670:FA670"/>
    <mergeCell ref="EW656:FA656"/>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CC632:CG632"/>
    <mergeCell ref="CM630:CQ630"/>
    <mergeCell ref="CM631:CQ631"/>
    <mergeCell ref="DC631:DG631"/>
    <mergeCell ref="DM631:DQ631"/>
    <mergeCell ref="DH631:DL631"/>
    <mergeCell ref="EH614:EL614"/>
    <mergeCell ref="EC617:EG617"/>
    <mergeCell ref="EH617:EL617"/>
    <mergeCell ref="CC616:CG616"/>
    <mergeCell ref="DX657:EB657"/>
    <mergeCell ref="EC657:EG657"/>
    <mergeCell ref="EH657:EL657"/>
    <mergeCell ref="EM657:EQ657"/>
    <mergeCell ref="ER657:EV657"/>
    <mergeCell ref="ER646:EV646"/>
    <mergeCell ref="DX618:EB618"/>
    <mergeCell ref="EC618:EG618"/>
    <mergeCell ref="EH618:EL618"/>
    <mergeCell ref="EM618:EQ618"/>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EM667:EQ667"/>
    <mergeCell ref="ER667:EV667"/>
    <mergeCell ref="EW667:FA667"/>
    <mergeCell ref="ER669:EV669"/>
    <mergeCell ref="ER668:EV668"/>
    <mergeCell ref="EC669:EG669"/>
    <mergeCell ref="EH669:EL669"/>
    <mergeCell ref="EM669:EQ669"/>
    <mergeCell ref="DX664:EB664"/>
    <mergeCell ref="EC664:EG664"/>
    <mergeCell ref="EH664:EL664"/>
    <mergeCell ref="DX655:EB655"/>
    <mergeCell ref="EW654:FA654"/>
    <mergeCell ref="DX647:EB647"/>
    <mergeCell ref="EC647:EG647"/>
    <mergeCell ref="ER661:EV661"/>
    <mergeCell ref="EW661:FA661"/>
    <mergeCell ref="EM662:EQ662"/>
    <mergeCell ref="ER662:EV662"/>
    <mergeCell ref="EC662:EG662"/>
    <mergeCell ref="DX665:EB665"/>
    <mergeCell ref="ER663:EV663"/>
    <mergeCell ref="EW663:FA663"/>
    <mergeCell ref="DX666:EB666"/>
    <mergeCell ref="EC666:EG666"/>
    <mergeCell ref="EH666:EL666"/>
    <mergeCell ref="EH650:EL650"/>
    <mergeCell ref="EM650:EQ650"/>
    <mergeCell ref="DX653:EB653"/>
    <mergeCell ref="EC653:EG653"/>
    <mergeCell ref="DX654:EB654"/>
    <mergeCell ref="EC654:EG654"/>
    <mergeCell ref="EH654:EL654"/>
    <mergeCell ref="EM649:EQ649"/>
    <mergeCell ref="DX658:EB658"/>
    <mergeCell ref="EC658:EG658"/>
    <mergeCell ref="EH658:EL658"/>
    <mergeCell ref="EM658:EQ658"/>
    <mergeCell ref="ER658:EV658"/>
    <mergeCell ref="EW657:FA657"/>
    <mergeCell ref="EM661:EQ661"/>
    <mergeCell ref="EW658:FA658"/>
    <mergeCell ref="EC651:EG651"/>
    <mergeCell ref="EM648:EQ648"/>
    <mergeCell ref="ER651:EV651"/>
    <mergeCell ref="ER652:EV652"/>
    <mergeCell ref="EM651:EQ651"/>
    <mergeCell ref="ER649:EV649"/>
    <mergeCell ref="DX652:EB652"/>
    <mergeCell ref="EC652:EG652"/>
    <mergeCell ref="EH652:EL652"/>
    <mergeCell ref="EW647:FA647"/>
    <mergeCell ref="DX651:EB651"/>
    <mergeCell ref="EM652:EQ652"/>
    <mergeCell ref="DX650:EB650"/>
    <mergeCell ref="EC650:EG650"/>
    <mergeCell ref="ER645:EV645"/>
    <mergeCell ref="EW646:FA646"/>
    <mergeCell ref="EW653:FA653"/>
    <mergeCell ref="DX649:EB649"/>
    <mergeCell ref="EH649:EL649"/>
    <mergeCell ref="EC646:EG646"/>
    <mergeCell ref="EH646:EL646"/>
    <mergeCell ref="EM654:EQ654"/>
    <mergeCell ref="EH662:EL662"/>
    <mergeCell ref="DX659:EB659"/>
    <mergeCell ref="ER660:EV660"/>
    <mergeCell ref="EW660:FA660"/>
    <mergeCell ref="DX661:EB661"/>
    <mergeCell ref="EC661:EG661"/>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R623:EV623"/>
    <mergeCell ref="EW623:FA623"/>
    <mergeCell ref="DX620:EB620"/>
    <mergeCell ref="EC620:EG620"/>
    <mergeCell ref="EW645:FA645"/>
    <mergeCell ref="DX646:EB646"/>
    <mergeCell ref="EW638:FA638"/>
    <mergeCell ref="ER648:EV648"/>
    <mergeCell ref="EW619:FA619"/>
    <mergeCell ref="EM608:EQ608"/>
    <mergeCell ref="ER608:EV608"/>
    <mergeCell ref="EW608:FA608"/>
    <mergeCell ref="EW616:FA616"/>
    <mergeCell ref="ER630:EV630"/>
    <mergeCell ref="EW630:FA630"/>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DX612:EB612"/>
    <mergeCell ref="EC612:EG612"/>
    <mergeCell ref="EH612:EL612"/>
    <mergeCell ref="EM612:EQ612"/>
    <mergeCell ref="EM624:EQ624"/>
    <mergeCell ref="ER624:EV624"/>
    <mergeCell ref="EW612:FA612"/>
    <mergeCell ref="EW618:FA618"/>
    <mergeCell ref="DX613:EB613"/>
    <mergeCell ref="EC613:EG613"/>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DX617:EB617"/>
    <mergeCell ref="EC614:EG614"/>
    <mergeCell ref="EM614:EQ614"/>
    <mergeCell ref="ER614:EV614"/>
    <mergeCell ref="EW614:FA614"/>
    <mergeCell ref="DX609:EB609"/>
    <mergeCell ref="ER612:EV612"/>
    <mergeCell ref="DX600:EB600"/>
    <mergeCell ref="EC600:EG600"/>
    <mergeCell ref="EH600:EL600"/>
    <mergeCell ref="EM600:EQ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C599:EG599"/>
    <mergeCell ref="EH599:EL599"/>
    <mergeCell ref="EM599:EQ599"/>
    <mergeCell ref="ER599:EV599"/>
    <mergeCell ref="DX607:EB607"/>
    <mergeCell ref="EC607:EG607"/>
    <mergeCell ref="EH607:EL607"/>
    <mergeCell ref="EM607:EQ607"/>
    <mergeCell ref="ER607:EV607"/>
    <mergeCell ref="EW607:FA607"/>
    <mergeCell ref="DX608:EB608"/>
    <mergeCell ref="EC608:EG608"/>
    <mergeCell ref="EH608:EL60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AB984:AI984"/>
    <mergeCell ref="AB985:AI985"/>
    <mergeCell ref="AB986:AI986"/>
    <mergeCell ref="D986:Q986"/>
    <mergeCell ref="R988:AA988"/>
    <mergeCell ref="ER600:EV600"/>
    <mergeCell ref="DX599:EB599"/>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D1021:AE1022"/>
    <mergeCell ref="J1023:AE1023"/>
    <mergeCell ref="T971:Z971"/>
    <mergeCell ref="M961:S961"/>
    <mergeCell ref="AA970:AG970"/>
    <mergeCell ref="AB987:AI987"/>
    <mergeCell ref="D987:Q987"/>
    <mergeCell ref="D988:Q988"/>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31:AE1031"/>
    <mergeCell ref="D1032:AE1034"/>
    <mergeCell ref="AJ1031:AQ1034"/>
    <mergeCell ref="AJ993:AQ999"/>
    <mergeCell ref="AJ1006:AQ1009"/>
    <mergeCell ref="AJ1010:AQ1011"/>
    <mergeCell ref="AJ1000:AQ1005"/>
    <mergeCell ref="R987:AA987"/>
    <mergeCell ref="AA966:AG966"/>
    <mergeCell ref="AA972:AG972"/>
    <mergeCell ref="AE961:AK961"/>
    <mergeCell ref="AJ985:AQ985"/>
    <mergeCell ref="AA943:AF943"/>
    <mergeCell ref="F929:T929"/>
    <mergeCell ref="F930:T930"/>
    <mergeCell ref="F931:T931"/>
    <mergeCell ref="AA938:AF938"/>
    <mergeCell ref="AA939:AF939"/>
    <mergeCell ref="U937:Z937"/>
    <mergeCell ref="J779:K779"/>
    <mergeCell ref="X749:AB749"/>
    <mergeCell ref="X745:AB745"/>
    <mergeCell ref="X746:AB746"/>
    <mergeCell ref="X789:AB789"/>
    <mergeCell ref="K749:N749"/>
    <mergeCell ref="O749:S749"/>
    <mergeCell ref="X751:AB751"/>
    <mergeCell ref="T769:W772"/>
    <mergeCell ref="U823:X824"/>
    <mergeCell ref="Z807:AE807"/>
    <mergeCell ref="O794:S794"/>
    <mergeCell ref="AC796:AG796"/>
    <mergeCell ref="AA925:AF925"/>
    <mergeCell ref="U926:Z926"/>
    <mergeCell ref="AA926:AF926"/>
    <mergeCell ref="F928:T928"/>
    <mergeCell ref="F936:T936"/>
    <mergeCell ref="U936:Z936"/>
    <mergeCell ref="AA936:AF936"/>
    <mergeCell ref="K740:N740"/>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AA946:AF946"/>
    <mergeCell ref="AA940:AF940"/>
    <mergeCell ref="U947:Z947"/>
    <mergeCell ref="AB956:AK956"/>
    <mergeCell ref="U948:Z948"/>
    <mergeCell ref="U924:Z924"/>
    <mergeCell ref="AA934:AF934"/>
    <mergeCell ref="AA917:AF917"/>
    <mergeCell ref="C830:H830"/>
    <mergeCell ref="O769:S772"/>
    <mergeCell ref="B754:AH755"/>
    <mergeCell ref="T749:W749"/>
    <mergeCell ref="K750:N750"/>
    <mergeCell ref="J775:N775"/>
    <mergeCell ref="O774:S774"/>
    <mergeCell ref="X769:AB772"/>
    <mergeCell ref="K737:N737"/>
    <mergeCell ref="F831:L831"/>
    <mergeCell ref="AH739:AJ739"/>
    <mergeCell ref="AH740:AJ740"/>
    <mergeCell ref="M831:P831"/>
    <mergeCell ref="B734:F734"/>
    <mergeCell ref="C766:AR768"/>
    <mergeCell ref="X750:AB750"/>
    <mergeCell ref="AF574:AK574"/>
    <mergeCell ref="Z585:AK585"/>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AH749:AJ749"/>
    <mergeCell ref="AD759:AF759"/>
    <mergeCell ref="T774:W774"/>
    <mergeCell ref="O776:S77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AG827:AJ827"/>
    <mergeCell ref="M826:P826"/>
    <mergeCell ref="M871:V871"/>
    <mergeCell ref="Q825:T825"/>
    <mergeCell ref="W870:AC870"/>
    <mergeCell ref="Q831:T831"/>
    <mergeCell ref="W853:AC853"/>
    <mergeCell ref="Q832:T832"/>
    <mergeCell ref="Y800:AC800"/>
    <mergeCell ref="A1103:B1103"/>
    <mergeCell ref="G725:J725"/>
    <mergeCell ref="J789:N78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J787:N787"/>
    <mergeCell ref="G738:J738"/>
    <mergeCell ref="O750:S750"/>
    <mergeCell ref="T742:W74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AH743:AJ743"/>
    <mergeCell ref="AH744:AJ744"/>
    <mergeCell ref="X738:AB738"/>
    <mergeCell ref="U827:X827"/>
    <mergeCell ref="C832:L832"/>
    <mergeCell ref="AE955:AK955"/>
    <mergeCell ref="O783:S786"/>
    <mergeCell ref="AC752:AG752"/>
    <mergeCell ref="O788:S788"/>
    <mergeCell ref="G752:J752"/>
    <mergeCell ref="T741:W741"/>
    <mergeCell ref="D1098:AK1102"/>
    <mergeCell ref="D1103:AK1105"/>
    <mergeCell ref="X726:AB726"/>
    <mergeCell ref="AH723:AJ723"/>
    <mergeCell ref="AC748:AG748"/>
    <mergeCell ref="AC788:AG788"/>
    <mergeCell ref="X742:AB742"/>
    <mergeCell ref="X743:AB743"/>
    <mergeCell ref="X744:AB744"/>
    <mergeCell ref="O756:R756"/>
    <mergeCell ref="AG756:AJ756"/>
    <mergeCell ref="J788:N788"/>
    <mergeCell ref="K745:N745"/>
    <mergeCell ref="T744:W744"/>
    <mergeCell ref="AC749:AG749"/>
    <mergeCell ref="AC750:AG750"/>
    <mergeCell ref="AC751:AG751"/>
    <mergeCell ref="O745:S745"/>
    <mergeCell ref="K752:N752"/>
    <mergeCell ref="M971:S971"/>
    <mergeCell ref="M960:S960"/>
    <mergeCell ref="E885:AB885"/>
    <mergeCell ref="U921:Z921"/>
    <mergeCell ref="AA923:AF923"/>
    <mergeCell ref="M968:S968"/>
    <mergeCell ref="M846:V846"/>
    <mergeCell ref="W843:AC843"/>
    <mergeCell ref="J849:V849"/>
    <mergeCell ref="D1076:AK1082"/>
    <mergeCell ref="M967:S967"/>
    <mergeCell ref="AA971:AG971"/>
    <mergeCell ref="U925:Z925"/>
    <mergeCell ref="BS647:BW647"/>
    <mergeCell ref="BN645:BR645"/>
    <mergeCell ref="T794:W794"/>
    <mergeCell ref="T792:W792"/>
    <mergeCell ref="O777:S777"/>
    <mergeCell ref="X788:AB788"/>
    <mergeCell ref="T734:W734"/>
    <mergeCell ref="O775:S775"/>
    <mergeCell ref="X795:AB795"/>
    <mergeCell ref="AH731:AJ731"/>
    <mergeCell ref="BN660:BR660"/>
    <mergeCell ref="BN646:BR646"/>
    <mergeCell ref="AA664:AK664"/>
    <mergeCell ref="BN647:BR647"/>
    <mergeCell ref="M957:S957"/>
    <mergeCell ref="AC883:AH883"/>
    <mergeCell ref="Z901:AE901"/>
    <mergeCell ref="W863:AC863"/>
    <mergeCell ref="AC891:AH891"/>
    <mergeCell ref="C893:AB893"/>
    <mergeCell ref="M878:V878"/>
    <mergeCell ref="U934:Z934"/>
    <mergeCell ref="AA922:AF922"/>
    <mergeCell ref="U919:Z919"/>
    <mergeCell ref="AA919:AF919"/>
    <mergeCell ref="AA918:AF918"/>
    <mergeCell ref="BD903:BE903"/>
    <mergeCell ref="AA945:AF945"/>
    <mergeCell ref="F945:H945"/>
    <mergeCell ref="F925:T925"/>
    <mergeCell ref="F926:T926"/>
    <mergeCell ref="F927:T927"/>
    <mergeCell ref="BG975:BL975"/>
    <mergeCell ref="AA949:AF949"/>
    <mergeCell ref="BD906:BE906"/>
    <mergeCell ref="BD907:BE907"/>
    <mergeCell ref="U946:Z946"/>
    <mergeCell ref="U918:Z918"/>
    <mergeCell ref="U944:Z944"/>
    <mergeCell ref="AA933:AF933"/>
    <mergeCell ref="U920:Z920"/>
    <mergeCell ref="AA920:AF920"/>
    <mergeCell ref="AG832:AJ832"/>
    <mergeCell ref="W844:AC844"/>
    <mergeCell ref="AC832:AF832"/>
    <mergeCell ref="O796:S796"/>
    <mergeCell ref="W874:AC874"/>
    <mergeCell ref="U825:X825"/>
    <mergeCell ref="M823:P824"/>
    <mergeCell ref="Z817:AE817"/>
    <mergeCell ref="Z818:AE818"/>
    <mergeCell ref="W857:AC857"/>
    <mergeCell ref="BG848:BL848"/>
    <mergeCell ref="W855:AC855"/>
    <mergeCell ref="AC892:AH892"/>
    <mergeCell ref="W846:AC846"/>
    <mergeCell ref="Z898:AE898"/>
    <mergeCell ref="W872:AC872"/>
    <mergeCell ref="AC884:AH884"/>
    <mergeCell ref="AC888:AH888"/>
    <mergeCell ref="M875:V875"/>
    <mergeCell ref="W877:AC877"/>
    <mergeCell ref="AB916:AE916"/>
    <mergeCell ref="AA921:AF921"/>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C831:AF831"/>
    <mergeCell ref="AH734:AJ734"/>
    <mergeCell ref="X737:AB737"/>
    <mergeCell ref="X790:AB790"/>
    <mergeCell ref="U831:X831"/>
    <mergeCell ref="X723:AB723"/>
    <mergeCell ref="T719:W719"/>
    <mergeCell ref="T725:W725"/>
    <mergeCell ref="AH726:AJ726"/>
    <mergeCell ref="X774:AB774"/>
    <mergeCell ref="AG830:AJ830"/>
    <mergeCell ref="U832:X832"/>
    <mergeCell ref="Y801:AC801"/>
    <mergeCell ref="T783:W786"/>
    <mergeCell ref="X773:AB773"/>
    <mergeCell ref="AC776:AG776"/>
    <mergeCell ref="AC790:AG790"/>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H608:CL60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565:L565"/>
    <mergeCell ref="AM565:AS565"/>
    <mergeCell ref="AE563:AH563"/>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G570:R570"/>
    <mergeCell ref="Z631:AB631"/>
    <mergeCell ref="AF624:AJ626"/>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Z561:AD561"/>
    <mergeCell ref="M563:P563"/>
    <mergeCell ref="W563:Y563"/>
    <mergeCell ref="W564:Y564"/>
    <mergeCell ref="C564:L564"/>
    <mergeCell ref="M564:P564"/>
    <mergeCell ref="Q632:S632"/>
    <mergeCell ref="G605:L605"/>
    <mergeCell ref="G602:R602"/>
    <mergeCell ref="N599:O599"/>
    <mergeCell ref="AA598:AK598"/>
    <mergeCell ref="Z587:AK587"/>
    <mergeCell ref="A617:AT618"/>
    <mergeCell ref="B624:L626"/>
    <mergeCell ref="Z588:AK588"/>
    <mergeCell ref="Z578:AK578"/>
    <mergeCell ref="Z603:AK603"/>
    <mergeCell ref="AI605:AK605"/>
    <mergeCell ref="AK630:AN630"/>
    <mergeCell ref="Z605:AE605"/>
    <mergeCell ref="Z609:AK609"/>
    <mergeCell ref="G609:R609"/>
    <mergeCell ref="AA606:AK606"/>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BX630:CB630"/>
    <mergeCell ref="BG630:BH630"/>
    <mergeCell ref="BN630:BR630"/>
    <mergeCell ref="BK630:BL630"/>
    <mergeCell ref="CC620:CG620"/>
    <mergeCell ref="CH621:CL621"/>
    <mergeCell ref="CH626:CL626"/>
    <mergeCell ref="BN617:BR617"/>
    <mergeCell ref="BK611:BL611"/>
    <mergeCell ref="CC625:CG625"/>
    <mergeCell ref="BS620:BW620"/>
    <mergeCell ref="BX620:CB620"/>
    <mergeCell ref="CC605:CG605"/>
    <mergeCell ref="BS609:BW609"/>
    <mergeCell ref="BI607:BJ607"/>
    <mergeCell ref="CH620:CL620"/>
    <mergeCell ref="BS628:BW628"/>
    <mergeCell ref="CM616:CQ616"/>
    <mergeCell ref="CM617:CQ617"/>
    <mergeCell ref="CM618:CQ618"/>
    <mergeCell ref="BE615:BF615"/>
    <mergeCell ref="BG619:BH619"/>
    <mergeCell ref="CH618:CL618"/>
    <mergeCell ref="BI619:BJ619"/>
    <mergeCell ref="CH611:CL611"/>
    <mergeCell ref="BS611:BW611"/>
    <mergeCell ref="BG609:BH609"/>
    <mergeCell ref="CM612:CQ612"/>
    <mergeCell ref="CM613:CQ613"/>
    <mergeCell ref="CM614:CQ614"/>
    <mergeCell ref="CM615:CQ615"/>
    <mergeCell ref="BG615:BH615"/>
    <mergeCell ref="CH610:CL610"/>
    <mergeCell ref="BX616:CB616"/>
    <mergeCell ref="CC612:CG612"/>
    <mergeCell ref="BS614:BW614"/>
    <mergeCell ref="BN614:BR614"/>
    <mergeCell ref="CH615:CL615"/>
    <mergeCell ref="CC615:CG615"/>
    <mergeCell ref="BK619:BL619"/>
    <mergeCell ref="BK614:BL614"/>
    <mergeCell ref="BI613:BJ613"/>
    <mergeCell ref="BK613:BL613"/>
    <mergeCell ref="CH616:CL616"/>
    <mergeCell ref="CH614:CL614"/>
    <mergeCell ref="BX613:CB613"/>
    <mergeCell ref="CC613:CG613"/>
    <mergeCell ref="BG614:BH614"/>
    <mergeCell ref="CH613:CL613"/>
    <mergeCell ref="AC637:AE637"/>
    <mergeCell ref="Q636:S636"/>
    <mergeCell ref="CM611:CQ611"/>
    <mergeCell ref="BG617:BH617"/>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BG632:BH632"/>
    <mergeCell ref="BK632:BL632"/>
    <mergeCell ref="BN632:BR632"/>
    <mergeCell ref="M635:P635"/>
    <mergeCell ref="BE630:BF630"/>
    <mergeCell ref="BS617:BW617"/>
    <mergeCell ref="BE628:BF628"/>
    <mergeCell ref="BE627:BF627"/>
    <mergeCell ref="Z634:AB634"/>
    <mergeCell ref="Z635:AB635"/>
    <mergeCell ref="AO632:AS632"/>
    <mergeCell ref="Q633:S633"/>
    <mergeCell ref="AC630:AE630"/>
    <mergeCell ref="AC631:AE631"/>
    <mergeCell ref="AC632:AE632"/>
    <mergeCell ref="AF627:AJ627"/>
    <mergeCell ref="AF634:AJ634"/>
    <mergeCell ref="AF636:AJ636"/>
    <mergeCell ref="AK631:AN631"/>
    <mergeCell ref="AK632:AN632"/>
    <mergeCell ref="AO630:AS630"/>
    <mergeCell ref="AO636:AS636"/>
    <mergeCell ref="AO627:AS627"/>
    <mergeCell ref="T629:V629"/>
    <mergeCell ref="T630:V630"/>
    <mergeCell ref="T631:V631"/>
    <mergeCell ref="T632:V632"/>
    <mergeCell ref="T633:V633"/>
    <mergeCell ref="AK634:AN634"/>
    <mergeCell ref="AK635:AN635"/>
    <mergeCell ref="AC636:AE636"/>
    <mergeCell ref="W633:Y633"/>
    <mergeCell ref="Z630:AB630"/>
    <mergeCell ref="AO633:AS633"/>
    <mergeCell ref="AO628:AS628"/>
    <mergeCell ref="AO631:AS631"/>
    <mergeCell ref="AF633:AJ633"/>
    <mergeCell ref="Q627:S627"/>
    <mergeCell ref="AO641:AS641"/>
    <mergeCell ref="G644:R644"/>
    <mergeCell ref="Z645:AK645"/>
    <mergeCell ref="P655:R655"/>
    <mergeCell ref="Z653:AK653"/>
    <mergeCell ref="Z647:AE647"/>
    <mergeCell ref="Z652:AK652"/>
    <mergeCell ref="P647:R647"/>
    <mergeCell ref="AI647:AK647"/>
    <mergeCell ref="D1064:AK1069"/>
    <mergeCell ref="J773:N773"/>
    <mergeCell ref="O773:S773"/>
    <mergeCell ref="T752:W752"/>
    <mergeCell ref="J776:N776"/>
    <mergeCell ref="M874:V874"/>
    <mergeCell ref="R985:AA985"/>
    <mergeCell ref="U938:Z938"/>
    <mergeCell ref="U939:Z939"/>
    <mergeCell ref="F935:T935"/>
    <mergeCell ref="U935:Z935"/>
    <mergeCell ref="F943:T943"/>
    <mergeCell ref="U943:Z943"/>
    <mergeCell ref="G654:R654"/>
    <mergeCell ref="AC885:AH885"/>
    <mergeCell ref="W861:AC861"/>
    <mergeCell ref="C894:AB894"/>
    <mergeCell ref="AE957:AK957"/>
    <mergeCell ref="F915:T916"/>
    <mergeCell ref="AA930:AF930"/>
    <mergeCell ref="AC893:AH893"/>
    <mergeCell ref="I945:T945"/>
    <mergeCell ref="U945:Z94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M958:S958"/>
    <mergeCell ref="AE958:AK958"/>
    <mergeCell ref="W973:AG973"/>
    <mergeCell ref="M972:S972"/>
    <mergeCell ref="AA968:AG968"/>
    <mergeCell ref="AA935:AF935"/>
    <mergeCell ref="U942:Z942"/>
    <mergeCell ref="AA948:AF948"/>
    <mergeCell ref="U940:Z940"/>
    <mergeCell ref="AA942:AF942"/>
    <mergeCell ref="D1086:AK1090"/>
    <mergeCell ref="D1045:AE1046"/>
    <mergeCell ref="D1049:AE1050"/>
    <mergeCell ref="X1047:Y1047"/>
    <mergeCell ref="X1051:Y1051"/>
    <mergeCell ref="I1047:J1047"/>
    <mergeCell ref="I1051:J1051"/>
    <mergeCell ref="AG1048:AH1048"/>
    <mergeCell ref="F941:T941"/>
    <mergeCell ref="U941:Z941"/>
    <mergeCell ref="AA941:AF941"/>
    <mergeCell ref="BD905:BF905"/>
    <mergeCell ref="BD904:BF904"/>
    <mergeCell ref="U923:Z923"/>
    <mergeCell ref="BD909:BE909"/>
    <mergeCell ref="U927:Z927"/>
    <mergeCell ref="U931:Z931"/>
    <mergeCell ref="AA931:AF931"/>
    <mergeCell ref="F937:T937"/>
    <mergeCell ref="F938:T938"/>
    <mergeCell ref="F939:T939"/>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A909:AT910"/>
    <mergeCell ref="X793:AB793"/>
    <mergeCell ref="O789:S789"/>
    <mergeCell ref="AC792:AG792"/>
    <mergeCell ref="O787:S787"/>
    <mergeCell ref="Q826:T826"/>
    <mergeCell ref="Y823:AB824"/>
    <mergeCell ref="M829:P829"/>
    <mergeCell ref="Z815:AE815"/>
    <mergeCell ref="Z808:AE808"/>
    <mergeCell ref="X794:AB794"/>
    <mergeCell ref="T796:W796"/>
    <mergeCell ref="Q829:T829"/>
    <mergeCell ref="T795:W795"/>
    <mergeCell ref="O793:S793"/>
    <mergeCell ref="J790:N790"/>
    <mergeCell ref="AC789:AG789"/>
    <mergeCell ref="C826:H826"/>
    <mergeCell ref="C825:H825"/>
    <mergeCell ref="AA927:AF927"/>
    <mergeCell ref="U922:Z922"/>
    <mergeCell ref="AA924:AF924"/>
    <mergeCell ref="AC887:AH887"/>
    <mergeCell ref="AC890:AH890"/>
    <mergeCell ref="J794:N794"/>
    <mergeCell ref="AC826:AF826"/>
    <mergeCell ref="AC827:AF827"/>
    <mergeCell ref="W842:AC842"/>
    <mergeCell ref="W847:AC847"/>
    <mergeCell ref="O797:S797"/>
    <mergeCell ref="Q827:T827"/>
    <mergeCell ref="Y826:AB826"/>
    <mergeCell ref="Z813:AE813"/>
    <mergeCell ref="Y825:AB825"/>
    <mergeCell ref="AC825:AF825"/>
    <mergeCell ref="AC775:AG775"/>
    <mergeCell ref="AC783:AG786"/>
    <mergeCell ref="J791:N791"/>
    <mergeCell ref="X792:AB792"/>
    <mergeCell ref="O790:S790"/>
    <mergeCell ref="Z806:AE806"/>
    <mergeCell ref="X791:AB791"/>
    <mergeCell ref="P816:Y816"/>
    <mergeCell ref="O795:S795"/>
    <mergeCell ref="AC791:AG791"/>
    <mergeCell ref="T860:V860"/>
    <mergeCell ref="W867:AC867"/>
    <mergeCell ref="W862:AC862"/>
    <mergeCell ref="W851:AC851"/>
    <mergeCell ref="M876:V876"/>
    <mergeCell ref="W868:AC868"/>
    <mergeCell ref="J769:N772"/>
    <mergeCell ref="T793:W793"/>
    <mergeCell ref="M827:P827"/>
    <mergeCell ref="J797:N797"/>
    <mergeCell ref="J795:N795"/>
    <mergeCell ref="M825:P825"/>
    <mergeCell ref="AC889:AH889"/>
    <mergeCell ref="Y830:AB830"/>
    <mergeCell ref="W852:AC852"/>
    <mergeCell ref="Q828:T828"/>
    <mergeCell ref="U828:X828"/>
    <mergeCell ref="AG828:AJ828"/>
    <mergeCell ref="AG823:AJ824"/>
    <mergeCell ref="AC797:AG797"/>
    <mergeCell ref="AC787:AG787"/>
    <mergeCell ref="M830:P830"/>
    <mergeCell ref="T791:W791"/>
    <mergeCell ref="T787:W787"/>
    <mergeCell ref="T788:W788"/>
    <mergeCell ref="T789:W789"/>
    <mergeCell ref="Q830:T830"/>
    <mergeCell ref="AG831:AJ831"/>
    <mergeCell ref="U829:X829"/>
    <mergeCell ref="AC886:AH886"/>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G727:J727"/>
    <mergeCell ref="AC774:AG774"/>
    <mergeCell ref="X777:AB777"/>
    <mergeCell ref="X740:AB740"/>
    <mergeCell ref="B740:F740"/>
    <mergeCell ref="O739:S739"/>
    <mergeCell ref="O740:S740"/>
    <mergeCell ref="K741:N741"/>
    <mergeCell ref="O736:S736"/>
    <mergeCell ref="K738:N738"/>
    <mergeCell ref="T739:W739"/>
    <mergeCell ref="AC793:AG793"/>
    <mergeCell ref="X775:AB775"/>
    <mergeCell ref="X776:AB776"/>
    <mergeCell ref="AH742:AJ742"/>
    <mergeCell ref="B728:F728"/>
    <mergeCell ref="X728:AB728"/>
    <mergeCell ref="AK746:AO746"/>
    <mergeCell ref="AK747:AO747"/>
    <mergeCell ref="AO639:AS639"/>
    <mergeCell ref="AO629:AS629"/>
    <mergeCell ref="AF630:AJ630"/>
    <mergeCell ref="AO638:AS638"/>
    <mergeCell ref="AA614:AK614"/>
    <mergeCell ref="AM559:AS559"/>
    <mergeCell ref="T565:V565"/>
    <mergeCell ref="C560:L560"/>
    <mergeCell ref="Z613:AE613"/>
    <mergeCell ref="Z560:AD560"/>
    <mergeCell ref="AI563:AL563"/>
    <mergeCell ref="Z562:AD562"/>
    <mergeCell ref="Z563:AD563"/>
    <mergeCell ref="M562:P562"/>
    <mergeCell ref="AG681:AH681"/>
    <mergeCell ref="G724:J724"/>
    <mergeCell ref="AG665:AH665"/>
    <mergeCell ref="T729:W729"/>
    <mergeCell ref="AH728:AJ728"/>
    <mergeCell ref="C561:L561"/>
    <mergeCell ref="AG657:AH657"/>
    <mergeCell ref="G661:R661"/>
    <mergeCell ref="G593:R593"/>
    <mergeCell ref="Z678:AK678"/>
    <mergeCell ref="G685:R685"/>
    <mergeCell ref="T728:W728"/>
    <mergeCell ref="AC740:AG740"/>
    <mergeCell ref="AC741:AG741"/>
    <mergeCell ref="AC737:AG737"/>
    <mergeCell ref="Z580:AK580"/>
    <mergeCell ref="AK748:AO748"/>
    <mergeCell ref="AI687:AK687"/>
    <mergeCell ref="K729:N729"/>
    <mergeCell ref="Z610:AK610"/>
    <mergeCell ref="Z677:AK677"/>
    <mergeCell ref="B718:F718"/>
    <mergeCell ref="G720:J720"/>
    <mergeCell ref="B721:F721"/>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K731:N731"/>
    <mergeCell ref="T740:W740"/>
    <mergeCell ref="G741:J741"/>
    <mergeCell ref="G739:J739"/>
    <mergeCell ref="T562:V562"/>
    <mergeCell ref="AF629:AJ629"/>
    <mergeCell ref="C627:L627"/>
    <mergeCell ref="H614:R614"/>
    <mergeCell ref="Z632:AB632"/>
    <mergeCell ref="T628:V628"/>
    <mergeCell ref="AC624:AE626"/>
    <mergeCell ref="AK628:AN628"/>
    <mergeCell ref="AC629:AE629"/>
    <mergeCell ref="Z627:AB627"/>
    <mergeCell ref="W632:Y632"/>
    <mergeCell ref="Z611:AK611"/>
    <mergeCell ref="AI560:AL560"/>
    <mergeCell ref="AI613:AK613"/>
    <mergeCell ref="AI559:AL559"/>
    <mergeCell ref="Q558:S558"/>
    <mergeCell ref="AM555:AS555"/>
    <mergeCell ref="AG607:AH607"/>
    <mergeCell ref="H598:R598"/>
    <mergeCell ref="Z570:AK570"/>
    <mergeCell ref="G579:R579"/>
    <mergeCell ref="Q564:S564"/>
    <mergeCell ref="G586:R586"/>
    <mergeCell ref="G603:R603"/>
    <mergeCell ref="N607:O607"/>
    <mergeCell ref="P597:R597"/>
    <mergeCell ref="AI565:AL565"/>
    <mergeCell ref="N583:O583"/>
    <mergeCell ref="Q628:S628"/>
    <mergeCell ref="Q629:S629"/>
    <mergeCell ref="Q630:S630"/>
    <mergeCell ref="Q631:S631"/>
    <mergeCell ref="AE561:AH561"/>
    <mergeCell ref="M560:P560"/>
    <mergeCell ref="G613:L613"/>
    <mergeCell ref="AO624:AS626"/>
    <mergeCell ref="AE696:AI696"/>
    <mergeCell ref="Z559:AD559"/>
    <mergeCell ref="G668:R668"/>
    <mergeCell ref="P671:R671"/>
    <mergeCell ref="P687:R687"/>
    <mergeCell ref="AA582:AK582"/>
    <mergeCell ref="O529:AA529"/>
    <mergeCell ref="AH533:AK533"/>
    <mergeCell ref="AH537:AK537"/>
    <mergeCell ref="AC534:AF534"/>
    <mergeCell ref="Q556:S556"/>
    <mergeCell ref="AH542:AK542"/>
    <mergeCell ref="AC542:AF542"/>
    <mergeCell ref="AI557:AL557"/>
    <mergeCell ref="AE556:AH556"/>
    <mergeCell ref="P589:R589"/>
    <mergeCell ref="AF628:AJ628"/>
    <mergeCell ref="G678:R678"/>
    <mergeCell ref="Z569:AK569"/>
    <mergeCell ref="AM560:AS560"/>
    <mergeCell ref="C562:L562"/>
    <mergeCell ref="Q560:S560"/>
    <mergeCell ref="Q565:S565"/>
    <mergeCell ref="Q561:S561"/>
    <mergeCell ref="AE554:AH554"/>
    <mergeCell ref="Z556:AD556"/>
    <mergeCell ref="AI555:AL555"/>
    <mergeCell ref="T559:V559"/>
    <mergeCell ref="J705:O705"/>
    <mergeCell ref="Q562:S562"/>
    <mergeCell ref="Z676:AK676"/>
    <mergeCell ref="W700:AK700"/>
    <mergeCell ref="Z683:AK683"/>
    <mergeCell ref="AA688:AK688"/>
    <mergeCell ref="AC719:AG719"/>
    <mergeCell ref="G677:R677"/>
    <mergeCell ref="R705:T705"/>
    <mergeCell ref="N649:O649"/>
    <mergeCell ref="G679:L679"/>
    <mergeCell ref="Z659:AK659"/>
    <mergeCell ref="N657:O657"/>
    <mergeCell ref="Z660:AK660"/>
    <mergeCell ref="G663:L663"/>
    <mergeCell ref="N673:O673"/>
    <mergeCell ref="G687:L687"/>
    <mergeCell ref="H688:R688"/>
    <mergeCell ref="AH719:AJ719"/>
    <mergeCell ref="G670:R670"/>
    <mergeCell ref="AE702:AF702"/>
    <mergeCell ref="AE693:AF693"/>
    <mergeCell ref="Z671:AE671"/>
    <mergeCell ref="Z668:AK668"/>
    <mergeCell ref="P663:R663"/>
    <mergeCell ref="G659:R659"/>
    <mergeCell ref="K714:N717"/>
    <mergeCell ref="Z662:AK662"/>
    <mergeCell ref="G653:R653"/>
    <mergeCell ref="H664:R664"/>
    <mergeCell ref="H606:R606"/>
    <mergeCell ref="Q637:S637"/>
    <mergeCell ref="AA309:AK309"/>
    <mergeCell ref="AA307:AF307"/>
    <mergeCell ref="H309:R309"/>
    <mergeCell ref="AA301:AK301"/>
    <mergeCell ref="H301:R301"/>
    <mergeCell ref="H300:M300"/>
    <mergeCell ref="P315:R315"/>
    <mergeCell ref="A351:AT352"/>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H312:R312"/>
    <mergeCell ref="AI307:AK307"/>
    <mergeCell ref="H314:R314"/>
    <mergeCell ref="H316:M316"/>
    <mergeCell ref="AA322:AK322"/>
    <mergeCell ref="H292:M292"/>
    <mergeCell ref="M232:AK232"/>
    <mergeCell ref="M233:AE233"/>
    <mergeCell ref="H330:R330"/>
    <mergeCell ref="AA321:AK321"/>
    <mergeCell ref="M238:T238"/>
    <mergeCell ref="H325:R325"/>
    <mergeCell ref="H307:M307"/>
    <mergeCell ref="M263:R263"/>
    <mergeCell ref="M265:T265"/>
    <mergeCell ref="AA314:AK314"/>
    <mergeCell ref="AA313:AK313"/>
    <mergeCell ref="H319:R319"/>
    <mergeCell ref="AA316:AF316"/>
    <mergeCell ref="AA297:AK297"/>
    <mergeCell ref="AA319:AK319"/>
    <mergeCell ref="AA323:AF323"/>
    <mergeCell ref="H320:R320"/>
    <mergeCell ref="H296:R296"/>
    <mergeCell ref="H323:M323"/>
    <mergeCell ref="AA330:AK330"/>
    <mergeCell ref="H324:M324"/>
    <mergeCell ref="AA325:AK325"/>
    <mergeCell ref="H315:M315"/>
    <mergeCell ref="H321:R321"/>
    <mergeCell ref="H288:R288"/>
    <mergeCell ref="L280:AD280"/>
    <mergeCell ref="A169:AT170"/>
    <mergeCell ref="X180:Y180"/>
    <mergeCell ref="AP205:AQ205"/>
    <mergeCell ref="AI229:AJ229"/>
    <mergeCell ref="M235:AE235"/>
    <mergeCell ref="U175:V175"/>
    <mergeCell ref="R177:S177"/>
    <mergeCell ref="U236:W236"/>
    <mergeCell ref="M243:AE243"/>
    <mergeCell ref="D204:M204"/>
    <mergeCell ref="U247:W247"/>
    <mergeCell ref="M237:AE237"/>
    <mergeCell ref="AF178:AG178"/>
    <mergeCell ref="M245:T245"/>
    <mergeCell ref="H322:R322"/>
    <mergeCell ref="AA331:AF331"/>
    <mergeCell ref="M244:AE244"/>
    <mergeCell ref="M247:R247"/>
    <mergeCell ref="H329:R329"/>
    <mergeCell ref="AA290:AK290"/>
    <mergeCell ref="AH194:AI194"/>
    <mergeCell ref="M252:AE252"/>
    <mergeCell ref="AA291:AF291"/>
    <mergeCell ref="AI291:AK291"/>
    <mergeCell ref="AI299:AK299"/>
    <mergeCell ref="H297:R297"/>
    <mergeCell ref="AA298:AK298"/>
    <mergeCell ref="H317:R317"/>
    <mergeCell ref="AA296:AK296"/>
    <mergeCell ref="AA289:AK289"/>
    <mergeCell ref="P323:R323"/>
    <mergeCell ref="AA315:AF315"/>
    <mergeCell ref="A69:AT70"/>
    <mergeCell ref="A72:AT73"/>
    <mergeCell ref="O154:AH154"/>
    <mergeCell ref="O156:AH156"/>
    <mergeCell ref="O157:X157"/>
    <mergeCell ref="O158:R158"/>
    <mergeCell ref="O159:T159"/>
    <mergeCell ref="O161:AH161"/>
    <mergeCell ref="T190:AE190"/>
    <mergeCell ref="I190:N190"/>
    <mergeCell ref="N191:AE192"/>
    <mergeCell ref="D211:M211"/>
    <mergeCell ref="AI228:AJ228"/>
    <mergeCell ref="H313:R313"/>
    <mergeCell ref="H304:R304"/>
    <mergeCell ref="H303:R303"/>
    <mergeCell ref="E187:AE188"/>
    <mergeCell ref="I189:P189"/>
    <mergeCell ref="Z199:AA199"/>
    <mergeCell ref="AC234:AE234"/>
    <mergeCell ref="AH197:AI197"/>
    <mergeCell ref="AA305:AK305"/>
    <mergeCell ref="Z205:AN205"/>
    <mergeCell ref="M249:T249"/>
    <mergeCell ref="L275:AD275"/>
    <mergeCell ref="L276:S276"/>
    <mergeCell ref="V276:W276"/>
    <mergeCell ref="AB276:AD276"/>
    <mergeCell ref="L277:AD277"/>
    <mergeCell ref="L278:Q278"/>
    <mergeCell ref="L279:AD279"/>
    <mergeCell ref="AC245:AE245"/>
    <mergeCell ref="M251:AE251"/>
    <mergeCell ref="AF251:AK251"/>
    <mergeCell ref="A75:AT77"/>
    <mergeCell ref="A79:AT81"/>
    <mergeCell ref="AB215:AL215"/>
    <mergeCell ref="T198:U198"/>
    <mergeCell ref="Y212:Z212"/>
    <mergeCell ref="D214:Z214"/>
    <mergeCell ref="AB216:AL216"/>
    <mergeCell ref="M236:R236"/>
    <mergeCell ref="Z236:AE236"/>
    <mergeCell ref="G113:H113"/>
    <mergeCell ref="C115:K115"/>
    <mergeCell ref="D164:AH164"/>
    <mergeCell ref="P204:U204"/>
    <mergeCell ref="AH195:AI195"/>
    <mergeCell ref="AH196:AI196"/>
    <mergeCell ref="U176:V176"/>
    <mergeCell ref="F150:T150"/>
    <mergeCell ref="A83:AT84"/>
    <mergeCell ref="Y117:AK117"/>
    <mergeCell ref="J173:S173"/>
    <mergeCell ref="O155:AH155"/>
    <mergeCell ref="W159:X159"/>
    <mergeCell ref="P113:S113"/>
    <mergeCell ref="I185:AE185"/>
    <mergeCell ref="D205:M205"/>
    <mergeCell ref="J174:AB174"/>
    <mergeCell ref="D208:M208"/>
    <mergeCell ref="AI226:AJ226"/>
    <mergeCell ref="T189:AE189"/>
    <mergeCell ref="T195:U195"/>
    <mergeCell ref="A86:AT87"/>
    <mergeCell ref="A89:AT90"/>
    <mergeCell ref="A92:AT98"/>
    <mergeCell ref="A100:AT103"/>
    <mergeCell ref="I184:AE184"/>
    <mergeCell ref="X176:Y176"/>
    <mergeCell ref="AA249:AK249"/>
    <mergeCell ref="A105:AT106"/>
    <mergeCell ref="L113:O113"/>
    <mergeCell ref="AA238:AK238"/>
    <mergeCell ref="Y120:AK120"/>
    <mergeCell ref="O160:T160"/>
    <mergeCell ref="AI178:AK178"/>
    <mergeCell ref="M234:T234"/>
    <mergeCell ref="W234:X234"/>
    <mergeCell ref="AB212:AC212"/>
    <mergeCell ref="AF243:AK243"/>
    <mergeCell ref="T196:U196"/>
    <mergeCell ref="D220:Z220"/>
    <mergeCell ref="T193:AI193"/>
    <mergeCell ref="AI227:AJ227"/>
    <mergeCell ref="Y123:AK123"/>
    <mergeCell ref="AH246:AK246"/>
    <mergeCell ref="O153:AH153"/>
    <mergeCell ref="M246:AE246"/>
    <mergeCell ref="M248:AE248"/>
    <mergeCell ref="T197:U197"/>
    <mergeCell ref="P205:U205"/>
    <mergeCell ref="M239:AE239"/>
    <mergeCell ref="Z247:AE247"/>
    <mergeCell ref="W245:X245"/>
    <mergeCell ref="A222:AT223"/>
    <mergeCell ref="M253:T253"/>
    <mergeCell ref="M262:AE262"/>
    <mergeCell ref="AA299:AF299"/>
    <mergeCell ref="AA287:AK287"/>
    <mergeCell ref="T267:X267"/>
    <mergeCell ref="P291:R291"/>
    <mergeCell ref="L274:AJ274"/>
    <mergeCell ref="H289:R289"/>
    <mergeCell ref="H291:M291"/>
    <mergeCell ref="H299:M299"/>
    <mergeCell ref="AA257:AK257"/>
    <mergeCell ref="M260:AE260"/>
    <mergeCell ref="AA265:AK265"/>
    <mergeCell ref="H295:R295"/>
    <mergeCell ref="AH262:AK262"/>
    <mergeCell ref="D270:H270"/>
    <mergeCell ref="W253:X253"/>
    <mergeCell ref="AH254:AK254"/>
    <mergeCell ref="M261:T261"/>
    <mergeCell ref="M254:AE254"/>
    <mergeCell ref="AC253:AE253"/>
    <mergeCell ref="H298:R298"/>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X270:AC270"/>
    <mergeCell ref="Z263:AE263"/>
    <mergeCell ref="A282:AT283"/>
    <mergeCell ref="AA308:AF308"/>
    <mergeCell ref="AA292:AF292"/>
    <mergeCell ref="Y278:AD278"/>
    <mergeCell ref="AA295:AK295"/>
    <mergeCell ref="AF259:AK259"/>
    <mergeCell ref="AC261:AE261"/>
    <mergeCell ref="T278:V278"/>
    <mergeCell ref="Z255:AE255"/>
    <mergeCell ref="M255:R255"/>
    <mergeCell ref="AA317:AK317"/>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AA311:AK311"/>
    <mergeCell ref="AA306:AK306"/>
    <mergeCell ref="AA303:AK303"/>
    <mergeCell ref="H311:R311"/>
    <mergeCell ref="BK600:BL600"/>
    <mergeCell ref="BG598:BH598"/>
    <mergeCell ref="AA336:AK336"/>
    <mergeCell ref="H333:R333"/>
    <mergeCell ref="S405:AJ405"/>
    <mergeCell ref="AC539:AF539"/>
    <mergeCell ref="AG583:AH583"/>
    <mergeCell ref="G588:R588"/>
    <mergeCell ref="AC500:AF500"/>
    <mergeCell ref="G604:R604"/>
    <mergeCell ref="Q557:S557"/>
    <mergeCell ref="Z557:AD557"/>
    <mergeCell ref="AC528:AF528"/>
    <mergeCell ref="D473:V473"/>
    <mergeCell ref="AC504:AF504"/>
    <mergeCell ref="S489:AK490"/>
    <mergeCell ref="B551:L553"/>
    <mergeCell ref="M551:P553"/>
    <mergeCell ref="AC531:AF531"/>
    <mergeCell ref="AH500:AK500"/>
    <mergeCell ref="H339:M339"/>
    <mergeCell ref="Z554:AD554"/>
    <mergeCell ref="Q394:U394"/>
    <mergeCell ref="AC456:AF456"/>
    <mergeCell ref="AI339:AK339"/>
    <mergeCell ref="AA335:AK335"/>
    <mergeCell ref="N370:Q370"/>
    <mergeCell ref="AA339:AF339"/>
    <mergeCell ref="J367:K367"/>
    <mergeCell ref="AH520:AK520"/>
    <mergeCell ref="BI601:BJ601"/>
    <mergeCell ref="W557:Y557"/>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BG596:BH596"/>
    <mergeCell ref="BG599:BH599"/>
    <mergeCell ref="BE603:BF603"/>
    <mergeCell ref="BN596:BR596"/>
    <mergeCell ref="BI602:BJ602"/>
    <mergeCell ref="BI598:BJ598"/>
    <mergeCell ref="BK599:BL599"/>
    <mergeCell ref="BN599:BR599"/>
    <mergeCell ref="CC598:CG598"/>
    <mergeCell ref="BS604:BW604"/>
    <mergeCell ref="BS602:BW602"/>
    <mergeCell ref="BG604:BH604"/>
    <mergeCell ref="CC597:CG597"/>
    <mergeCell ref="BE600:BF600"/>
    <mergeCell ref="BE604:BF604"/>
    <mergeCell ref="CH599:CL599"/>
    <mergeCell ref="CC606:CG606"/>
    <mergeCell ref="BX604:CB604"/>
    <mergeCell ref="CC601:CG601"/>
    <mergeCell ref="BK603:BL603"/>
    <mergeCell ref="BK607:BL607"/>
    <mergeCell ref="BN607:BR607"/>
    <mergeCell ref="BS607:BW607"/>
    <mergeCell ref="BN609:BR609"/>
    <mergeCell ref="BX599:CB599"/>
    <mergeCell ref="CC600:CG600"/>
    <mergeCell ref="BG600:BH600"/>
    <mergeCell ref="BG601:BH601"/>
    <mergeCell ref="BI599:BJ599"/>
    <mergeCell ref="BE606:BF606"/>
    <mergeCell ref="BE618:BF618"/>
    <mergeCell ref="BI614:BJ614"/>
    <mergeCell ref="BE613:BF613"/>
    <mergeCell ref="BN618:BR618"/>
    <mergeCell ref="BK617:BL617"/>
    <mergeCell ref="BI617:BJ617"/>
    <mergeCell ref="BE616:BF616"/>
    <mergeCell ref="CC618:CG618"/>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E617:BF617"/>
    <mergeCell ref="BI618:BJ618"/>
    <mergeCell ref="BK618:BL618"/>
    <mergeCell ref="BE614:BF614"/>
    <mergeCell ref="BG616:BH616"/>
    <mergeCell ref="BG607:BH607"/>
    <mergeCell ref="BS610:BW610"/>
    <mergeCell ref="CC611:CG611"/>
    <mergeCell ref="BS612:BW612"/>
    <mergeCell ref="BX610:CB610"/>
    <mergeCell ref="BI610:BJ610"/>
    <mergeCell ref="BN610:BR610"/>
    <mergeCell ref="BI612:BJ612"/>
    <mergeCell ref="BK612:BL612"/>
    <mergeCell ref="BG612:BH612"/>
    <mergeCell ref="BG606:BH606"/>
    <mergeCell ref="BS615:BW615"/>
    <mergeCell ref="BN616:BR616"/>
    <mergeCell ref="BX607:CB607"/>
    <mergeCell ref="BE605:BF605"/>
    <mergeCell ref="CC602:CG602"/>
    <mergeCell ref="AI679:AK679"/>
    <mergeCell ref="Z663:AE663"/>
    <mergeCell ref="Z643:AK64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E629:BF629"/>
    <mergeCell ref="BG629:BH629"/>
    <mergeCell ref="BI629:BJ629"/>
    <mergeCell ref="BK629:BL629"/>
    <mergeCell ref="BS619:BW619"/>
    <mergeCell ref="BG618:BH618"/>
    <mergeCell ref="BN620:BR620"/>
    <mergeCell ref="Z675:AK675"/>
    <mergeCell ref="BS630:BW630"/>
    <mergeCell ref="BN639:BR639"/>
    <mergeCell ref="BN640:BR640"/>
    <mergeCell ref="Z655:AE655"/>
    <mergeCell ref="BG631:BH631"/>
    <mergeCell ref="BI631:BJ631"/>
    <mergeCell ref="BS605:BW605"/>
    <mergeCell ref="BX605:CB605"/>
    <mergeCell ref="BX603:CB603"/>
    <mergeCell ref="BS622:BW622"/>
    <mergeCell ref="BI611:BJ611"/>
    <mergeCell ref="BE623:BF623"/>
    <mergeCell ref="BG623:BH623"/>
    <mergeCell ref="BN612:BR612"/>
    <mergeCell ref="BN655:BR655"/>
    <mergeCell ref="BS640:BW640"/>
    <mergeCell ref="BN629:BR629"/>
    <mergeCell ref="BS629:BW629"/>
    <mergeCell ref="BX629:CB629"/>
    <mergeCell ref="BX639:CB639"/>
    <mergeCell ref="BX640:CB640"/>
    <mergeCell ref="Z633:AB633"/>
    <mergeCell ref="BX609:CB609"/>
    <mergeCell ref="BK610:BL610"/>
    <mergeCell ref="AO640:AS640"/>
    <mergeCell ref="BN626:BR626"/>
    <mergeCell ref="BI623:BJ623"/>
    <mergeCell ref="BK623:BL623"/>
    <mergeCell ref="AK637:AN637"/>
    <mergeCell ref="AK638:AN638"/>
    <mergeCell ref="BG627:BH627"/>
    <mergeCell ref="BI627:BJ627"/>
    <mergeCell ref="BK627:BL627"/>
    <mergeCell ref="BI625:BJ625"/>
    <mergeCell ref="BK625:BL625"/>
    <mergeCell ref="BE631:BF631"/>
    <mergeCell ref="BE624:BF624"/>
    <mergeCell ref="BG624:BH624"/>
    <mergeCell ref="BX619:CB619"/>
    <mergeCell ref="BX618:CB618"/>
    <mergeCell ref="BI630:BJ630"/>
    <mergeCell ref="BX608:CB608"/>
    <mergeCell ref="Z654:AK654"/>
    <mergeCell ref="G645:R645"/>
    <mergeCell ref="BS623:BW623"/>
    <mergeCell ref="BX623:CB623"/>
    <mergeCell ref="BN625:BR625"/>
    <mergeCell ref="BS625:BW625"/>
    <mergeCell ref="BI609:BJ609"/>
    <mergeCell ref="BX606:CB606"/>
    <mergeCell ref="BN621:BR621"/>
    <mergeCell ref="BS621:BW621"/>
    <mergeCell ref="BX621:CB621"/>
    <mergeCell ref="BE609:BF609"/>
    <mergeCell ref="BE607:BF607"/>
    <mergeCell ref="BE608:BF608"/>
    <mergeCell ref="BG611:BH611"/>
    <mergeCell ref="BE612:BF612"/>
    <mergeCell ref="BX611:CB611"/>
    <mergeCell ref="BX614:CB614"/>
    <mergeCell ref="BS613:BW613"/>
    <mergeCell ref="W636:Y636"/>
    <mergeCell ref="W637:Y637"/>
    <mergeCell ref="C635:L635"/>
    <mergeCell ref="G651:R651"/>
    <mergeCell ref="G652:R652"/>
    <mergeCell ref="M638:P638"/>
    <mergeCell ref="W638:Y638"/>
    <mergeCell ref="BI624:BJ624"/>
    <mergeCell ref="BI600:BJ600"/>
    <mergeCell ref="BN603:BR603"/>
    <mergeCell ref="BN606:BR606"/>
    <mergeCell ref="BK606:BL606"/>
    <mergeCell ref="BI605:BJ605"/>
    <mergeCell ref="O526:AA526"/>
    <mergeCell ref="AC529:AF529"/>
    <mergeCell ref="AH530:AK530"/>
    <mergeCell ref="AH532:AK532"/>
    <mergeCell ref="BE610:BF610"/>
    <mergeCell ref="BN601:BR601"/>
    <mergeCell ref="BN597:BR597"/>
    <mergeCell ref="BG597:BH597"/>
    <mergeCell ref="Z555:AD555"/>
    <mergeCell ref="AH529:AK529"/>
    <mergeCell ref="AH534:AK534"/>
    <mergeCell ref="AC541:AF541"/>
    <mergeCell ref="AM554:AS554"/>
    <mergeCell ref="BI597:BJ597"/>
    <mergeCell ref="BK601:BL601"/>
    <mergeCell ref="BN600:BR600"/>
    <mergeCell ref="BE597:BF597"/>
    <mergeCell ref="N591:O591"/>
    <mergeCell ref="AC538:AF538"/>
    <mergeCell ref="AC533:AF533"/>
    <mergeCell ref="A544:AT545"/>
    <mergeCell ref="AM557:AS557"/>
    <mergeCell ref="AA590:AK590"/>
    <mergeCell ref="AI589:AK589"/>
    <mergeCell ref="Z596:AK596"/>
    <mergeCell ref="BK598:BL598"/>
    <mergeCell ref="BK596:BL596"/>
    <mergeCell ref="BS598:BW598"/>
    <mergeCell ref="BS599:BW599"/>
    <mergeCell ref="BE601:BF601"/>
    <mergeCell ref="BE598:BF598"/>
    <mergeCell ref="AE559:AH559"/>
    <mergeCell ref="B566:AL566"/>
    <mergeCell ref="AM561:AS561"/>
    <mergeCell ref="Q563:S563"/>
    <mergeCell ref="AE562:AH562"/>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M555:P555"/>
    <mergeCell ref="C556:L556"/>
    <mergeCell ref="M556:P556"/>
    <mergeCell ref="AH525:AK525"/>
    <mergeCell ref="W472:Y472"/>
    <mergeCell ref="AE551:AH553"/>
    <mergeCell ref="AI551:AL553"/>
    <mergeCell ref="BG603:BH603"/>
    <mergeCell ref="D445:AF445"/>
    <mergeCell ref="D446:AF446"/>
    <mergeCell ref="D447:AF447"/>
    <mergeCell ref="J388:U388"/>
    <mergeCell ref="D467:V467"/>
    <mergeCell ref="AG441:AJ441"/>
    <mergeCell ref="AG438:AJ438"/>
    <mergeCell ref="AG394:AJ394"/>
    <mergeCell ref="AH506:AK506"/>
    <mergeCell ref="AH508:AK508"/>
    <mergeCell ref="AC508:AF508"/>
    <mergeCell ref="AC385:AJ385"/>
    <mergeCell ref="H336:R336"/>
    <mergeCell ref="F427:AH428"/>
    <mergeCell ref="D469:V469"/>
    <mergeCell ref="AH503:AK503"/>
    <mergeCell ref="W469:Y469"/>
    <mergeCell ref="AD412:AE412"/>
    <mergeCell ref="P346:AE346"/>
    <mergeCell ref="P344:AE344"/>
    <mergeCell ref="AG450:AJ450"/>
    <mergeCell ref="D441:AF441"/>
    <mergeCell ref="AG447:AJ447"/>
    <mergeCell ref="M356:N356"/>
    <mergeCell ref="Q492:AK492"/>
    <mergeCell ref="AF418:AH418"/>
    <mergeCell ref="Z434:AA434"/>
    <mergeCell ref="AC522:AF522"/>
    <mergeCell ref="Q554:S554"/>
    <mergeCell ref="AH524:AK524"/>
    <mergeCell ref="D472:V472"/>
    <mergeCell ref="AA327:AK327"/>
    <mergeCell ref="H332:M332"/>
    <mergeCell ref="H335:R335"/>
    <mergeCell ref="A480:AT481"/>
    <mergeCell ref="AC503:AF503"/>
    <mergeCell ref="J387:U387"/>
    <mergeCell ref="H414:AE415"/>
    <mergeCell ref="AE425:AF425"/>
    <mergeCell ref="AI331:AK331"/>
    <mergeCell ref="P339:R339"/>
    <mergeCell ref="N363:O363"/>
    <mergeCell ref="I392:N392"/>
    <mergeCell ref="M357:N357"/>
    <mergeCell ref="J385:U385"/>
    <mergeCell ref="AG444:AJ444"/>
    <mergeCell ref="B489:P490"/>
    <mergeCell ref="Q489:R490"/>
    <mergeCell ref="Q488:AK488"/>
    <mergeCell ref="Q493:AK493"/>
    <mergeCell ref="AC502:AF502"/>
    <mergeCell ref="M495:P495"/>
    <mergeCell ref="AC454:AF454"/>
    <mergeCell ref="AA332:AF332"/>
    <mergeCell ref="AA328:AK328"/>
    <mergeCell ref="K403:AJ403"/>
    <mergeCell ref="AG449:AJ449"/>
    <mergeCell ref="N371:Q371"/>
    <mergeCell ref="V382:W382"/>
    <mergeCell ref="W418:Y418"/>
    <mergeCell ref="Y364:Z364"/>
    <mergeCell ref="N378:P378"/>
    <mergeCell ref="AG401:AJ401"/>
    <mergeCell ref="AI315:AK315"/>
    <mergeCell ref="AA312:AK312"/>
    <mergeCell ref="AA329:AK329"/>
    <mergeCell ref="P331:R331"/>
    <mergeCell ref="AA324:AF324"/>
    <mergeCell ref="H328:R328"/>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D449:AF449"/>
    <mergeCell ref="AA320:AK320"/>
    <mergeCell ref="H327:R327"/>
    <mergeCell ref="AD411:AE411"/>
    <mergeCell ref="AI323:AK323"/>
    <mergeCell ref="B729:F729"/>
    <mergeCell ref="AK739:AO739"/>
    <mergeCell ref="O735:S735"/>
    <mergeCell ref="AC736:AG736"/>
    <mergeCell ref="T738:W738"/>
    <mergeCell ref="B741:F741"/>
    <mergeCell ref="AK732:AO732"/>
    <mergeCell ref="AK733:AO733"/>
    <mergeCell ref="AK734:AO734"/>
    <mergeCell ref="AK735:AO735"/>
    <mergeCell ref="G721:J721"/>
    <mergeCell ref="G722:J722"/>
    <mergeCell ref="O714:S717"/>
    <mergeCell ref="T720:W720"/>
    <mergeCell ref="G714:J717"/>
    <mergeCell ref="AA337:AK337"/>
    <mergeCell ref="AC513:AF513"/>
    <mergeCell ref="AC512:AF512"/>
    <mergeCell ref="AH512:AK512"/>
    <mergeCell ref="D471:V471"/>
    <mergeCell ref="E420:AJ420"/>
    <mergeCell ref="AE402:AJ402"/>
    <mergeCell ref="V377:W377"/>
    <mergeCell ref="S377:T377"/>
    <mergeCell ref="D437:AF437"/>
    <mergeCell ref="D442:AF442"/>
    <mergeCell ref="AF430:AG430"/>
    <mergeCell ref="AG437:AJ437"/>
    <mergeCell ref="T724:W724"/>
    <mergeCell ref="O718:S718"/>
    <mergeCell ref="O720:S720"/>
    <mergeCell ref="O520:AA520"/>
    <mergeCell ref="AE555:AH555"/>
    <mergeCell ref="AH518:AK518"/>
    <mergeCell ref="AH514:AK514"/>
    <mergeCell ref="Q555:S555"/>
    <mergeCell ref="AC506:AF506"/>
    <mergeCell ref="AC510:AF510"/>
    <mergeCell ref="AH510:AK510"/>
    <mergeCell ref="AH521:AK521"/>
    <mergeCell ref="AC530:AF530"/>
    <mergeCell ref="B517:H519"/>
    <mergeCell ref="B514:H516"/>
    <mergeCell ref="AH516:AK516"/>
    <mergeCell ref="AC537:AF537"/>
    <mergeCell ref="AH539:AK539"/>
    <mergeCell ref="AH541:AK541"/>
    <mergeCell ref="AC535:AF535"/>
    <mergeCell ref="AI554:AL554"/>
    <mergeCell ref="AC525:AF525"/>
    <mergeCell ref="T554:V554"/>
    <mergeCell ref="G719:J719"/>
    <mergeCell ref="P581:R581"/>
    <mergeCell ref="AI572:AK572"/>
    <mergeCell ref="Q485:AK485"/>
    <mergeCell ref="G474:V474"/>
    <mergeCell ref="W474:Y474"/>
    <mergeCell ref="Q494:AK494"/>
    <mergeCell ref="AH505:AK505"/>
    <mergeCell ref="AE557:AH557"/>
    <mergeCell ref="AC505:AF505"/>
    <mergeCell ref="W467:Y467"/>
    <mergeCell ref="D406:AJ407"/>
    <mergeCell ref="W470:Y470"/>
    <mergeCell ref="AG446:AJ446"/>
    <mergeCell ref="D440:AF440"/>
    <mergeCell ref="B725:F725"/>
    <mergeCell ref="B724:F724"/>
    <mergeCell ref="AH522:AK522"/>
    <mergeCell ref="AG439:AJ439"/>
    <mergeCell ref="AG443:AJ443"/>
    <mergeCell ref="B501:H502"/>
    <mergeCell ref="O523:AA523"/>
    <mergeCell ref="AC519:AF519"/>
    <mergeCell ref="AE424:AF424"/>
    <mergeCell ref="AC523:AF523"/>
    <mergeCell ref="AG689:AH689"/>
    <mergeCell ref="B720:F720"/>
    <mergeCell ref="B722:F722"/>
    <mergeCell ref="T714:W717"/>
    <mergeCell ref="O719:S719"/>
    <mergeCell ref="X724:AB724"/>
    <mergeCell ref="AH722:AJ722"/>
    <mergeCell ref="B723:F723"/>
    <mergeCell ref="CC628:CG628"/>
    <mergeCell ref="CH628:CL628"/>
    <mergeCell ref="CM628:CQ628"/>
    <mergeCell ref="DR621:DV621"/>
    <mergeCell ref="CS622:CW622"/>
    <mergeCell ref="BE626:BF626"/>
    <mergeCell ref="BG626:BH626"/>
    <mergeCell ref="BI626:BJ626"/>
    <mergeCell ref="BK626:BL626"/>
    <mergeCell ref="AC455:AF455"/>
    <mergeCell ref="F457:AB458"/>
    <mergeCell ref="D466:V466"/>
    <mergeCell ref="Q491:AK491"/>
    <mergeCell ref="AH495:AK495"/>
    <mergeCell ref="D465:V465"/>
    <mergeCell ref="AC509:AF509"/>
    <mergeCell ref="AH515:AK515"/>
    <mergeCell ref="AC516:AF516"/>
    <mergeCell ref="AC521:AF521"/>
    <mergeCell ref="AH509:AK509"/>
    <mergeCell ref="BK624:BL624"/>
    <mergeCell ref="BE625:BF625"/>
    <mergeCell ref="BG625:BH625"/>
    <mergeCell ref="AC501:AF501"/>
    <mergeCell ref="AH526:AK526"/>
    <mergeCell ref="T557:V557"/>
    <mergeCell ref="AC518:AF518"/>
    <mergeCell ref="Q551:S553"/>
    <mergeCell ref="T551:V553"/>
    <mergeCell ref="W551:Y553"/>
    <mergeCell ref="AC524:AF524"/>
    <mergeCell ref="DX623:EB623"/>
    <mergeCell ref="EC623:EG623"/>
    <mergeCell ref="EH623:EL623"/>
    <mergeCell ref="EM623:EQ623"/>
    <mergeCell ref="BG628:BH628"/>
    <mergeCell ref="BI628:BJ628"/>
    <mergeCell ref="BK628:BL628"/>
    <mergeCell ref="AM551:AS553"/>
    <mergeCell ref="BN628:BR628"/>
    <mergeCell ref="BS626:BW626"/>
    <mergeCell ref="BX626:CB626"/>
    <mergeCell ref="CC626:CG626"/>
    <mergeCell ref="BN623:BR623"/>
    <mergeCell ref="CH623:CL623"/>
    <mergeCell ref="CM626:CQ626"/>
    <mergeCell ref="BN624:BR624"/>
    <mergeCell ref="BS624:BW624"/>
    <mergeCell ref="DM626:DQ626"/>
    <mergeCell ref="DR626:DV626"/>
    <mergeCell ref="CS627:CW627"/>
    <mergeCell ref="CX627:DB627"/>
    <mergeCell ref="DC627:DG627"/>
    <mergeCell ref="DH627:DL627"/>
    <mergeCell ref="DM627:DQ627"/>
    <mergeCell ref="DR627:DV627"/>
    <mergeCell ref="DC624:DG624"/>
    <mergeCell ref="DH624:DL624"/>
    <mergeCell ref="BN627:BR627"/>
    <mergeCell ref="BS627:BW627"/>
    <mergeCell ref="DM628:DQ628"/>
    <mergeCell ref="BX628:CB628"/>
    <mergeCell ref="BX596:CB596"/>
    <mergeCell ref="DC626:DG626"/>
    <mergeCell ref="DH626:DL626"/>
    <mergeCell ref="ER629:EV629"/>
    <mergeCell ref="EW629:FA629"/>
    <mergeCell ref="DR622:DV622"/>
    <mergeCell ref="CS623:CW623"/>
    <mergeCell ref="CX623:DB623"/>
    <mergeCell ref="DC623:DG623"/>
    <mergeCell ref="DH623:DL623"/>
    <mergeCell ref="DM623:DQ623"/>
    <mergeCell ref="DR623:DV623"/>
    <mergeCell ref="CM621:CQ621"/>
    <mergeCell ref="BN622:BR622"/>
    <mergeCell ref="DC620:DG620"/>
    <mergeCell ref="DH620:DL620"/>
    <mergeCell ref="DM620:DQ620"/>
    <mergeCell ref="CM620:CQ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44:EV644"/>
    <mergeCell ref="EH653:EL653"/>
    <mergeCell ref="EM653:EQ653"/>
    <mergeCell ref="ER653:EV653"/>
    <mergeCell ref="EH620:EL620"/>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M629:EQ629"/>
    <mergeCell ref="EM659:EQ659"/>
    <mergeCell ref="ER659:EV659"/>
    <mergeCell ref="EW659:FA659"/>
    <mergeCell ref="EW625:FA625"/>
    <mergeCell ref="DX626:EB626"/>
    <mergeCell ref="EC626:EG626"/>
    <mergeCell ref="EH626:EL626"/>
    <mergeCell ref="EM626:EQ626"/>
    <mergeCell ref="EC625:EG625"/>
    <mergeCell ref="EH625:EL625"/>
    <mergeCell ref="EM625:EQ625"/>
    <mergeCell ref="EH630:EL630"/>
    <mergeCell ref="EC655:EG655"/>
    <mergeCell ref="EM636:EQ636"/>
    <mergeCell ref="DX637:EB637"/>
    <mergeCell ref="EW644:FA644"/>
    <mergeCell ref="EC635:EG635"/>
    <mergeCell ref="EH635:EL635"/>
    <mergeCell ref="EM635:EQ635"/>
    <mergeCell ref="ER626:EV626"/>
    <mergeCell ref="EH632:EL632"/>
    <mergeCell ref="EM632:EQ632"/>
    <mergeCell ref="ER632:EV632"/>
    <mergeCell ref="EW632:FA632"/>
    <mergeCell ref="DX635:EB635"/>
    <mergeCell ref="DX638:EB638"/>
    <mergeCell ref="EC638:EG638"/>
    <mergeCell ref="EH638:EL638"/>
    <mergeCell ref="EM638:EQ638"/>
    <mergeCell ref="ER638:EV638"/>
    <mergeCell ref="EC643:EG643"/>
    <mergeCell ref="EW626:FA626"/>
    <mergeCell ref="DX627:EB627"/>
    <mergeCell ref="EC627:EG627"/>
    <mergeCell ref="EH627:EL627"/>
    <mergeCell ref="EM627:EQ627"/>
    <mergeCell ref="ER627:EV627"/>
    <mergeCell ref="ER628:EV628"/>
    <mergeCell ref="EW628:FA628"/>
    <mergeCell ref="ER643:EV643"/>
    <mergeCell ref="ER640:EV640"/>
    <mergeCell ref="ER639:EV639"/>
    <mergeCell ref="ER647:EV647"/>
    <mergeCell ref="EH645:EL645"/>
    <mergeCell ref="EM645:EQ645"/>
    <mergeCell ref="ER654:EV654"/>
    <mergeCell ref="EW637:FA637"/>
    <mergeCell ref="EC645:EG645"/>
    <mergeCell ref="DX643:EB643"/>
    <mergeCell ref="EW639:FA639"/>
    <mergeCell ref="DX640:EB640"/>
    <mergeCell ref="EC640:EG640"/>
    <mergeCell ref="EW640:FA640"/>
    <mergeCell ref="ER635:EV635"/>
    <mergeCell ref="EW635:FA635"/>
    <mergeCell ref="EW631:FA631"/>
    <mergeCell ref="EC636:EG636"/>
    <mergeCell ref="EH636:EL636"/>
    <mergeCell ref="DX636:EB636"/>
    <mergeCell ref="ER636:EV636"/>
    <mergeCell ref="DX629:EB629"/>
    <mergeCell ref="EC629:EG629"/>
    <mergeCell ref="EH629:EL629"/>
    <mergeCell ref="AH736:AJ736"/>
    <mergeCell ref="AH735:AJ735"/>
    <mergeCell ref="DX660:EB660"/>
    <mergeCell ref="EC660:EG660"/>
    <mergeCell ref="EH660:EL660"/>
    <mergeCell ref="EM660:EQ660"/>
    <mergeCell ref="EC659:EG659"/>
    <mergeCell ref="EH659:EL659"/>
    <mergeCell ref="EM630:EQ630"/>
    <mergeCell ref="EW655:FA655"/>
    <mergeCell ref="EW650:FA650"/>
    <mergeCell ref="EW648:FA648"/>
    <mergeCell ref="EW651:FA651"/>
    <mergeCell ref="DX645:EB645"/>
    <mergeCell ref="EW649:FA649"/>
    <mergeCell ref="EW652:FA652"/>
    <mergeCell ref="EW641:FA641"/>
    <mergeCell ref="DX642:EB642"/>
    <mergeCell ref="EC642:EG642"/>
    <mergeCell ref="DX631:EB631"/>
    <mergeCell ref="EC631:EG631"/>
    <mergeCell ref="EH631:EL631"/>
    <mergeCell ref="EM631:EQ631"/>
    <mergeCell ref="ER631:EV631"/>
    <mergeCell ref="DX630:EB630"/>
    <mergeCell ref="EC630:EG630"/>
    <mergeCell ref="ER656:EV656"/>
    <mergeCell ref="DR655:DV655"/>
    <mergeCell ref="EH643:EL643"/>
    <mergeCell ref="EM643:EQ643"/>
    <mergeCell ref="EC648:EG648"/>
    <mergeCell ref="EM644:EQ644"/>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T66" sqref="T66"/>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72" t="s">
        <v>630</v>
      </c>
      <c r="G1" s="1873"/>
      <c r="H1" s="1873"/>
      <c r="I1" s="1873"/>
      <c r="J1" s="1873"/>
      <c r="K1" s="1873"/>
      <c r="L1" s="1873"/>
      <c r="M1" s="1873"/>
      <c r="N1" s="1873"/>
      <c r="O1" s="1873"/>
      <c r="P1" s="1873"/>
      <c r="Q1" s="1873"/>
      <c r="R1" s="1874"/>
      <c r="S1" s="112"/>
      <c r="T1" s="111"/>
      <c r="U1" s="113"/>
    </row>
    <row r="2" spans="1:21" s="138" customFormat="1" ht="71.25" customHeight="1">
      <c r="A2" s="137"/>
      <c r="B2" s="138" t="s">
        <v>23</v>
      </c>
      <c r="C2" s="138" t="s">
        <v>375</v>
      </c>
      <c r="D2" s="138" t="s">
        <v>374</v>
      </c>
      <c r="E2" s="138" t="s">
        <v>24</v>
      </c>
      <c r="F2" s="139" t="str">
        <f>Application!B627&amp;Application!C627</f>
        <v>1)Perm Bond Proceeds</v>
      </c>
      <c r="G2" s="139" t="str">
        <f>Application!B628&amp;Application!C628</f>
        <v xml:space="preserve">2)Seller Note </v>
      </c>
      <c r="H2" s="139" t="str">
        <f>Application!B629&amp;Application!C629</f>
        <v xml:space="preserve">3)Seller Credit </v>
      </c>
      <c r="I2" s="139" t="str">
        <f>Application!B630&amp;Application!C630</f>
        <v xml:space="preserve">4)Operating Income </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1165000</v>
      </c>
      <c r="C4" s="147">
        <v>1165000</v>
      </c>
      <c r="D4" s="147"/>
      <c r="E4" s="147">
        <f>C4-SUM(F4:J4)</f>
        <v>1165000</v>
      </c>
      <c r="F4" s="147"/>
      <c r="G4" s="147"/>
      <c r="H4" s="147"/>
      <c r="I4" s="147"/>
      <c r="J4" s="147"/>
      <c r="K4" s="147"/>
      <c r="L4" s="147"/>
      <c r="M4" s="147"/>
      <c r="N4" s="147"/>
      <c r="O4" s="147"/>
      <c r="P4" s="147"/>
      <c r="Q4" s="147"/>
      <c r="R4" s="550">
        <f>SUM(E4:Q4)</f>
        <v>1165000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1165000</v>
      </c>
      <c r="C8" s="146">
        <f t="shared" ref="C8:Q8" si="0">SUM(C4:C7)</f>
        <v>1165000</v>
      </c>
      <c r="D8" s="146">
        <f t="shared" si="0"/>
        <v>0</v>
      </c>
      <c r="E8" s="146">
        <f t="shared" si="0"/>
        <v>1165000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1165000</v>
      </c>
      <c r="S8" s="148"/>
      <c r="T8" s="148"/>
      <c r="U8" s="143"/>
    </row>
    <row r="9" spans="1:21" s="144" customFormat="1">
      <c r="A9" s="145" t="s">
        <v>603</v>
      </c>
      <c r="B9" s="146">
        <f>SUM(C9+D9)</f>
        <v>23835000</v>
      </c>
      <c r="C9" s="147">
        <f>23304401+530599</f>
        <v>23835000</v>
      </c>
      <c r="D9" s="147"/>
      <c r="E9" s="147">
        <f>C9-SUM(F9:J9)</f>
        <v>1003823</v>
      </c>
      <c r="F9" s="147">
        <f>F108</f>
        <v>22831177</v>
      </c>
      <c r="G9" s="147"/>
      <c r="H9" s="147"/>
      <c r="I9" s="147"/>
      <c r="J9" s="147"/>
      <c r="K9" s="147"/>
      <c r="L9" s="147"/>
      <c r="M9" s="147"/>
      <c r="N9" s="147"/>
      <c r="O9" s="147"/>
      <c r="P9" s="147"/>
      <c r="Q9" s="147"/>
      <c r="R9" s="550">
        <f>SUM(E9:Q9)</f>
        <v>23835000</v>
      </c>
      <c r="S9" s="148"/>
      <c r="T9" s="147">
        <f>C9-530599</f>
        <v>23304401</v>
      </c>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23835000</v>
      </c>
      <c r="C11" s="146">
        <f t="shared" ref="C11:Q11" si="1">SUM(C9:C10)</f>
        <v>23835000</v>
      </c>
      <c r="D11" s="146">
        <f t="shared" si="1"/>
        <v>0</v>
      </c>
      <c r="E11" s="146">
        <f t="shared" si="1"/>
        <v>1003823</v>
      </c>
      <c r="F11" s="146">
        <f t="shared" si="1"/>
        <v>22831177</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23835000</v>
      </c>
      <c r="S11" s="148"/>
      <c r="T11" s="150">
        <f>SUM(T9:T10)</f>
        <v>23304401</v>
      </c>
      <c r="U11" s="143"/>
    </row>
    <row r="12" spans="1:21" s="144" customFormat="1">
      <c r="A12" s="149" t="s">
        <v>84</v>
      </c>
      <c r="B12" s="146">
        <f t="shared" ref="B12:Q12" si="2">SUM(B8+B11)</f>
        <v>25000000</v>
      </c>
      <c r="C12" s="146">
        <f t="shared" si="2"/>
        <v>25000000</v>
      </c>
      <c r="D12" s="146">
        <f t="shared" si="2"/>
        <v>0</v>
      </c>
      <c r="E12" s="146">
        <f t="shared" si="2"/>
        <v>2168823</v>
      </c>
      <c r="F12" s="146">
        <f t="shared" si="2"/>
        <v>22831177</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25000000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1232250</v>
      </c>
      <c r="C17" s="147">
        <v>1232250</v>
      </c>
      <c r="D17" s="147"/>
      <c r="E17" s="147">
        <f>C17-SUM(F17:J17)</f>
        <v>1232250</v>
      </c>
      <c r="F17" s="147"/>
      <c r="G17" s="147"/>
      <c r="H17" s="147"/>
      <c r="I17" s="147"/>
      <c r="J17" s="147"/>
      <c r="K17" s="147"/>
      <c r="L17" s="147"/>
      <c r="M17" s="147"/>
      <c r="N17" s="147"/>
      <c r="O17" s="147"/>
      <c r="P17" s="147"/>
      <c r="Q17" s="147"/>
      <c r="R17" s="550">
        <f>SUM(E17:Q17)</f>
        <v>1232250</v>
      </c>
      <c r="S17" s="147">
        <v>1232250</v>
      </c>
      <c r="T17" s="147"/>
      <c r="U17" s="143"/>
    </row>
    <row r="18" spans="1:21" s="144" customFormat="1">
      <c r="A18" s="145" t="s">
        <v>608</v>
      </c>
      <c r="B18" s="146">
        <f t="shared" si="3"/>
        <v>8733376</v>
      </c>
      <c r="C18" s="147">
        <f>346296+120000+6276570+588110+1402400</f>
        <v>8733376</v>
      </c>
      <c r="D18" s="147"/>
      <c r="E18" s="147">
        <f>C18-SUM(F18:J18)</f>
        <v>5032813</v>
      </c>
      <c r="F18" s="147"/>
      <c r="G18" s="147">
        <f>G108</f>
        <v>2110000</v>
      </c>
      <c r="H18" s="147">
        <f>H108</f>
        <v>530599</v>
      </c>
      <c r="I18" s="147">
        <f>I108-I99</f>
        <v>1059964</v>
      </c>
      <c r="J18" s="147"/>
      <c r="K18" s="147"/>
      <c r="L18" s="147"/>
      <c r="M18" s="147"/>
      <c r="N18" s="147"/>
      <c r="O18" s="147"/>
      <c r="P18" s="147"/>
      <c r="Q18" s="147"/>
      <c r="R18" s="550">
        <f>SUM(E18:Q18)</f>
        <v>8733376</v>
      </c>
      <c r="S18" s="147">
        <v>8733376</v>
      </c>
      <c r="T18" s="147"/>
      <c r="U18" s="143"/>
    </row>
    <row r="19" spans="1:21" s="144" customFormat="1">
      <c r="A19" s="145" t="s">
        <v>609</v>
      </c>
      <c r="B19" s="146">
        <f t="shared" si="3"/>
        <v>597938</v>
      </c>
      <c r="C19" s="147">
        <v>597938</v>
      </c>
      <c r="D19" s="147"/>
      <c r="E19" s="147">
        <f t="shared" ref="E19:E27" si="4">C19-SUM(F19:J19)</f>
        <v>597938</v>
      </c>
      <c r="F19" s="147"/>
      <c r="G19" s="147"/>
      <c r="H19" s="147"/>
      <c r="I19" s="147"/>
      <c r="J19" s="147"/>
      <c r="K19" s="147"/>
      <c r="L19" s="147"/>
      <c r="M19" s="147"/>
      <c r="N19" s="147"/>
      <c r="O19" s="147"/>
      <c r="P19" s="147"/>
      <c r="Q19" s="147"/>
      <c r="R19" s="550">
        <f>SUM(E19:Q19)</f>
        <v>597938</v>
      </c>
      <c r="S19" s="147">
        <v>597938</v>
      </c>
      <c r="T19" s="147"/>
      <c r="U19" s="143"/>
    </row>
    <row r="20" spans="1:21" s="144" customFormat="1">
      <c r="A20" s="145" t="s">
        <v>137</v>
      </c>
      <c r="B20" s="146">
        <f t="shared" si="3"/>
        <v>398774</v>
      </c>
      <c r="C20" s="147">
        <v>398774</v>
      </c>
      <c r="D20" s="147"/>
      <c r="E20" s="147">
        <f t="shared" si="4"/>
        <v>398774</v>
      </c>
      <c r="F20" s="1014"/>
      <c r="G20" s="147"/>
      <c r="H20" s="147"/>
      <c r="I20" s="147"/>
      <c r="J20" s="147"/>
      <c r="K20" s="147"/>
      <c r="L20" s="147"/>
      <c r="M20" s="147"/>
      <c r="N20" s="147"/>
      <c r="O20" s="147"/>
      <c r="P20" s="147"/>
      <c r="Q20" s="147"/>
      <c r="R20" s="550">
        <f t="shared" ref="R20:R27" si="5">SUM(E20:Q20)</f>
        <v>398774</v>
      </c>
      <c r="S20" s="147">
        <f>C20</f>
        <v>398774</v>
      </c>
      <c r="T20" s="147"/>
      <c r="U20" s="143"/>
    </row>
    <row r="21" spans="1:21" s="144" customFormat="1">
      <c r="A21" s="145" t="s">
        <v>138</v>
      </c>
      <c r="B21" s="146">
        <f t="shared" si="3"/>
        <v>398775</v>
      </c>
      <c r="C21" s="147">
        <v>398775</v>
      </c>
      <c r="D21" s="147"/>
      <c r="E21" s="147">
        <f t="shared" si="4"/>
        <v>398775</v>
      </c>
      <c r="F21" s="147"/>
      <c r="G21" s="147"/>
      <c r="H21" s="147"/>
      <c r="I21" s="147"/>
      <c r="J21" s="147"/>
      <c r="K21" s="147"/>
      <c r="L21" s="147"/>
      <c r="M21" s="147"/>
      <c r="N21" s="147"/>
      <c r="O21" s="147"/>
      <c r="P21" s="147"/>
      <c r="Q21" s="147"/>
      <c r="R21" s="550">
        <f t="shared" si="5"/>
        <v>398775</v>
      </c>
      <c r="S21" s="147">
        <v>398774.5</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5"/>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5"/>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5"/>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5"/>
        <v>0</v>
      </c>
      <c r="S25" s="147"/>
      <c r="T25" s="147"/>
      <c r="U25" s="143"/>
    </row>
    <row r="26" spans="1:21" s="144" customFormat="1">
      <c r="A26" s="149" t="s">
        <v>133</v>
      </c>
      <c r="B26" s="146">
        <f t="shared" si="3"/>
        <v>11361113</v>
      </c>
      <c r="C26" s="146">
        <f>SUM(C17:C25)</f>
        <v>11361113</v>
      </c>
      <c r="D26" s="146">
        <f t="shared" ref="D26:Q26" si="6">SUM(D17:D25)</f>
        <v>0</v>
      </c>
      <c r="E26" s="146">
        <f t="shared" si="6"/>
        <v>7660550</v>
      </c>
      <c r="F26" s="146">
        <f t="shared" si="6"/>
        <v>0</v>
      </c>
      <c r="G26" s="146">
        <f t="shared" si="6"/>
        <v>2110000</v>
      </c>
      <c r="H26" s="146">
        <f t="shared" si="6"/>
        <v>530599</v>
      </c>
      <c r="I26" s="146">
        <f t="shared" si="6"/>
        <v>1059964</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11361113</v>
      </c>
      <c r="S26" s="150">
        <f>SUM(S17:S25)</f>
        <v>11361112.5</v>
      </c>
      <c r="T26" s="150">
        <f>SUM(T17:T25)</f>
        <v>0</v>
      </c>
      <c r="U26" s="143"/>
    </row>
    <row r="27" spans="1:21" s="144" customFormat="1">
      <c r="A27" s="149" t="s">
        <v>141</v>
      </c>
      <c r="B27" s="146">
        <f>SUM(C27:D27)</f>
        <v>170000</v>
      </c>
      <c r="C27" s="147">
        <v>170000</v>
      </c>
      <c r="D27" s="147"/>
      <c r="E27" s="147">
        <f t="shared" si="4"/>
        <v>170000</v>
      </c>
      <c r="F27" s="147"/>
      <c r="G27" s="147"/>
      <c r="H27" s="147"/>
      <c r="I27" s="147"/>
      <c r="J27" s="147"/>
      <c r="K27" s="147"/>
      <c r="L27" s="147"/>
      <c r="M27" s="147"/>
      <c r="N27" s="147"/>
      <c r="O27" s="147"/>
      <c r="P27" s="147"/>
      <c r="Q27" s="147"/>
      <c r="R27" s="550">
        <f t="shared" si="5"/>
        <v>170000</v>
      </c>
      <c r="S27" s="147">
        <v>120000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7">SUM(C29+D29)</f>
        <v>0</v>
      </c>
      <c r="C29" s="147"/>
      <c r="D29" s="147"/>
      <c r="E29" s="147"/>
      <c r="F29" s="147"/>
      <c r="G29" s="147"/>
      <c r="H29" s="147"/>
      <c r="I29" s="147"/>
      <c r="J29" s="147"/>
      <c r="K29" s="147"/>
      <c r="L29" s="147"/>
      <c r="M29" s="147"/>
      <c r="N29" s="147"/>
      <c r="O29" s="147"/>
      <c r="P29" s="147"/>
      <c r="Q29" s="147"/>
      <c r="R29" s="550">
        <f t="shared" ref="R29:R37" si="8">SUM(E29:Q29)</f>
        <v>0</v>
      </c>
      <c r="S29" s="147"/>
      <c r="T29" s="147"/>
      <c r="U29" s="143"/>
    </row>
    <row r="30" spans="1:21" s="144" customFormat="1">
      <c r="A30" s="145" t="s">
        <v>608</v>
      </c>
      <c r="B30" s="146">
        <f t="shared" si="7"/>
        <v>0</v>
      </c>
      <c r="C30" s="147"/>
      <c r="D30" s="147"/>
      <c r="E30" s="147"/>
      <c r="F30" s="147"/>
      <c r="G30" s="147"/>
      <c r="H30" s="147"/>
      <c r="I30" s="147"/>
      <c r="J30" s="147"/>
      <c r="K30" s="147"/>
      <c r="L30" s="147"/>
      <c r="M30" s="147"/>
      <c r="N30" s="147"/>
      <c r="O30" s="147"/>
      <c r="P30" s="147"/>
      <c r="Q30" s="147"/>
      <c r="R30" s="550">
        <f t="shared" si="8"/>
        <v>0</v>
      </c>
      <c r="S30" s="147"/>
      <c r="T30" s="147"/>
      <c r="U30" s="143"/>
    </row>
    <row r="31" spans="1:21" s="144" customFormat="1">
      <c r="A31" s="145" t="s">
        <v>609</v>
      </c>
      <c r="B31" s="146">
        <f t="shared" si="7"/>
        <v>0</v>
      </c>
      <c r="C31" s="147"/>
      <c r="D31" s="147"/>
      <c r="E31" s="147"/>
      <c r="F31" s="147"/>
      <c r="G31" s="147"/>
      <c r="H31" s="147"/>
      <c r="I31" s="147"/>
      <c r="J31" s="147"/>
      <c r="K31" s="147"/>
      <c r="L31" s="147"/>
      <c r="M31" s="147"/>
      <c r="N31" s="147"/>
      <c r="O31" s="147"/>
      <c r="P31" s="147"/>
      <c r="Q31" s="147"/>
      <c r="R31" s="550">
        <f t="shared" si="8"/>
        <v>0</v>
      </c>
      <c r="S31" s="147"/>
      <c r="T31" s="147"/>
      <c r="U31" s="143"/>
    </row>
    <row r="32" spans="1:21" s="144" customFormat="1">
      <c r="A32" s="145" t="s">
        <v>137</v>
      </c>
      <c r="B32" s="146">
        <f t="shared" si="7"/>
        <v>0</v>
      </c>
      <c r="C32" s="147"/>
      <c r="D32" s="147"/>
      <c r="E32" s="147"/>
      <c r="F32" s="147"/>
      <c r="G32" s="147"/>
      <c r="H32" s="147"/>
      <c r="I32" s="147"/>
      <c r="J32" s="147"/>
      <c r="K32" s="147"/>
      <c r="L32" s="147"/>
      <c r="M32" s="147"/>
      <c r="N32" s="147"/>
      <c r="O32" s="147"/>
      <c r="P32" s="147"/>
      <c r="Q32" s="147"/>
      <c r="R32" s="550">
        <f t="shared" si="8"/>
        <v>0</v>
      </c>
      <c r="S32" s="147"/>
      <c r="T32" s="147"/>
      <c r="U32" s="143"/>
    </row>
    <row r="33" spans="1:21" s="144" customFormat="1">
      <c r="A33" s="145" t="s">
        <v>138</v>
      </c>
      <c r="B33" s="146">
        <f t="shared" si="7"/>
        <v>0</v>
      </c>
      <c r="C33" s="147"/>
      <c r="D33" s="147"/>
      <c r="E33" s="147"/>
      <c r="F33" s="147"/>
      <c r="G33" s="147"/>
      <c r="H33" s="147"/>
      <c r="I33" s="147"/>
      <c r="J33" s="147"/>
      <c r="K33" s="147"/>
      <c r="L33" s="147"/>
      <c r="M33" s="147"/>
      <c r="N33" s="147"/>
      <c r="O33" s="147"/>
      <c r="P33" s="147"/>
      <c r="Q33" s="147"/>
      <c r="R33" s="550">
        <f t="shared" si="8"/>
        <v>0</v>
      </c>
      <c r="S33" s="147"/>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50">
        <f t="shared" si="8"/>
        <v>0</v>
      </c>
      <c r="S34" s="147"/>
      <c r="T34" s="147"/>
      <c r="U34" s="143"/>
    </row>
    <row r="35" spans="1:21" s="144" customFormat="1">
      <c r="A35" s="145" t="s">
        <v>140</v>
      </c>
      <c r="B35" s="146">
        <f t="shared" si="7"/>
        <v>0</v>
      </c>
      <c r="C35" s="147"/>
      <c r="D35" s="147"/>
      <c r="E35" s="147"/>
      <c r="F35" s="147"/>
      <c r="G35" s="147"/>
      <c r="H35" s="147"/>
      <c r="I35" s="147"/>
      <c r="J35" s="147"/>
      <c r="K35" s="147"/>
      <c r="L35" s="147"/>
      <c r="M35" s="147"/>
      <c r="N35" s="147"/>
      <c r="O35" s="147"/>
      <c r="P35" s="147"/>
      <c r="Q35" s="147"/>
      <c r="R35" s="550">
        <f t="shared" si="8"/>
        <v>0</v>
      </c>
      <c r="S35" s="147"/>
      <c r="T35" s="147"/>
      <c r="U35" s="143"/>
    </row>
    <row r="36" spans="1:21" s="144" customFormat="1">
      <c r="A36" s="304" t="s">
        <v>1752</v>
      </c>
      <c r="B36" s="146">
        <f t="shared" si="7"/>
        <v>0</v>
      </c>
      <c r="C36" s="147"/>
      <c r="D36" s="147"/>
      <c r="E36" s="147"/>
      <c r="F36" s="147"/>
      <c r="G36" s="147"/>
      <c r="H36" s="147"/>
      <c r="I36" s="147"/>
      <c r="J36" s="147"/>
      <c r="K36" s="147"/>
      <c r="L36" s="147"/>
      <c r="M36" s="147"/>
      <c r="N36" s="147"/>
      <c r="O36" s="147"/>
      <c r="P36" s="147"/>
      <c r="Q36" s="147"/>
      <c r="R36" s="550">
        <f t="shared" si="8"/>
        <v>0</v>
      </c>
      <c r="S36" s="147"/>
      <c r="T36" s="147"/>
      <c r="U36" s="143"/>
    </row>
    <row r="37" spans="1:21" s="144" customFormat="1">
      <c r="A37" s="1193" t="s">
        <v>34</v>
      </c>
      <c r="B37" s="146">
        <f t="shared" si="7"/>
        <v>0</v>
      </c>
      <c r="C37" s="147"/>
      <c r="D37" s="147"/>
      <c r="E37" s="147"/>
      <c r="F37" s="147"/>
      <c r="G37" s="147"/>
      <c r="H37" s="147"/>
      <c r="I37" s="147"/>
      <c r="J37" s="147"/>
      <c r="K37" s="147"/>
      <c r="L37" s="147"/>
      <c r="M37" s="147"/>
      <c r="N37" s="147"/>
      <c r="O37" s="147"/>
      <c r="P37" s="147"/>
      <c r="Q37" s="147"/>
      <c r="R37" s="550">
        <f t="shared" si="8"/>
        <v>0</v>
      </c>
      <c r="S37" s="147"/>
      <c r="T37" s="147"/>
      <c r="U37" s="143"/>
    </row>
    <row r="38" spans="1:21" s="144" customFormat="1">
      <c r="A38" s="149" t="s">
        <v>143</v>
      </c>
      <c r="B38" s="146">
        <f t="shared" si="7"/>
        <v>0</v>
      </c>
      <c r="C38" s="146">
        <f>SUM(C29:C37)</f>
        <v>0</v>
      </c>
      <c r="D38" s="146">
        <f t="shared" ref="D38:Q38" si="9">SUM(D29:D37)</f>
        <v>0</v>
      </c>
      <c r="E38" s="146">
        <f t="shared" si="9"/>
        <v>0</v>
      </c>
      <c r="F38" s="146">
        <f t="shared" si="9"/>
        <v>0</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240000</v>
      </c>
      <c r="C40" s="147">
        <f>75000+150000+15000</f>
        <v>240000</v>
      </c>
      <c r="D40" s="147"/>
      <c r="E40" s="147">
        <f t="shared" ref="E40:E41" si="10">C40-SUM(F40:J40)</f>
        <v>240000</v>
      </c>
      <c r="F40" s="147"/>
      <c r="G40" s="147"/>
      <c r="H40" s="147"/>
      <c r="I40" s="147"/>
      <c r="J40" s="147"/>
      <c r="K40" s="147"/>
      <c r="L40" s="147"/>
      <c r="M40" s="147"/>
      <c r="N40" s="147"/>
      <c r="O40" s="147"/>
      <c r="P40" s="147"/>
      <c r="Q40" s="147"/>
      <c r="R40" s="550">
        <f>SUM(E40:Q40)</f>
        <v>240000</v>
      </c>
      <c r="S40" s="147">
        <v>240000</v>
      </c>
      <c r="T40" s="147"/>
      <c r="U40" s="143"/>
    </row>
    <row r="41" spans="1:21" s="144" customFormat="1">
      <c r="A41" s="145" t="s">
        <v>146</v>
      </c>
      <c r="B41" s="146">
        <f>SUM(C41+D41)</f>
        <v>75000</v>
      </c>
      <c r="C41" s="147">
        <v>75000</v>
      </c>
      <c r="D41" s="147"/>
      <c r="E41" s="147">
        <f t="shared" si="10"/>
        <v>75000</v>
      </c>
      <c r="F41" s="147"/>
      <c r="G41" s="147"/>
      <c r="H41" s="147"/>
      <c r="I41" s="147"/>
      <c r="J41" s="147"/>
      <c r="K41" s="147"/>
      <c r="L41" s="147"/>
      <c r="M41" s="147"/>
      <c r="N41" s="147"/>
      <c r="O41" s="147"/>
      <c r="P41" s="147"/>
      <c r="Q41" s="147"/>
      <c r="R41" s="550">
        <f>SUM(E41:Q41)</f>
        <v>75000</v>
      </c>
      <c r="S41" s="147">
        <v>75000</v>
      </c>
      <c r="T41" s="147"/>
      <c r="U41" s="143"/>
    </row>
    <row r="42" spans="1:21" s="144" customFormat="1">
      <c r="A42" s="149" t="s">
        <v>147</v>
      </c>
      <c r="B42" s="146">
        <f>SUM(C42:D42)</f>
        <v>315000</v>
      </c>
      <c r="C42" s="146">
        <f>SUM(C39:C41)</f>
        <v>315000</v>
      </c>
      <c r="D42" s="146">
        <f>SUM(D39:D41)</f>
        <v>0</v>
      </c>
      <c r="E42" s="146">
        <f t="shared" ref="E42:T42" si="11">SUM(E40:E41)</f>
        <v>315000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315000</v>
      </c>
      <c r="S42" s="150">
        <f t="shared" si="11"/>
        <v>315000</v>
      </c>
      <c r="T42" s="150">
        <f t="shared" si="11"/>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50">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2175726</v>
      </c>
      <c r="C45" s="147">
        <f>2175727-1</f>
        <v>2175726</v>
      </c>
      <c r="D45" s="147"/>
      <c r="E45" s="147">
        <f t="shared" ref="E45:E52" si="13">C45-SUM(F45:J45)</f>
        <v>2175726</v>
      </c>
      <c r="F45" s="147"/>
      <c r="G45" s="147"/>
      <c r="H45" s="147"/>
      <c r="I45" s="147"/>
      <c r="J45" s="147"/>
      <c r="K45" s="147"/>
      <c r="L45" s="147"/>
      <c r="M45" s="147"/>
      <c r="N45" s="147"/>
      <c r="O45" s="147"/>
      <c r="P45" s="147"/>
      <c r="Q45" s="147"/>
      <c r="R45" s="550">
        <f t="shared" ref="R45:R53" si="14">SUM(E45:Q45)</f>
        <v>2175726</v>
      </c>
      <c r="S45" s="147">
        <v>1140857</v>
      </c>
      <c r="T45" s="147"/>
      <c r="U45" s="143"/>
    </row>
    <row r="46" spans="1:21" s="144" customFormat="1">
      <c r="A46" s="145" t="s">
        <v>151</v>
      </c>
      <c r="B46" s="146">
        <f t="shared" si="12"/>
        <v>63240</v>
      </c>
      <c r="C46" s="147">
        <v>63240</v>
      </c>
      <c r="D46" s="147"/>
      <c r="E46" s="147">
        <f t="shared" si="13"/>
        <v>63240</v>
      </c>
      <c r="F46" s="147"/>
      <c r="G46" s="147"/>
      <c r="H46" s="147"/>
      <c r="I46" s="147"/>
      <c r="J46" s="147"/>
      <c r="K46" s="147"/>
      <c r="L46" s="147"/>
      <c r="M46" s="147"/>
      <c r="N46" s="147"/>
      <c r="O46" s="147"/>
      <c r="P46" s="147"/>
      <c r="Q46" s="147"/>
      <c r="R46" s="550">
        <f t="shared" si="14"/>
        <v>63240</v>
      </c>
      <c r="S46" s="147">
        <v>33160</v>
      </c>
      <c r="T46" s="147"/>
      <c r="U46" s="143"/>
    </row>
    <row r="47" spans="1:21" s="144" customFormat="1">
      <c r="A47" s="198" t="s">
        <v>152</v>
      </c>
      <c r="B47" s="146">
        <f t="shared" si="12"/>
        <v>0</v>
      </c>
      <c r="C47" s="147"/>
      <c r="D47" s="147"/>
      <c r="E47" s="147"/>
      <c r="F47" s="147"/>
      <c r="G47" s="147"/>
      <c r="H47" s="147"/>
      <c r="I47" s="147"/>
      <c r="J47" s="147"/>
      <c r="K47" s="147"/>
      <c r="L47" s="147"/>
      <c r="M47" s="147"/>
      <c r="N47" s="147"/>
      <c r="O47" s="147"/>
      <c r="P47" s="147"/>
      <c r="Q47" s="147"/>
      <c r="R47" s="550">
        <f t="shared" si="14"/>
        <v>0</v>
      </c>
      <c r="S47" s="147"/>
      <c r="T47" s="147"/>
      <c r="U47" s="143"/>
    </row>
    <row r="48" spans="1:21" s="144" customFormat="1">
      <c r="A48" s="145" t="s">
        <v>153</v>
      </c>
      <c r="B48" s="146">
        <f t="shared" si="12"/>
        <v>229209</v>
      </c>
      <c r="C48" s="147">
        <v>229209</v>
      </c>
      <c r="D48" s="147"/>
      <c r="E48" s="147">
        <f t="shared" si="13"/>
        <v>229209</v>
      </c>
      <c r="F48" s="147"/>
      <c r="G48" s="147"/>
      <c r="H48" s="147"/>
      <c r="I48" s="147"/>
      <c r="J48" s="147"/>
      <c r="K48" s="147"/>
      <c r="L48" s="147"/>
      <c r="M48" s="147"/>
      <c r="N48" s="147"/>
      <c r="O48" s="147"/>
      <c r="P48" s="147"/>
      <c r="Q48" s="147"/>
      <c r="R48" s="550">
        <f t="shared" si="14"/>
        <v>229209</v>
      </c>
      <c r="S48" s="147">
        <v>229209</v>
      </c>
      <c r="T48" s="147"/>
      <c r="U48" s="143"/>
    </row>
    <row r="49" spans="1:21" s="144" customFormat="1">
      <c r="A49" s="145" t="s">
        <v>57</v>
      </c>
      <c r="B49" s="146">
        <f t="shared" si="12"/>
        <v>325890</v>
      </c>
      <c r="C49" s="147">
        <f>125000+99851+22500+28539+50000</f>
        <v>325890</v>
      </c>
      <c r="D49" s="147"/>
      <c r="E49" s="147">
        <f t="shared" si="13"/>
        <v>325890</v>
      </c>
      <c r="F49" s="147"/>
      <c r="G49" s="147"/>
      <c r="H49" s="147"/>
      <c r="I49" s="147"/>
      <c r="J49" s="147"/>
      <c r="K49" s="147"/>
      <c r="L49" s="147"/>
      <c r="M49" s="147"/>
      <c r="N49" s="147"/>
      <c r="O49" s="147"/>
      <c r="P49" s="147"/>
      <c r="Q49" s="147"/>
      <c r="R49" s="550">
        <f t="shared" si="14"/>
        <v>325890</v>
      </c>
      <c r="S49" s="147"/>
      <c r="T49" s="147"/>
      <c r="U49" s="143"/>
    </row>
    <row r="50" spans="1:21" s="144" customFormat="1">
      <c r="A50" s="145" t="s">
        <v>156</v>
      </c>
      <c r="B50" s="146">
        <f t="shared" si="12"/>
        <v>200000</v>
      </c>
      <c r="C50" s="147">
        <v>200000</v>
      </c>
      <c r="D50" s="147"/>
      <c r="E50" s="147">
        <f t="shared" si="13"/>
        <v>200000</v>
      </c>
      <c r="F50" s="147"/>
      <c r="G50" s="147"/>
      <c r="H50" s="147"/>
      <c r="I50" s="147"/>
      <c r="J50" s="147"/>
      <c r="K50" s="147"/>
      <c r="L50" s="147"/>
      <c r="M50" s="147"/>
      <c r="N50" s="147"/>
      <c r="O50" s="147"/>
      <c r="P50" s="147"/>
      <c r="Q50" s="147"/>
      <c r="R50" s="550">
        <f t="shared" si="14"/>
        <v>200000</v>
      </c>
      <c r="S50" s="147">
        <v>200000</v>
      </c>
      <c r="T50" s="147"/>
      <c r="U50" s="143"/>
    </row>
    <row r="51" spans="1:21" s="144" customFormat="1">
      <c r="A51" s="304" t="s">
        <v>154</v>
      </c>
      <c r="B51" s="146">
        <f t="shared" si="12"/>
        <v>0</v>
      </c>
      <c r="C51" s="147"/>
      <c r="D51" s="147"/>
      <c r="E51" s="147"/>
      <c r="F51" s="147"/>
      <c r="G51" s="147"/>
      <c r="H51" s="147"/>
      <c r="I51" s="147"/>
      <c r="J51" s="147"/>
      <c r="K51" s="147"/>
      <c r="L51" s="147"/>
      <c r="M51" s="147"/>
      <c r="N51" s="147"/>
      <c r="O51" s="147"/>
      <c r="P51" s="147"/>
      <c r="Q51" s="147"/>
      <c r="R51" s="550">
        <f t="shared" si="14"/>
        <v>0</v>
      </c>
      <c r="S51" s="147"/>
      <c r="T51" s="147"/>
      <c r="U51" s="143"/>
    </row>
    <row r="52" spans="1:21" s="144" customFormat="1">
      <c r="A52" s="145" t="s">
        <v>155</v>
      </c>
      <c r="B52" s="146">
        <f t="shared" si="12"/>
        <v>62209</v>
      </c>
      <c r="C52" s="147">
        <v>62209</v>
      </c>
      <c r="D52" s="147"/>
      <c r="E52" s="147">
        <f t="shared" si="13"/>
        <v>62209</v>
      </c>
      <c r="F52" s="147"/>
      <c r="G52" s="147"/>
      <c r="H52" s="147"/>
      <c r="I52" s="147"/>
      <c r="J52" s="147"/>
      <c r="K52" s="147"/>
      <c r="L52" s="147"/>
      <c r="M52" s="147"/>
      <c r="N52" s="147"/>
      <c r="O52" s="147"/>
      <c r="P52" s="147"/>
      <c r="Q52" s="147"/>
      <c r="R52" s="550">
        <f t="shared" si="14"/>
        <v>62209</v>
      </c>
      <c r="S52" s="147">
        <f>C52</f>
        <v>62209</v>
      </c>
      <c r="T52" s="147"/>
      <c r="U52" s="143"/>
    </row>
    <row r="53" spans="1:21" s="144" customFormat="1">
      <c r="A53" s="1193" t="s">
        <v>34</v>
      </c>
      <c r="B53" s="146">
        <f t="shared" si="12"/>
        <v>0</v>
      </c>
      <c r="C53" s="147"/>
      <c r="D53" s="147"/>
      <c r="E53" s="147"/>
      <c r="F53" s="147"/>
      <c r="G53" s="147"/>
      <c r="H53" s="147"/>
      <c r="I53" s="147"/>
      <c r="J53" s="147"/>
      <c r="K53" s="147"/>
      <c r="L53" s="147"/>
      <c r="M53" s="147"/>
      <c r="N53" s="147"/>
      <c r="O53" s="147"/>
      <c r="P53" s="147"/>
      <c r="Q53" s="147"/>
      <c r="R53" s="550">
        <f t="shared" si="14"/>
        <v>0</v>
      </c>
      <c r="S53" s="147"/>
      <c r="T53" s="147"/>
      <c r="U53" s="143"/>
    </row>
    <row r="54" spans="1:21" s="153" customFormat="1">
      <c r="A54" s="149" t="s">
        <v>157</v>
      </c>
      <c r="B54" s="150">
        <f>SUM(C54:D54)</f>
        <v>3056274</v>
      </c>
      <c r="C54" s="150">
        <f t="shared" ref="C54:T54" si="15">SUM(C45:C53)</f>
        <v>3056274</v>
      </c>
      <c r="D54" s="150">
        <f t="shared" si="15"/>
        <v>0</v>
      </c>
      <c r="E54" s="150">
        <f t="shared" si="15"/>
        <v>3056274</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3056274</v>
      </c>
      <c r="S54" s="150">
        <f t="shared" si="15"/>
        <v>1665435</v>
      </c>
      <c r="T54" s="150">
        <f t="shared" si="15"/>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238008</v>
      </c>
      <c r="C56" s="147">
        <f>228312+28008-18312</f>
        <v>238008</v>
      </c>
      <c r="D56" s="147"/>
      <c r="E56" s="147">
        <f t="shared" ref="E56:E61" si="17">C56-SUM(F56:J56)</f>
        <v>238008</v>
      </c>
      <c r="F56" s="147"/>
      <c r="G56" s="147"/>
      <c r="H56" s="147"/>
      <c r="I56" s="147"/>
      <c r="J56" s="147"/>
      <c r="K56" s="147"/>
      <c r="L56" s="147"/>
      <c r="M56" s="147"/>
      <c r="N56" s="147"/>
      <c r="O56" s="147"/>
      <c r="P56" s="147"/>
      <c r="Q56" s="147"/>
      <c r="R56" s="550">
        <f t="shared" ref="R56:R61" si="18">SUM(E56:Q56)</f>
        <v>238008</v>
      </c>
      <c r="S56" s="148"/>
      <c r="T56" s="148"/>
      <c r="U56" s="143"/>
    </row>
    <row r="57" spans="1:21" s="204" customFormat="1">
      <c r="A57" s="198" t="s">
        <v>152</v>
      </c>
      <c r="B57" s="205">
        <f t="shared" si="16"/>
        <v>0</v>
      </c>
      <c r="C57" s="202"/>
      <c r="D57" s="202"/>
      <c r="E57" s="202"/>
      <c r="F57" s="202"/>
      <c r="G57" s="202"/>
      <c r="H57" s="202"/>
      <c r="I57" s="202"/>
      <c r="J57" s="202"/>
      <c r="K57" s="202"/>
      <c r="L57" s="202"/>
      <c r="M57" s="202"/>
      <c r="N57" s="202"/>
      <c r="O57" s="202"/>
      <c r="P57" s="202"/>
      <c r="Q57" s="202"/>
      <c r="R57" s="550">
        <f t="shared" si="18"/>
        <v>0</v>
      </c>
      <c r="S57" s="206"/>
      <c r="T57" s="206"/>
      <c r="U57" s="203"/>
    </row>
    <row r="58" spans="1:21" s="144" customFormat="1">
      <c r="A58" s="145" t="s">
        <v>156</v>
      </c>
      <c r="B58" s="146">
        <f t="shared" si="16"/>
        <v>150000</v>
      </c>
      <c r="C58" s="147">
        <v>150000</v>
      </c>
      <c r="D58" s="147"/>
      <c r="E58" s="147">
        <f t="shared" si="17"/>
        <v>150000</v>
      </c>
      <c r="F58" s="147"/>
      <c r="G58" s="147"/>
      <c r="H58" s="147"/>
      <c r="I58" s="147"/>
      <c r="J58" s="147"/>
      <c r="K58" s="147"/>
      <c r="L58" s="147"/>
      <c r="M58" s="147"/>
      <c r="N58" s="147"/>
      <c r="O58" s="147"/>
      <c r="P58" s="147"/>
      <c r="Q58" s="147"/>
      <c r="R58" s="550">
        <f t="shared" si="18"/>
        <v>150000</v>
      </c>
      <c r="S58" s="148"/>
      <c r="T58" s="148"/>
      <c r="U58" s="143"/>
    </row>
    <row r="59" spans="1:21" s="144" customFormat="1">
      <c r="A59" s="304" t="s">
        <v>154</v>
      </c>
      <c r="B59" s="146">
        <f t="shared" si="16"/>
        <v>0</v>
      </c>
      <c r="C59" s="147"/>
      <c r="D59" s="147"/>
      <c r="E59" s="147"/>
      <c r="F59" s="147"/>
      <c r="G59" s="147"/>
      <c r="H59" s="147"/>
      <c r="I59" s="147"/>
      <c r="J59" s="147"/>
      <c r="K59" s="147"/>
      <c r="L59" s="147"/>
      <c r="M59" s="147"/>
      <c r="N59" s="147"/>
      <c r="O59" s="147"/>
      <c r="P59" s="147"/>
      <c r="Q59" s="147"/>
      <c r="R59" s="550">
        <f t="shared" si="18"/>
        <v>0</v>
      </c>
      <c r="S59" s="148"/>
      <c r="T59" s="148"/>
      <c r="U59" s="143"/>
    </row>
    <row r="60" spans="1:21" s="144" customFormat="1">
      <c r="A60" s="145" t="s">
        <v>155</v>
      </c>
      <c r="B60" s="146">
        <f t="shared" si="16"/>
        <v>33197</v>
      </c>
      <c r="C60" s="147">
        <f>33197</f>
        <v>33197</v>
      </c>
      <c r="D60" s="147"/>
      <c r="E60" s="147">
        <f t="shared" si="17"/>
        <v>33197</v>
      </c>
      <c r="F60" s="147"/>
      <c r="G60" s="147"/>
      <c r="H60" s="147"/>
      <c r="I60" s="147"/>
      <c r="J60" s="147"/>
      <c r="K60" s="147"/>
      <c r="L60" s="147"/>
      <c r="M60" s="147"/>
      <c r="N60" s="147"/>
      <c r="O60" s="147"/>
      <c r="P60" s="147"/>
      <c r="Q60" s="147"/>
      <c r="R60" s="550">
        <f t="shared" si="18"/>
        <v>33197</v>
      </c>
      <c r="S60" s="148"/>
      <c r="T60" s="148"/>
      <c r="U60" s="143"/>
    </row>
    <row r="61" spans="1:21" s="144" customFormat="1">
      <c r="A61" s="1193" t="s">
        <v>2740</v>
      </c>
      <c r="B61" s="146">
        <f t="shared" si="16"/>
        <v>45000</v>
      </c>
      <c r="C61" s="147">
        <v>45000</v>
      </c>
      <c r="D61" s="147"/>
      <c r="E61" s="147">
        <f t="shared" si="17"/>
        <v>45000</v>
      </c>
      <c r="F61" s="147"/>
      <c r="G61" s="147"/>
      <c r="H61" s="147"/>
      <c r="I61" s="147"/>
      <c r="J61" s="147"/>
      <c r="K61" s="147"/>
      <c r="L61" s="147"/>
      <c r="M61" s="147"/>
      <c r="N61" s="147"/>
      <c r="O61" s="147"/>
      <c r="P61" s="147"/>
      <c r="Q61" s="147"/>
      <c r="R61" s="550">
        <f t="shared" si="18"/>
        <v>45000</v>
      </c>
      <c r="S61" s="148"/>
      <c r="T61" s="148"/>
      <c r="U61" s="143"/>
    </row>
    <row r="62" spans="1:21" s="144" customFormat="1" ht="13.7" customHeight="1">
      <c r="A62" s="149" t="s">
        <v>302</v>
      </c>
      <c r="B62" s="146">
        <f>SUM(C62:D62)</f>
        <v>466205</v>
      </c>
      <c r="C62" s="146">
        <f t="shared" ref="C62:R62" si="19">SUM(C56:C61)</f>
        <v>466205</v>
      </c>
      <c r="D62" s="146">
        <f t="shared" si="19"/>
        <v>0</v>
      </c>
      <c r="E62" s="146">
        <f t="shared" si="19"/>
        <v>466205</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70">
        <f t="shared" si="19"/>
        <v>466205</v>
      </c>
      <c r="S62" s="148"/>
      <c r="T62" s="148"/>
      <c r="U62" s="143"/>
    </row>
    <row r="63" spans="1:21" s="144" customFormat="1">
      <c r="A63" s="154" t="s">
        <v>303</v>
      </c>
      <c r="B63" s="146">
        <f t="shared" ref="B63:R63" si="20">SUM(B8+B11+B13+B14+B15+B26+B27+B38+B42+B43+B54+B62)</f>
        <v>40368592</v>
      </c>
      <c r="C63" s="146">
        <f t="shared" si="20"/>
        <v>40368592</v>
      </c>
      <c r="D63" s="146">
        <f t="shared" si="20"/>
        <v>0</v>
      </c>
      <c r="E63" s="146">
        <f t="shared" si="20"/>
        <v>13836852</v>
      </c>
      <c r="F63" s="146">
        <f t="shared" si="20"/>
        <v>22831177</v>
      </c>
      <c r="G63" s="146">
        <f t="shared" si="20"/>
        <v>2110000</v>
      </c>
      <c r="H63" s="146">
        <f t="shared" si="20"/>
        <v>530599</v>
      </c>
      <c r="I63" s="146">
        <f t="shared" si="20"/>
        <v>1059964</v>
      </c>
      <c r="J63" s="146">
        <f t="shared" si="20"/>
        <v>0</v>
      </c>
      <c r="K63" s="146">
        <f t="shared" si="20"/>
        <v>0</v>
      </c>
      <c r="L63" s="146">
        <f t="shared" si="20"/>
        <v>0</v>
      </c>
      <c r="M63" s="146">
        <f t="shared" si="20"/>
        <v>0</v>
      </c>
      <c r="N63" s="146">
        <f t="shared" si="20"/>
        <v>0</v>
      </c>
      <c r="O63" s="146">
        <f t="shared" si="20"/>
        <v>0</v>
      </c>
      <c r="P63" s="146">
        <f t="shared" si="20"/>
        <v>0</v>
      </c>
      <c r="Q63" s="146">
        <f t="shared" si="20"/>
        <v>0</v>
      </c>
      <c r="R63" s="370">
        <f t="shared" si="20"/>
        <v>40368592</v>
      </c>
      <c r="S63" s="146">
        <f>SUM(S10+S13+S14+S15+S26+S27+S38+S42+S43+S54)</f>
        <v>13461547.5</v>
      </c>
      <c r="T63" s="146">
        <f>SUM(T11+T13+T14+T15+T26+T27+T38+T42+T43+T54)</f>
        <v>23304401</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415000</v>
      </c>
      <c r="C65" s="147">
        <f>25000+125000+50000+45000+75000+95000</f>
        <v>415000</v>
      </c>
      <c r="D65" s="147"/>
      <c r="E65" s="147">
        <f t="shared" ref="E65:E69" si="21">C65-SUM(F65:J65)</f>
        <v>415000</v>
      </c>
      <c r="F65" s="147"/>
      <c r="G65" s="147"/>
      <c r="H65" s="147"/>
      <c r="I65" s="147"/>
      <c r="J65" s="147"/>
      <c r="K65" s="147"/>
      <c r="L65" s="147"/>
      <c r="M65" s="147"/>
      <c r="N65" s="147"/>
      <c r="O65" s="147"/>
      <c r="P65" s="147"/>
      <c r="Q65" s="147"/>
      <c r="R65" s="550">
        <f>SUM(E65:Q65)</f>
        <v>415000</v>
      </c>
      <c r="S65" s="147">
        <v>75000</v>
      </c>
      <c r="T65" s="147">
        <v>25000</v>
      </c>
      <c r="U65" s="143"/>
    </row>
    <row r="66" spans="1:21" s="144" customFormat="1" ht="24" customHeight="1">
      <c r="A66" s="304" t="s">
        <v>1753</v>
      </c>
      <c r="B66" s="146">
        <f>SUM(C66+D66)</f>
        <v>316000</v>
      </c>
      <c r="C66" s="147">
        <f>116000+200000</f>
        <v>316000</v>
      </c>
      <c r="D66" s="147"/>
      <c r="E66" s="147">
        <f t="shared" si="21"/>
        <v>316000</v>
      </c>
      <c r="F66" s="147"/>
      <c r="G66" s="147"/>
      <c r="H66" s="147"/>
      <c r="I66" s="147"/>
      <c r="J66" s="147"/>
      <c r="K66" s="147"/>
      <c r="L66" s="147"/>
      <c r="M66" s="147"/>
      <c r="N66" s="147"/>
      <c r="O66" s="147"/>
      <c r="P66" s="147"/>
      <c r="Q66" s="147"/>
      <c r="R66" s="550">
        <f>SUM(E66:Q66)</f>
        <v>316000</v>
      </c>
      <c r="S66" s="147">
        <f>200000+26000</f>
        <v>226000</v>
      </c>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2771</v>
      </c>
      <c r="B69" s="146">
        <f>SUM(C69+D69)</f>
        <v>18000</v>
      </c>
      <c r="C69" s="147">
        <v>18000</v>
      </c>
      <c r="D69" s="147"/>
      <c r="E69" s="147">
        <f t="shared" si="21"/>
        <v>18000</v>
      </c>
      <c r="F69" s="147"/>
      <c r="G69" s="147"/>
      <c r="H69" s="147"/>
      <c r="I69" s="147"/>
      <c r="J69" s="147"/>
      <c r="K69" s="147"/>
      <c r="L69" s="147"/>
      <c r="M69" s="147"/>
      <c r="N69" s="147"/>
      <c r="O69" s="147"/>
      <c r="P69" s="147"/>
      <c r="Q69" s="147"/>
      <c r="R69" s="550">
        <f>SUM(E69:Q69)</f>
        <v>18000</v>
      </c>
      <c r="S69" s="147">
        <f>C69</f>
        <v>18000</v>
      </c>
      <c r="T69" s="147"/>
      <c r="U69" s="143"/>
    </row>
    <row r="70" spans="1:21" s="144" customFormat="1">
      <c r="A70" s="149" t="s">
        <v>1757</v>
      </c>
      <c r="B70" s="146">
        <f>SUM(C70:D70)</f>
        <v>749000</v>
      </c>
      <c r="C70" s="146">
        <f>SUM(C65:C69)</f>
        <v>749000</v>
      </c>
      <c r="D70" s="146">
        <f>SUM(D65:D69)</f>
        <v>0</v>
      </c>
      <c r="E70" s="146">
        <f t="shared" ref="E70:T70" si="22">SUM(E65:E69)</f>
        <v>749000</v>
      </c>
      <c r="F70" s="146">
        <f t="shared" si="22"/>
        <v>0</v>
      </c>
      <c r="G70" s="146">
        <f t="shared" si="22"/>
        <v>0</v>
      </c>
      <c r="H70" s="146">
        <f t="shared" si="22"/>
        <v>0</v>
      </c>
      <c r="I70" s="146">
        <f t="shared" si="22"/>
        <v>0</v>
      </c>
      <c r="J70" s="146">
        <f t="shared" si="22"/>
        <v>0</v>
      </c>
      <c r="K70" s="146">
        <f t="shared" si="22"/>
        <v>0</v>
      </c>
      <c r="L70" s="146">
        <f t="shared" si="22"/>
        <v>0</v>
      </c>
      <c r="M70" s="146">
        <f t="shared" si="22"/>
        <v>0</v>
      </c>
      <c r="N70" s="146">
        <f t="shared" si="22"/>
        <v>0</v>
      </c>
      <c r="O70" s="146">
        <f t="shared" si="22"/>
        <v>0</v>
      </c>
      <c r="P70" s="146">
        <f t="shared" si="22"/>
        <v>0</v>
      </c>
      <c r="Q70" s="146">
        <f t="shared" si="22"/>
        <v>0</v>
      </c>
      <c r="R70" s="370">
        <f t="shared" si="22"/>
        <v>749000</v>
      </c>
      <c r="S70" s="150">
        <f t="shared" si="22"/>
        <v>319000</v>
      </c>
      <c r="T70" s="150">
        <f t="shared" si="22"/>
        <v>25000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31800</v>
      </c>
      <c r="C74" s="147">
        <v>31800</v>
      </c>
      <c r="D74" s="147"/>
      <c r="E74" s="147">
        <f t="shared" ref="E74:E75" si="23">C74-SUM(F74:J74)</f>
        <v>31800</v>
      </c>
      <c r="F74" s="147"/>
      <c r="G74" s="147"/>
      <c r="H74" s="147"/>
      <c r="I74" s="147"/>
      <c r="J74" s="147"/>
      <c r="K74" s="147"/>
      <c r="L74" s="147"/>
      <c r="M74" s="147"/>
      <c r="N74" s="147"/>
      <c r="O74" s="147"/>
      <c r="P74" s="147"/>
      <c r="Q74" s="147"/>
      <c r="R74" s="550">
        <f>SUM(E74:Q74)</f>
        <v>31800</v>
      </c>
      <c r="S74" s="148"/>
      <c r="T74" s="148"/>
      <c r="U74" s="143"/>
    </row>
    <row r="75" spans="1:21" s="144" customFormat="1">
      <c r="A75" s="145" t="s">
        <v>614</v>
      </c>
      <c r="B75" s="146">
        <f>SUM(C75+D75)</f>
        <v>566610</v>
      </c>
      <c r="C75" s="147">
        <v>566610</v>
      </c>
      <c r="D75" s="147"/>
      <c r="E75" s="147">
        <f t="shared" si="23"/>
        <v>566610</v>
      </c>
      <c r="F75" s="147"/>
      <c r="G75" s="147"/>
      <c r="H75" s="147"/>
      <c r="I75" s="147"/>
      <c r="J75" s="147"/>
      <c r="K75" s="147"/>
      <c r="L75" s="147"/>
      <c r="M75" s="147"/>
      <c r="N75" s="147"/>
      <c r="O75" s="147"/>
      <c r="P75" s="147"/>
      <c r="Q75" s="147"/>
      <c r="R75" s="550">
        <f>SUM(E75:Q75)</f>
        <v>566610</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598410</v>
      </c>
      <c r="C77" s="146">
        <f>SUM(C72:C76)</f>
        <v>598410</v>
      </c>
      <c r="D77" s="146">
        <f>SUM(D72:D76)</f>
        <v>0</v>
      </c>
      <c r="E77" s="146">
        <f t="shared" ref="E77:Q77" si="24">SUM(E72:E76)</f>
        <v>598410</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70">
        <f>SUM(R72:R76)</f>
        <v>598410</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1159032</v>
      </c>
      <c r="C79" s="147">
        <v>1159032</v>
      </c>
      <c r="D79" s="147"/>
      <c r="E79" s="147">
        <f t="shared" ref="E79:E80" si="25">C79-SUM(F79:J79)</f>
        <v>1159032</v>
      </c>
      <c r="F79" s="147"/>
      <c r="G79" s="147"/>
      <c r="H79" s="147"/>
      <c r="I79" s="147"/>
      <c r="J79" s="147"/>
      <c r="K79" s="147"/>
      <c r="L79" s="147"/>
      <c r="M79" s="147"/>
      <c r="N79" s="147"/>
      <c r="O79" s="147"/>
      <c r="P79" s="147"/>
      <c r="Q79" s="147"/>
      <c r="R79" s="550">
        <f>SUM(E79:Q79)</f>
        <v>1159032</v>
      </c>
      <c r="S79" s="147">
        <f>C79</f>
        <v>1159032</v>
      </c>
      <c r="T79" s="147"/>
      <c r="U79" s="143"/>
    </row>
    <row r="80" spans="1:21" s="144" customFormat="1">
      <c r="A80" s="304" t="s">
        <v>58</v>
      </c>
      <c r="B80" s="146">
        <f>SUM(C80:D80)</f>
        <v>276711</v>
      </c>
      <c r="C80" s="147">
        <v>276711</v>
      </c>
      <c r="D80" s="147"/>
      <c r="E80" s="147">
        <f t="shared" si="25"/>
        <v>276711</v>
      </c>
      <c r="F80" s="147"/>
      <c r="G80" s="147"/>
      <c r="H80" s="147"/>
      <c r="I80" s="147"/>
      <c r="J80" s="147"/>
      <c r="K80" s="147"/>
      <c r="L80" s="147"/>
      <c r="M80" s="147"/>
      <c r="N80" s="147"/>
      <c r="O80" s="147"/>
      <c r="P80" s="147"/>
      <c r="Q80" s="147"/>
      <c r="R80" s="550">
        <f>SUM(E80:Q80)</f>
        <v>276711</v>
      </c>
      <c r="S80" s="147">
        <v>276711</v>
      </c>
      <c r="T80" s="147"/>
      <c r="U80" s="143"/>
    </row>
    <row r="81" spans="1:21" s="144" customFormat="1">
      <c r="A81" s="149" t="s">
        <v>1316</v>
      </c>
      <c r="B81" s="146">
        <f>SUM(C81:D81)</f>
        <v>1435743</v>
      </c>
      <c r="C81" s="543">
        <f>SUM(C79:C80)</f>
        <v>1435743</v>
      </c>
      <c r="D81" s="543">
        <f t="shared" ref="D81:T81" si="26">SUM(D79:D80)</f>
        <v>0</v>
      </c>
      <c r="E81" s="543">
        <f t="shared" si="26"/>
        <v>1435743</v>
      </c>
      <c r="F81" s="543">
        <f t="shared" si="26"/>
        <v>0</v>
      </c>
      <c r="G81" s="543">
        <f t="shared" si="26"/>
        <v>0</v>
      </c>
      <c r="H81" s="543">
        <f t="shared" si="26"/>
        <v>0</v>
      </c>
      <c r="I81" s="543">
        <f t="shared" si="26"/>
        <v>0</v>
      </c>
      <c r="J81" s="543">
        <f t="shared" si="26"/>
        <v>0</v>
      </c>
      <c r="K81" s="543">
        <f t="shared" si="26"/>
        <v>0</v>
      </c>
      <c r="L81" s="543">
        <f t="shared" si="26"/>
        <v>0</v>
      </c>
      <c r="M81" s="543">
        <f t="shared" si="26"/>
        <v>0</v>
      </c>
      <c r="N81" s="543">
        <f t="shared" si="26"/>
        <v>0</v>
      </c>
      <c r="O81" s="543">
        <f t="shared" si="26"/>
        <v>0</v>
      </c>
      <c r="P81" s="543">
        <f t="shared" si="26"/>
        <v>0</v>
      </c>
      <c r="Q81" s="543">
        <f t="shared" si="26"/>
        <v>0</v>
      </c>
      <c r="R81" s="543">
        <f t="shared" si="26"/>
        <v>1435743</v>
      </c>
      <c r="S81" s="543">
        <f t="shared" si="26"/>
        <v>1435743</v>
      </c>
      <c r="T81" s="543">
        <f t="shared" si="26"/>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7">SUM(C83+D83)</f>
        <v>102510</v>
      </c>
      <c r="C83" s="147">
        <f>2000+19019+73500+1200+6791</f>
        <v>102510</v>
      </c>
      <c r="D83" s="147"/>
      <c r="E83" s="147">
        <f t="shared" ref="E83:E94" si="28">C83-SUM(F83:J83)</f>
        <v>102510</v>
      </c>
      <c r="F83" s="147"/>
      <c r="G83" s="147"/>
      <c r="H83" s="147"/>
      <c r="I83" s="147"/>
      <c r="J83" s="147"/>
      <c r="K83" s="147"/>
      <c r="L83" s="147"/>
      <c r="M83" s="147"/>
      <c r="N83" s="147"/>
      <c r="O83" s="147"/>
      <c r="P83" s="147"/>
      <c r="Q83" s="147"/>
      <c r="R83" s="550">
        <f t="shared" ref="R83:R95" si="29">SUM(E83:Q83)</f>
        <v>102510</v>
      </c>
      <c r="S83" s="148"/>
      <c r="T83" s="148"/>
      <c r="U83" s="143"/>
    </row>
    <row r="84" spans="1:21" s="144" customFormat="1">
      <c r="A84" s="145" t="s">
        <v>777</v>
      </c>
      <c r="B84" s="146">
        <f t="shared" si="27"/>
        <v>0</v>
      </c>
      <c r="C84" s="147"/>
      <c r="D84" s="147"/>
      <c r="E84" s="147"/>
      <c r="F84" s="147"/>
      <c r="G84" s="147"/>
      <c r="H84" s="147"/>
      <c r="I84" s="147"/>
      <c r="J84" s="147"/>
      <c r="K84" s="147"/>
      <c r="L84" s="147"/>
      <c r="M84" s="147"/>
      <c r="N84" s="147"/>
      <c r="O84" s="147"/>
      <c r="P84" s="147"/>
      <c r="Q84" s="147"/>
      <c r="R84" s="550">
        <f t="shared" si="29"/>
        <v>0</v>
      </c>
      <c r="S84" s="147"/>
      <c r="T84" s="147"/>
      <c r="U84" s="143"/>
    </row>
    <row r="85" spans="1:21" s="144" customFormat="1">
      <c r="A85" s="145" t="s">
        <v>778</v>
      </c>
      <c r="B85" s="146">
        <f t="shared" si="27"/>
        <v>0</v>
      </c>
      <c r="C85" s="147"/>
      <c r="D85" s="147"/>
      <c r="E85" s="147"/>
      <c r="F85" s="147"/>
      <c r="G85" s="147"/>
      <c r="H85" s="147"/>
      <c r="I85" s="147"/>
      <c r="J85" s="147"/>
      <c r="K85" s="147"/>
      <c r="L85" s="147"/>
      <c r="M85" s="147"/>
      <c r="N85" s="147"/>
      <c r="O85" s="147"/>
      <c r="P85" s="147"/>
      <c r="Q85" s="147"/>
      <c r="R85" s="550">
        <f t="shared" si="29"/>
        <v>0</v>
      </c>
      <c r="S85" s="147"/>
      <c r="T85" s="147"/>
      <c r="U85" s="143"/>
    </row>
    <row r="86" spans="1:21" s="144" customFormat="1">
      <c r="A86" s="145" t="s">
        <v>779</v>
      </c>
      <c r="B86" s="146">
        <f t="shared" si="27"/>
        <v>60000</v>
      </c>
      <c r="C86" s="147">
        <v>60000</v>
      </c>
      <c r="D86" s="147"/>
      <c r="E86" s="147">
        <f t="shared" si="28"/>
        <v>60000</v>
      </c>
      <c r="F86" s="147"/>
      <c r="G86" s="147"/>
      <c r="H86" s="147"/>
      <c r="I86" s="147"/>
      <c r="J86" s="147"/>
      <c r="K86" s="147"/>
      <c r="L86" s="147"/>
      <c r="M86" s="147"/>
      <c r="N86" s="147"/>
      <c r="O86" s="147"/>
      <c r="P86" s="147"/>
      <c r="Q86" s="147"/>
      <c r="R86" s="550">
        <f t="shared" si="29"/>
        <v>60000</v>
      </c>
      <c r="S86" s="147">
        <v>60000</v>
      </c>
      <c r="T86" s="147"/>
      <c r="U86" s="143"/>
    </row>
    <row r="87" spans="1:21" s="144" customFormat="1">
      <c r="A87" s="145" t="s">
        <v>780</v>
      </c>
      <c r="B87" s="146">
        <f t="shared" si="27"/>
        <v>0</v>
      </c>
      <c r="C87" s="147"/>
      <c r="D87" s="147"/>
      <c r="E87" s="147"/>
      <c r="F87" s="147"/>
      <c r="G87" s="147"/>
      <c r="H87" s="147"/>
      <c r="I87" s="147"/>
      <c r="J87" s="147"/>
      <c r="K87" s="147"/>
      <c r="L87" s="147"/>
      <c r="M87" s="147"/>
      <c r="N87" s="147"/>
      <c r="O87" s="147"/>
      <c r="P87" s="147"/>
      <c r="Q87" s="147"/>
      <c r="R87" s="550">
        <f t="shared" si="29"/>
        <v>0</v>
      </c>
      <c r="S87" s="147"/>
      <c r="T87" s="147"/>
      <c r="U87" s="143"/>
    </row>
    <row r="88" spans="1:21" s="144" customFormat="1">
      <c r="A88" s="145" t="s">
        <v>781</v>
      </c>
      <c r="B88" s="146">
        <f t="shared" si="27"/>
        <v>0</v>
      </c>
      <c r="C88" s="147"/>
      <c r="D88" s="147"/>
      <c r="E88" s="147"/>
      <c r="F88" s="147"/>
      <c r="G88" s="147"/>
      <c r="H88" s="147"/>
      <c r="I88" s="147"/>
      <c r="J88" s="147"/>
      <c r="K88" s="147"/>
      <c r="L88" s="147"/>
      <c r="M88" s="147"/>
      <c r="N88" s="147"/>
      <c r="O88" s="147"/>
      <c r="P88" s="147"/>
      <c r="Q88" s="147"/>
      <c r="R88" s="550">
        <f t="shared" si="29"/>
        <v>0</v>
      </c>
      <c r="S88" s="148"/>
      <c r="T88" s="148"/>
      <c r="U88" s="143"/>
    </row>
    <row r="89" spans="1:21" s="144" customFormat="1">
      <c r="A89" s="145" t="s">
        <v>782</v>
      </c>
      <c r="B89" s="146">
        <f t="shared" si="27"/>
        <v>40315</v>
      </c>
      <c r="C89" s="147">
        <v>40315</v>
      </c>
      <c r="D89" s="147"/>
      <c r="E89" s="147">
        <f t="shared" si="28"/>
        <v>40315</v>
      </c>
      <c r="F89" s="147"/>
      <c r="G89" s="147"/>
      <c r="H89" s="147"/>
      <c r="I89" s="147"/>
      <c r="J89" s="147"/>
      <c r="K89" s="147"/>
      <c r="L89" s="147"/>
      <c r="M89" s="147"/>
      <c r="N89" s="147"/>
      <c r="O89" s="147"/>
      <c r="P89" s="147"/>
      <c r="Q89" s="147"/>
      <c r="R89" s="550">
        <f t="shared" si="29"/>
        <v>40315</v>
      </c>
      <c r="S89" s="147">
        <f>C89</f>
        <v>40315</v>
      </c>
      <c r="T89" s="147"/>
      <c r="U89" s="143"/>
    </row>
    <row r="90" spans="1:21" s="144" customFormat="1">
      <c r="A90" s="145" t="s">
        <v>783</v>
      </c>
      <c r="B90" s="146">
        <f t="shared" si="27"/>
        <v>16950</v>
      </c>
      <c r="C90" s="147">
        <v>16950</v>
      </c>
      <c r="D90" s="147"/>
      <c r="E90" s="147">
        <f t="shared" si="28"/>
        <v>16950</v>
      </c>
      <c r="F90" s="147"/>
      <c r="G90" s="147"/>
      <c r="H90" s="147"/>
      <c r="I90" s="147"/>
      <c r="J90" s="147"/>
      <c r="K90" s="147"/>
      <c r="L90" s="147"/>
      <c r="M90" s="147"/>
      <c r="N90" s="147"/>
      <c r="O90" s="147"/>
      <c r="P90" s="147"/>
      <c r="Q90" s="147"/>
      <c r="R90" s="550">
        <f t="shared" si="29"/>
        <v>16950</v>
      </c>
      <c r="S90" s="147">
        <v>16950</v>
      </c>
      <c r="T90" s="147"/>
      <c r="U90" s="143"/>
    </row>
    <row r="91" spans="1:21" s="144" customFormat="1">
      <c r="A91" s="145" t="s">
        <v>373</v>
      </c>
      <c r="B91" s="146">
        <f t="shared" si="27"/>
        <v>50250</v>
      </c>
      <c r="C91" s="147">
        <f>45000+5250</f>
        <v>50250</v>
      </c>
      <c r="D91" s="147"/>
      <c r="E91" s="147">
        <f t="shared" si="28"/>
        <v>50250</v>
      </c>
      <c r="F91" s="147"/>
      <c r="G91" s="147"/>
      <c r="H91" s="147"/>
      <c r="I91" s="147"/>
      <c r="J91" s="147"/>
      <c r="K91" s="147"/>
      <c r="L91" s="147"/>
      <c r="M91" s="147"/>
      <c r="N91" s="147"/>
      <c r="O91" s="147"/>
      <c r="P91" s="147"/>
      <c r="Q91" s="147"/>
      <c r="R91" s="550">
        <f t="shared" si="29"/>
        <v>50250</v>
      </c>
      <c r="S91" s="147">
        <f>B91</f>
        <v>50250</v>
      </c>
      <c r="T91" s="147"/>
      <c r="U91" s="143"/>
    </row>
    <row r="92" spans="1:21" s="144" customFormat="1">
      <c r="A92" s="304" t="s">
        <v>1318</v>
      </c>
      <c r="B92" s="146">
        <f t="shared" si="27"/>
        <v>10000</v>
      </c>
      <c r="C92" s="147">
        <v>10000</v>
      </c>
      <c r="D92" s="147"/>
      <c r="E92" s="147">
        <f t="shared" si="28"/>
        <v>10000</v>
      </c>
      <c r="F92" s="147"/>
      <c r="G92" s="147"/>
      <c r="H92" s="147"/>
      <c r="I92" s="147"/>
      <c r="J92" s="147"/>
      <c r="K92" s="147"/>
      <c r="L92" s="147"/>
      <c r="M92" s="147"/>
      <c r="N92" s="147"/>
      <c r="O92" s="147"/>
      <c r="P92" s="147"/>
      <c r="Q92" s="147"/>
      <c r="R92" s="550">
        <f t="shared" si="29"/>
        <v>10000</v>
      </c>
      <c r="S92" s="147">
        <v>10000</v>
      </c>
      <c r="T92" s="147"/>
      <c r="U92" s="143"/>
    </row>
    <row r="93" spans="1:21" s="144" customFormat="1">
      <c r="A93" s="1193" t="s">
        <v>34</v>
      </c>
      <c r="B93" s="146">
        <f t="shared" si="27"/>
        <v>0</v>
      </c>
      <c r="C93" s="147"/>
      <c r="D93" s="147"/>
      <c r="E93" s="147"/>
      <c r="F93" s="147"/>
      <c r="G93" s="147"/>
      <c r="H93" s="147"/>
      <c r="I93" s="147"/>
      <c r="J93" s="147"/>
      <c r="K93" s="147"/>
      <c r="L93" s="147"/>
      <c r="M93" s="147"/>
      <c r="N93" s="147"/>
      <c r="O93" s="147"/>
      <c r="P93" s="147"/>
      <c r="Q93" s="147"/>
      <c r="R93" s="550">
        <f t="shared" si="29"/>
        <v>0</v>
      </c>
      <c r="S93" s="147"/>
      <c r="T93" s="147"/>
      <c r="U93" s="143"/>
    </row>
    <row r="94" spans="1:21" s="144" customFormat="1">
      <c r="A94" s="1193" t="s">
        <v>2739</v>
      </c>
      <c r="B94" s="146">
        <f t="shared" si="27"/>
        <v>25000</v>
      </c>
      <c r="C94" s="147">
        <v>25000</v>
      </c>
      <c r="D94" s="147"/>
      <c r="E94" s="147">
        <f t="shared" si="28"/>
        <v>25000</v>
      </c>
      <c r="F94" s="147"/>
      <c r="G94" s="147"/>
      <c r="H94" s="147"/>
      <c r="I94" s="147"/>
      <c r="J94" s="147"/>
      <c r="K94" s="147"/>
      <c r="L94" s="147"/>
      <c r="M94" s="147"/>
      <c r="N94" s="147"/>
      <c r="O94" s="147"/>
      <c r="P94" s="147"/>
      <c r="Q94" s="147"/>
      <c r="R94" s="550">
        <f t="shared" si="29"/>
        <v>25000</v>
      </c>
      <c r="S94" s="147">
        <v>25000</v>
      </c>
      <c r="T94" s="147"/>
      <c r="U94" s="143"/>
    </row>
    <row r="95" spans="1:21" s="144" customFormat="1">
      <c r="A95" s="1193" t="s">
        <v>34</v>
      </c>
      <c r="B95" s="146">
        <f t="shared" si="27"/>
        <v>0</v>
      </c>
      <c r="C95" s="147"/>
      <c r="D95" s="147"/>
      <c r="E95" s="147"/>
      <c r="F95" s="147"/>
      <c r="G95" s="147"/>
      <c r="H95" s="147"/>
      <c r="I95" s="147"/>
      <c r="J95" s="147"/>
      <c r="K95" s="147"/>
      <c r="L95" s="147"/>
      <c r="M95" s="147"/>
      <c r="N95" s="147"/>
      <c r="O95" s="147"/>
      <c r="P95" s="147"/>
      <c r="Q95" s="147"/>
      <c r="R95" s="550">
        <f t="shared" si="29"/>
        <v>0</v>
      </c>
      <c r="S95" s="147"/>
      <c r="T95" s="147"/>
      <c r="U95" s="143"/>
    </row>
    <row r="96" spans="1:21" s="144" customFormat="1">
      <c r="A96" s="149" t="s">
        <v>784</v>
      </c>
      <c r="B96" s="146">
        <f>SUM(C96:D96)</f>
        <v>305025</v>
      </c>
      <c r="C96" s="146">
        <f t="shared" ref="C96:R96" si="30">SUM(C83:C95)</f>
        <v>305025</v>
      </c>
      <c r="D96" s="146">
        <f t="shared" si="30"/>
        <v>0</v>
      </c>
      <c r="E96" s="146">
        <f t="shared" si="30"/>
        <v>305025</v>
      </c>
      <c r="F96" s="146">
        <f t="shared" si="30"/>
        <v>0</v>
      </c>
      <c r="G96" s="146">
        <f t="shared" si="30"/>
        <v>0</v>
      </c>
      <c r="H96" s="146">
        <f t="shared" si="30"/>
        <v>0</v>
      </c>
      <c r="I96" s="146">
        <f t="shared" si="30"/>
        <v>0</v>
      </c>
      <c r="J96" s="146">
        <f t="shared" si="30"/>
        <v>0</v>
      </c>
      <c r="K96" s="146">
        <f t="shared" si="30"/>
        <v>0</v>
      </c>
      <c r="L96" s="146">
        <f t="shared" si="30"/>
        <v>0</v>
      </c>
      <c r="M96" s="146">
        <f t="shared" si="30"/>
        <v>0</v>
      </c>
      <c r="N96" s="146">
        <f t="shared" si="30"/>
        <v>0</v>
      </c>
      <c r="O96" s="146">
        <f t="shared" si="30"/>
        <v>0</v>
      </c>
      <c r="P96" s="146">
        <f t="shared" si="30"/>
        <v>0</v>
      </c>
      <c r="Q96" s="146">
        <f t="shared" si="30"/>
        <v>0</v>
      </c>
      <c r="R96" s="370">
        <f t="shared" si="30"/>
        <v>305025</v>
      </c>
      <c r="S96" s="150">
        <f>SUM(S84:S87,S89:S95)</f>
        <v>202515</v>
      </c>
      <c r="T96" s="146">
        <f>SUM(T84:T87,T89:T95)</f>
        <v>0</v>
      </c>
      <c r="U96" s="143"/>
    </row>
    <row r="97" spans="1:21" s="144" customFormat="1">
      <c r="A97" s="149" t="s">
        <v>785</v>
      </c>
      <c r="B97" s="146">
        <f>SUM(C97:D97)</f>
        <v>43456770</v>
      </c>
      <c r="C97" s="146">
        <f t="shared" ref="C97:R97" si="31">SUM(C63+C70+C77+C81+C96)</f>
        <v>43456770</v>
      </c>
      <c r="D97" s="146">
        <f t="shared" si="31"/>
        <v>0</v>
      </c>
      <c r="E97" s="146">
        <f t="shared" si="31"/>
        <v>16925030</v>
      </c>
      <c r="F97" s="146">
        <f t="shared" si="31"/>
        <v>22831177</v>
      </c>
      <c r="G97" s="146">
        <f t="shared" si="31"/>
        <v>2110000</v>
      </c>
      <c r="H97" s="146">
        <f t="shared" si="31"/>
        <v>530599</v>
      </c>
      <c r="I97" s="146">
        <f t="shared" si="31"/>
        <v>1059964</v>
      </c>
      <c r="J97" s="146">
        <f t="shared" si="31"/>
        <v>0</v>
      </c>
      <c r="K97" s="146">
        <f t="shared" si="31"/>
        <v>0</v>
      </c>
      <c r="L97" s="146">
        <f t="shared" si="31"/>
        <v>0</v>
      </c>
      <c r="M97" s="146">
        <f t="shared" si="31"/>
        <v>0</v>
      </c>
      <c r="N97" s="146">
        <f t="shared" si="31"/>
        <v>0</v>
      </c>
      <c r="O97" s="146">
        <f t="shared" si="31"/>
        <v>0</v>
      </c>
      <c r="P97" s="146">
        <f t="shared" si="31"/>
        <v>0</v>
      </c>
      <c r="Q97" s="146">
        <f t="shared" si="31"/>
        <v>0</v>
      </c>
      <c r="R97" s="146">
        <f t="shared" si="31"/>
        <v>43456770</v>
      </c>
      <c r="S97" s="146">
        <f>SUM(S63+S70+S81+S96)</f>
        <v>15418805.5</v>
      </c>
      <c r="T97" s="146">
        <f>SUM(T63+T70+T81+T96)</f>
        <v>23329401</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3479290</v>
      </c>
      <c r="C99" s="1014">
        <f>3479291-1</f>
        <v>3479290</v>
      </c>
      <c r="D99" s="1014"/>
      <c r="E99" s="1014"/>
      <c r="F99" s="147"/>
      <c r="G99" s="147"/>
      <c r="H99" s="147"/>
      <c r="I99" s="147">
        <f>C99-J99</f>
        <v>701495</v>
      </c>
      <c r="J99" s="147">
        <f>J108</f>
        <v>2777795</v>
      </c>
      <c r="K99" s="147"/>
      <c r="L99" s="147"/>
      <c r="M99" s="147"/>
      <c r="N99" s="147"/>
      <c r="O99" s="147"/>
      <c r="P99" s="147"/>
      <c r="Q99" s="147"/>
      <c r="R99" s="550">
        <f>SUM(E99:Q99)</f>
        <v>3479290</v>
      </c>
      <c r="S99" s="147">
        <v>2312821</v>
      </c>
      <c r="T99" s="147">
        <v>1166469</v>
      </c>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3479290</v>
      </c>
      <c r="C104" s="146">
        <f>SUM(C99:C103)</f>
        <v>3479290</v>
      </c>
      <c r="D104" s="146">
        <f t="shared" ref="D104:T104" si="32">SUM(D99:D103)</f>
        <v>0</v>
      </c>
      <c r="E104" s="146">
        <f t="shared" si="32"/>
        <v>0</v>
      </c>
      <c r="F104" s="146">
        <f t="shared" si="32"/>
        <v>0</v>
      </c>
      <c r="G104" s="146">
        <f t="shared" si="32"/>
        <v>0</v>
      </c>
      <c r="H104" s="146">
        <f t="shared" si="32"/>
        <v>0</v>
      </c>
      <c r="I104" s="146">
        <f t="shared" si="32"/>
        <v>701495</v>
      </c>
      <c r="J104" s="146">
        <f t="shared" si="32"/>
        <v>2777795</v>
      </c>
      <c r="K104" s="146">
        <f t="shared" si="32"/>
        <v>0</v>
      </c>
      <c r="L104" s="146">
        <f t="shared" si="32"/>
        <v>0</v>
      </c>
      <c r="M104" s="146">
        <f t="shared" si="32"/>
        <v>0</v>
      </c>
      <c r="N104" s="146">
        <f t="shared" si="32"/>
        <v>0</v>
      </c>
      <c r="O104" s="146">
        <f t="shared" si="32"/>
        <v>0</v>
      </c>
      <c r="P104" s="146">
        <f t="shared" si="32"/>
        <v>0</v>
      </c>
      <c r="Q104" s="146">
        <f t="shared" si="32"/>
        <v>0</v>
      </c>
      <c r="R104" s="370">
        <f t="shared" si="32"/>
        <v>3479290</v>
      </c>
      <c r="S104" s="150">
        <f t="shared" si="32"/>
        <v>2312821</v>
      </c>
      <c r="T104" s="150">
        <f t="shared" si="32"/>
        <v>1166469</v>
      </c>
      <c r="U104" s="143"/>
    </row>
    <row r="105" spans="1:21" s="144" customFormat="1">
      <c r="A105" s="149" t="s">
        <v>790</v>
      </c>
      <c r="B105" s="150">
        <f>SUM(C105:D105)</f>
        <v>46936060</v>
      </c>
      <c r="C105" s="150">
        <f t="shared" ref="C105:R105" si="33">SUM(C97+C104)</f>
        <v>46936060</v>
      </c>
      <c r="D105" s="150">
        <f t="shared" si="33"/>
        <v>0</v>
      </c>
      <c r="E105" s="150">
        <f t="shared" si="33"/>
        <v>16925030</v>
      </c>
      <c r="F105" s="150">
        <f t="shared" si="33"/>
        <v>22831177</v>
      </c>
      <c r="G105" s="150">
        <f t="shared" si="33"/>
        <v>2110000</v>
      </c>
      <c r="H105" s="150">
        <f t="shared" si="33"/>
        <v>530599</v>
      </c>
      <c r="I105" s="150">
        <f t="shared" si="33"/>
        <v>1761459</v>
      </c>
      <c r="J105" s="150">
        <f t="shared" si="33"/>
        <v>2777795</v>
      </c>
      <c r="K105" s="150">
        <f t="shared" si="33"/>
        <v>0</v>
      </c>
      <c r="L105" s="150">
        <f t="shared" si="33"/>
        <v>0</v>
      </c>
      <c r="M105" s="150">
        <f t="shared" si="33"/>
        <v>0</v>
      </c>
      <c r="N105" s="150">
        <f t="shared" si="33"/>
        <v>0</v>
      </c>
      <c r="O105" s="150">
        <f t="shared" si="33"/>
        <v>0</v>
      </c>
      <c r="P105" s="150">
        <f t="shared" si="33"/>
        <v>0</v>
      </c>
      <c r="Q105" s="150">
        <f t="shared" si="33"/>
        <v>0</v>
      </c>
      <c r="R105" s="370">
        <f t="shared" si="33"/>
        <v>46936060</v>
      </c>
      <c r="S105" s="150">
        <f>S97+S104</f>
        <v>17731626.5</v>
      </c>
      <c r="T105" s="150">
        <f>T97+T104</f>
        <v>24495870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17731626.5</v>
      </c>
      <c r="T107" s="150">
        <f>T105+T106</f>
        <v>24495870</v>
      </c>
    </row>
    <row r="108" spans="1:21" s="201" customFormat="1">
      <c r="A108" s="162" t="s">
        <v>892</v>
      </c>
      <c r="B108" s="157"/>
      <c r="C108" s="157"/>
      <c r="D108" s="157"/>
      <c r="E108" s="323">
        <f>Application!AO640</f>
        <v>16925030</v>
      </c>
      <c r="F108" s="323">
        <f>Application!AO627</f>
        <v>22831177</v>
      </c>
      <c r="G108" s="323">
        <f>Application!AO628</f>
        <v>2110000</v>
      </c>
      <c r="H108" s="323">
        <f>Application!AO629</f>
        <v>530599</v>
      </c>
      <c r="I108" s="323">
        <f>Application!AO630</f>
        <v>1761459</v>
      </c>
      <c r="J108" s="323">
        <f>Application!AO631</f>
        <v>2777795</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6" t="s">
        <v>1015</v>
      </c>
      <c r="E122" s="1876"/>
      <c r="F122" s="1876"/>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68" t="s">
        <v>1332</v>
      </c>
      <c r="E123" s="1560"/>
      <c r="F123" s="1560"/>
      <c r="G123" s="1560"/>
      <c r="H123" s="1560"/>
      <c r="I123" s="1560"/>
      <c r="J123" s="1560"/>
      <c r="K123" s="1560"/>
      <c r="L123" s="1560"/>
      <c r="M123" s="1560"/>
      <c r="N123" s="1560"/>
      <c r="O123" s="1560"/>
      <c r="P123" s="1560"/>
      <c r="Q123" s="1560"/>
      <c r="R123" s="1560"/>
      <c r="S123" s="1560"/>
      <c r="T123" s="352"/>
      <c r="U123" s="354"/>
    </row>
    <row r="124" spans="1:21" ht="12.75">
      <c r="A124" s="117" t="s">
        <v>1017</v>
      </c>
      <c r="B124" s="361"/>
      <c r="C124" s="117"/>
      <c r="D124" s="1560"/>
      <c r="E124" s="1560"/>
      <c r="F124" s="1560"/>
      <c r="G124" s="1560"/>
      <c r="H124" s="1560"/>
      <c r="I124" s="1560"/>
      <c r="J124" s="1560"/>
      <c r="K124" s="1560"/>
      <c r="L124" s="1560"/>
      <c r="M124" s="1560"/>
      <c r="N124" s="1560"/>
      <c r="O124" s="1560"/>
      <c r="P124" s="1560"/>
      <c r="Q124" s="1560"/>
      <c r="R124" s="1560"/>
      <c r="S124" s="1560"/>
      <c r="T124" s="352"/>
      <c r="U124" s="354"/>
    </row>
    <row r="125" spans="1:21" ht="12.75">
      <c r="A125" s="117" t="s">
        <v>1018</v>
      </c>
      <c r="B125" s="361"/>
      <c r="C125" s="117"/>
      <c r="D125" s="1560"/>
      <c r="E125" s="1560"/>
      <c r="F125" s="1560"/>
      <c r="G125" s="1560"/>
      <c r="H125" s="1560"/>
      <c r="I125" s="1560"/>
      <c r="J125" s="1560"/>
      <c r="K125" s="1560"/>
      <c r="L125" s="1560"/>
      <c r="M125" s="1560"/>
      <c r="N125" s="1560"/>
      <c r="O125" s="1560"/>
      <c r="P125" s="1560"/>
      <c r="Q125" s="1560"/>
      <c r="R125" s="1560"/>
      <c r="S125" s="1560"/>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1"/>
      <c r="E128" s="1871"/>
      <c r="F128" s="1871"/>
      <c r="G128" s="1871"/>
      <c r="H128" s="1871"/>
      <c r="I128" s="117"/>
      <c r="J128" s="1867"/>
      <c r="K128" s="1867"/>
      <c r="L128" s="117"/>
      <c r="M128" s="117"/>
      <c r="N128" s="117"/>
      <c r="O128" s="117"/>
      <c r="P128" s="117"/>
      <c r="Q128" s="117"/>
      <c r="R128" s="117"/>
      <c r="S128" s="117"/>
      <c r="T128" s="352"/>
      <c r="U128" s="354"/>
    </row>
    <row r="129" spans="1:21" ht="12.75">
      <c r="A129" s="117" t="s">
        <v>301</v>
      </c>
      <c r="B129" s="361"/>
      <c r="C129" s="117"/>
      <c r="D129" s="1875" t="s">
        <v>1022</v>
      </c>
      <c r="E129" s="1875"/>
      <c r="F129" s="1875"/>
      <c r="G129" s="1875"/>
      <c r="H129" s="1875"/>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472"/>
      <c r="E131" s="1472"/>
      <c r="F131" s="1472"/>
      <c r="G131" s="1472"/>
      <c r="H131" s="1472"/>
      <c r="I131" s="117"/>
      <c r="J131" s="1472"/>
      <c r="K131" s="1472"/>
      <c r="L131" s="1472"/>
      <c r="M131" s="1472"/>
      <c r="N131" s="117"/>
      <c r="O131" s="117"/>
      <c r="P131" s="117"/>
      <c r="Q131" s="117"/>
      <c r="R131" s="117"/>
      <c r="S131" s="117"/>
      <c r="T131" s="352"/>
      <c r="U131" s="354"/>
    </row>
    <row r="132" spans="1:21" ht="12" customHeight="1">
      <c r="A132" s="364"/>
      <c r="B132" s="117"/>
      <c r="C132" s="117"/>
      <c r="D132" s="1869" t="s">
        <v>1025</v>
      </c>
      <c r="E132" s="1869"/>
      <c r="F132" s="1869"/>
      <c r="G132" s="1869"/>
      <c r="H132" s="1869"/>
      <c r="I132" s="117"/>
      <c r="J132" s="1869" t="s">
        <v>1026</v>
      </c>
      <c r="K132" s="1869"/>
      <c r="L132" s="1869"/>
      <c r="M132" s="1869"/>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0"/>
      <c r="B138" s="1871"/>
      <c r="C138" s="1871"/>
      <c r="D138" s="356"/>
      <c r="E138" s="1867"/>
      <c r="F138" s="1867"/>
      <c r="G138" s="117"/>
      <c r="H138" s="117"/>
      <c r="I138" s="117"/>
      <c r="J138" s="117"/>
      <c r="K138" s="117"/>
      <c r="L138" s="117"/>
      <c r="M138" s="117"/>
      <c r="N138" s="117"/>
      <c r="O138" s="117"/>
      <c r="P138" s="117"/>
      <c r="Q138" s="117"/>
      <c r="R138" s="117"/>
      <c r="S138" s="117"/>
      <c r="T138" s="358"/>
      <c r="U138" s="359"/>
    </row>
    <row r="139" spans="1:21" ht="12.75">
      <c r="A139" s="1866" t="s">
        <v>1029</v>
      </c>
      <c r="B139" s="1866"/>
      <c r="C139" s="1866"/>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94" workbookViewId="0">
      <selection activeCell="AD189" sqref="AD189:AJ189"/>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06" t="s">
        <v>1410</v>
      </c>
      <c r="B1" s="2106"/>
      <c r="C1" s="2106"/>
      <c r="D1" s="2106"/>
      <c r="E1" s="2106"/>
      <c r="F1" s="2106"/>
      <c r="G1" s="2106"/>
      <c r="H1" s="2106"/>
      <c r="I1" s="2106"/>
      <c r="J1" s="2106"/>
      <c r="K1" s="2106"/>
      <c r="L1" s="2106"/>
      <c r="M1" s="2106"/>
      <c r="N1" s="2106"/>
      <c r="O1" s="2106"/>
      <c r="P1" s="2106"/>
      <c r="Q1" s="2106"/>
      <c r="R1" s="2106"/>
      <c r="S1" s="2106"/>
      <c r="T1" s="2106"/>
      <c r="U1" s="2106"/>
      <c r="V1" s="2106"/>
      <c r="W1" s="2106"/>
      <c r="X1" s="2106"/>
      <c r="Y1" s="2106"/>
      <c r="Z1" s="2106"/>
      <c r="AA1" s="2106"/>
      <c r="AB1" s="2106"/>
      <c r="AC1" s="2106"/>
      <c r="AD1" s="2106"/>
      <c r="AE1" s="2106"/>
      <c r="AF1" s="2106"/>
      <c r="AG1" s="2106"/>
      <c r="AH1" s="2106"/>
      <c r="AI1" s="2106"/>
      <c r="AJ1" s="2106"/>
      <c r="AK1" s="2106"/>
      <c r="AL1" s="2106"/>
      <c r="AM1" s="2106"/>
    </row>
    <row r="2" spans="1:42" s="570" customFormat="1" ht="12.75" customHeight="1" thickBot="1">
      <c r="A2" s="2107"/>
      <c r="B2" s="2107"/>
      <c r="C2" s="2107"/>
      <c r="D2" s="2107"/>
      <c r="E2" s="2107"/>
      <c r="F2" s="2107"/>
      <c r="G2" s="2107"/>
      <c r="H2" s="2107"/>
      <c r="I2" s="2107"/>
      <c r="J2" s="2107"/>
      <c r="K2" s="2107"/>
      <c r="L2" s="2107"/>
      <c r="M2" s="2107"/>
      <c r="N2" s="2107"/>
      <c r="O2" s="2107"/>
      <c r="P2" s="2107"/>
      <c r="Q2" s="2107"/>
      <c r="R2" s="2107"/>
      <c r="S2" s="2107"/>
      <c r="T2" s="2107"/>
      <c r="U2" s="2107"/>
      <c r="V2" s="2107"/>
      <c r="W2" s="2107"/>
      <c r="X2" s="2107"/>
      <c r="Y2" s="2107"/>
      <c r="Z2" s="2107"/>
      <c r="AA2" s="2107"/>
      <c r="AB2" s="2107"/>
      <c r="AC2" s="2107"/>
      <c r="AD2" s="2107"/>
      <c r="AE2" s="2107"/>
      <c r="AF2" s="2107"/>
      <c r="AG2" s="2107"/>
      <c r="AH2" s="2107"/>
      <c r="AI2" s="2107"/>
      <c r="AJ2" s="2107"/>
      <c r="AK2" s="2107"/>
      <c r="AL2" s="2107"/>
      <c r="AM2" s="2107"/>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17" t="s">
        <v>1415</v>
      </c>
      <c r="AF7" s="1917"/>
      <c r="AG7" s="1917"/>
      <c r="AH7" s="1917"/>
      <c r="AI7" s="1917"/>
      <c r="AJ7" s="1917"/>
      <c r="AK7" s="1917"/>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0" t="s">
        <v>600</v>
      </c>
      <c r="C13" s="2100"/>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08"/>
      <c r="AH13" s="2108"/>
      <c r="AI13" s="2108"/>
      <c r="AJ13" s="2109"/>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0" t="s">
        <v>600</v>
      </c>
      <c r="C16" s="2100"/>
      <c r="D16" s="581"/>
      <c r="E16" s="2092" t="s">
        <v>1417</v>
      </c>
      <c r="F16" s="2093"/>
      <c r="G16" s="2093"/>
      <c r="H16" s="2093"/>
      <c r="I16" s="2093"/>
      <c r="J16" s="2093"/>
      <c r="K16" s="2093"/>
      <c r="L16" s="2093"/>
      <c r="M16" s="2093"/>
      <c r="N16" s="2093"/>
      <c r="O16" s="2093"/>
      <c r="P16" s="2093"/>
      <c r="Q16" s="2093"/>
      <c r="R16" s="2093"/>
      <c r="S16" s="2093"/>
      <c r="T16" s="2093"/>
      <c r="U16" s="2093"/>
      <c r="V16" s="2093"/>
      <c r="W16" s="2093"/>
      <c r="X16" s="2093"/>
      <c r="Y16" s="2093"/>
      <c r="Z16" s="2093"/>
      <c r="AA16" s="2093"/>
      <c r="AB16" s="2093"/>
      <c r="AC16" s="2093"/>
      <c r="AD16" s="2093"/>
      <c r="AE16" s="2093"/>
      <c r="AF16" s="2093"/>
      <c r="AG16" s="2093"/>
      <c r="AH16" s="2093"/>
      <c r="AI16" s="2093"/>
      <c r="AJ16" s="2094"/>
      <c r="AK16" s="574"/>
      <c r="AL16" s="574"/>
      <c r="AM16" s="574"/>
      <c r="AN16" s="569"/>
      <c r="AO16" s="584">
        <f>IF($B25="yes",20,0)</f>
        <v>0</v>
      </c>
      <c r="AP16" s="14"/>
    </row>
    <row r="17" spans="1:42" s="570" customFormat="1" ht="12.75" customHeight="1">
      <c r="A17" s="574"/>
      <c r="B17" s="574"/>
      <c r="C17" s="574"/>
      <c r="D17" s="585"/>
      <c r="E17" s="2095"/>
      <c r="F17" s="2096"/>
      <c r="G17" s="2096"/>
      <c r="H17" s="2096"/>
      <c r="I17" s="2096"/>
      <c r="J17" s="2096"/>
      <c r="K17" s="2096"/>
      <c r="L17" s="2096"/>
      <c r="M17" s="2096"/>
      <c r="N17" s="2096"/>
      <c r="O17" s="2096"/>
      <c r="P17" s="2096"/>
      <c r="Q17" s="2096"/>
      <c r="R17" s="2096"/>
      <c r="S17" s="2096"/>
      <c r="T17" s="2096"/>
      <c r="U17" s="2096"/>
      <c r="V17" s="2096"/>
      <c r="W17" s="2096"/>
      <c r="X17" s="2096"/>
      <c r="Y17" s="2096"/>
      <c r="Z17" s="2096"/>
      <c r="AA17" s="2096"/>
      <c r="AB17" s="2096"/>
      <c r="AC17" s="2096"/>
      <c r="AD17" s="2096"/>
      <c r="AE17" s="2096"/>
      <c r="AF17" s="2096"/>
      <c r="AG17" s="2096"/>
      <c r="AH17" s="2096"/>
      <c r="AI17" s="2096"/>
      <c r="AJ17" s="2097"/>
      <c r="AK17" s="574"/>
      <c r="AL17" s="574"/>
      <c r="AM17" s="574"/>
      <c r="AN17" s="569"/>
      <c r="AO17" s="570">
        <f>IF(SUM(AO13:AO16)&gt;20,20,(SUM(AO13:AO16)))</f>
        <v>0</v>
      </c>
      <c r="AP17" s="570" t="s">
        <v>1418</v>
      </c>
    </row>
    <row r="18" spans="1:42" s="570" customFormat="1" ht="12.75" customHeight="1">
      <c r="A18" s="574"/>
      <c r="B18" s="574"/>
      <c r="C18" s="574"/>
      <c r="D18" s="585"/>
      <c r="E18" s="2095"/>
      <c r="F18" s="2096"/>
      <c r="G18" s="2096"/>
      <c r="H18" s="2096"/>
      <c r="I18" s="2096"/>
      <c r="J18" s="2096"/>
      <c r="K18" s="2096"/>
      <c r="L18" s="2096"/>
      <c r="M18" s="2096"/>
      <c r="N18" s="2096"/>
      <c r="O18" s="2096"/>
      <c r="P18" s="2096"/>
      <c r="Q18" s="2096"/>
      <c r="R18" s="2096"/>
      <c r="S18" s="2096"/>
      <c r="T18" s="2096"/>
      <c r="U18" s="2096"/>
      <c r="V18" s="2096"/>
      <c r="W18" s="2096"/>
      <c r="X18" s="2096"/>
      <c r="Y18" s="2096"/>
      <c r="Z18" s="2096"/>
      <c r="AA18" s="2096"/>
      <c r="AB18" s="2096"/>
      <c r="AC18" s="2096"/>
      <c r="AD18" s="2096"/>
      <c r="AE18" s="2096"/>
      <c r="AF18" s="2096"/>
      <c r="AG18" s="2096"/>
      <c r="AH18" s="2096"/>
      <c r="AI18" s="2096"/>
      <c r="AJ18" s="2097"/>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16"/>
      <c r="F20" s="2117"/>
      <c r="G20" s="2117"/>
      <c r="H20" s="2117"/>
      <c r="I20" s="2117"/>
      <c r="J20" s="2117"/>
      <c r="K20" s="2117"/>
      <c r="L20" s="2117"/>
      <c r="M20" s="2117"/>
      <c r="N20" s="2117"/>
      <c r="O20" s="2117"/>
      <c r="P20" s="2117"/>
      <c r="Q20" s="2117"/>
      <c r="R20" s="2117"/>
      <c r="S20" s="2117"/>
      <c r="T20" s="2117"/>
      <c r="U20" s="2117"/>
      <c r="V20" s="2117"/>
      <c r="W20" s="2117"/>
      <c r="X20" s="2117"/>
      <c r="Y20" s="2117"/>
      <c r="Z20" s="2117"/>
      <c r="AA20" s="2117"/>
      <c r="AB20" s="2117"/>
      <c r="AC20" s="2117"/>
      <c r="AD20" s="2117"/>
      <c r="AE20" s="2117"/>
      <c r="AF20" s="2117"/>
      <c r="AG20" s="2117"/>
      <c r="AH20" s="2117"/>
      <c r="AI20" s="2117"/>
      <c r="AJ20" s="2118"/>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0" t="s">
        <v>600</v>
      </c>
      <c r="C22" s="2100"/>
      <c r="D22" s="581"/>
      <c r="E22" s="2110" t="s">
        <v>1420</v>
      </c>
      <c r="F22" s="2111"/>
      <c r="G22" s="2111"/>
      <c r="H22" s="2111"/>
      <c r="I22" s="2111"/>
      <c r="J22" s="2111"/>
      <c r="K22" s="2111"/>
      <c r="L22" s="2111"/>
      <c r="M22" s="2111"/>
      <c r="N22" s="2111"/>
      <c r="O22" s="2111"/>
      <c r="P22" s="2111"/>
      <c r="Q22" s="2111"/>
      <c r="R22" s="2111"/>
      <c r="S22" s="2111"/>
      <c r="T22" s="2111"/>
      <c r="U22" s="2111"/>
      <c r="V22" s="2111"/>
      <c r="W22" s="2111"/>
      <c r="X22" s="2111"/>
      <c r="Y22" s="2111"/>
      <c r="Z22" s="2111"/>
      <c r="AA22" s="2111"/>
      <c r="AB22" s="2111"/>
      <c r="AC22" s="2111"/>
      <c r="AD22" s="2111"/>
      <c r="AE22" s="2111"/>
      <c r="AF22" s="2111"/>
      <c r="AG22" s="2111"/>
      <c r="AH22" s="2111"/>
      <c r="AI22" s="2111"/>
      <c r="AJ22" s="2112"/>
      <c r="AK22" s="574"/>
      <c r="AL22" s="574"/>
      <c r="AM22" s="574"/>
      <c r="AN22" s="569"/>
      <c r="AO22" s="570">
        <f>IF(SUM(AO20:AO21)&gt;14,14,SUM(AO20:AO21))</f>
        <v>0</v>
      </c>
      <c r="AP22" s="570" t="s">
        <v>1418</v>
      </c>
    </row>
    <row r="23" spans="1:42" s="570" customFormat="1" ht="12.75" customHeight="1">
      <c r="A23" s="574"/>
      <c r="B23" s="574"/>
      <c r="C23" s="574"/>
      <c r="D23" s="584"/>
      <c r="E23" s="2113"/>
      <c r="F23" s="2114"/>
      <c r="G23" s="2114"/>
      <c r="H23" s="2114"/>
      <c r="I23" s="2114"/>
      <c r="J23" s="2114"/>
      <c r="K23" s="2114"/>
      <c r="L23" s="2114"/>
      <c r="M23" s="2114"/>
      <c r="N23" s="2114"/>
      <c r="O23" s="2114"/>
      <c r="P23" s="2114"/>
      <c r="Q23" s="2114"/>
      <c r="R23" s="2114"/>
      <c r="S23" s="2114"/>
      <c r="T23" s="2114"/>
      <c r="U23" s="2114"/>
      <c r="V23" s="2114"/>
      <c r="W23" s="2114"/>
      <c r="X23" s="2114"/>
      <c r="Y23" s="2114"/>
      <c r="Z23" s="2114"/>
      <c r="AA23" s="2114"/>
      <c r="AB23" s="2114"/>
      <c r="AC23" s="2114"/>
      <c r="AD23" s="2114"/>
      <c r="AE23" s="2114"/>
      <c r="AF23" s="2114"/>
      <c r="AG23" s="2114"/>
      <c r="AH23" s="2114"/>
      <c r="AI23" s="2114"/>
      <c r="AJ23" s="2115"/>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0" t="s">
        <v>600</v>
      </c>
      <c r="C25" s="2100"/>
      <c r="D25" s="581"/>
      <c r="E25" s="2027" t="s">
        <v>2347</v>
      </c>
      <c r="F25" s="2028"/>
      <c r="G25" s="2028"/>
      <c r="H25" s="2028"/>
      <c r="I25" s="2028"/>
      <c r="J25" s="2028"/>
      <c r="K25" s="2028"/>
      <c r="L25" s="2028"/>
      <c r="M25" s="2028"/>
      <c r="N25" s="2028"/>
      <c r="O25" s="2028"/>
      <c r="P25" s="2028"/>
      <c r="Q25" s="2028"/>
      <c r="R25" s="2028"/>
      <c r="S25" s="2028"/>
      <c r="T25" s="2028"/>
      <c r="U25" s="2028"/>
      <c r="V25" s="2028"/>
      <c r="W25" s="2028"/>
      <c r="X25" s="2028"/>
      <c r="Y25" s="2028"/>
      <c r="Z25" s="2028"/>
      <c r="AA25" s="2028"/>
      <c r="AB25" s="2028"/>
      <c r="AC25" s="2028"/>
      <c r="AD25" s="2028"/>
      <c r="AE25" s="2028"/>
      <c r="AF25" s="2028"/>
      <c r="AG25" s="2028"/>
      <c r="AH25" s="2028"/>
      <c r="AI25" s="2028"/>
      <c r="AJ25" s="2029"/>
      <c r="AK25" s="574"/>
      <c r="AL25" s="574"/>
      <c r="AM25" s="574"/>
      <c r="AN25" s="569"/>
      <c r="AO25" s="570">
        <f>IF(AO24&gt;6,6,AO24)</f>
        <v>0</v>
      </c>
      <c r="AP25" s="570" t="s">
        <v>1418</v>
      </c>
    </row>
    <row r="26" spans="1:42" s="570" customFormat="1" ht="12.75" customHeight="1">
      <c r="A26" s="574"/>
      <c r="B26" s="574"/>
      <c r="C26" s="574"/>
      <c r="D26" s="584"/>
      <c r="E26" s="2052"/>
      <c r="F26" s="2053"/>
      <c r="G26" s="2053"/>
      <c r="H26" s="2053"/>
      <c r="I26" s="2053"/>
      <c r="J26" s="2053"/>
      <c r="K26" s="2053"/>
      <c r="L26" s="2053"/>
      <c r="M26" s="2053"/>
      <c r="N26" s="2053"/>
      <c r="O26" s="2053"/>
      <c r="P26" s="2053"/>
      <c r="Q26" s="2053"/>
      <c r="R26" s="2053"/>
      <c r="S26" s="2053"/>
      <c r="T26" s="2053"/>
      <c r="U26" s="2053"/>
      <c r="V26" s="2053"/>
      <c r="W26" s="2053"/>
      <c r="X26" s="2053"/>
      <c r="Y26" s="2053"/>
      <c r="Z26" s="2053"/>
      <c r="AA26" s="2053"/>
      <c r="AB26" s="2053"/>
      <c r="AC26" s="2053"/>
      <c r="AD26" s="2053"/>
      <c r="AE26" s="2053"/>
      <c r="AF26" s="2053"/>
      <c r="AG26" s="2053"/>
      <c r="AH26" s="2053"/>
      <c r="AI26" s="2053"/>
      <c r="AJ26" s="205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0" t="s">
        <v>600</v>
      </c>
      <c r="C30" s="2100"/>
      <c r="D30" s="581"/>
      <c r="E30" s="2110" t="s">
        <v>2319</v>
      </c>
      <c r="F30" s="2111"/>
      <c r="G30" s="2111"/>
      <c r="H30" s="2111"/>
      <c r="I30" s="2111"/>
      <c r="J30" s="2111"/>
      <c r="K30" s="2111"/>
      <c r="L30" s="2111"/>
      <c r="M30" s="2111"/>
      <c r="N30" s="2111"/>
      <c r="O30" s="2111"/>
      <c r="P30" s="2111"/>
      <c r="Q30" s="2111"/>
      <c r="R30" s="2111"/>
      <c r="S30" s="2111"/>
      <c r="T30" s="2111"/>
      <c r="U30" s="2111"/>
      <c r="V30" s="2111"/>
      <c r="W30" s="2111"/>
      <c r="X30" s="2111"/>
      <c r="Y30" s="2111"/>
      <c r="Z30" s="2111"/>
      <c r="AA30" s="2111"/>
      <c r="AB30" s="2111"/>
      <c r="AC30" s="2111"/>
      <c r="AD30" s="2111"/>
      <c r="AE30" s="2111"/>
      <c r="AF30" s="2111"/>
      <c r="AG30" s="2111"/>
      <c r="AH30" s="2111"/>
      <c r="AI30" s="2111"/>
      <c r="AJ30" s="2112"/>
      <c r="AK30" s="574"/>
      <c r="AL30" s="574"/>
      <c r="AM30" s="574"/>
      <c r="AN30" s="569"/>
      <c r="AO30" s="584"/>
    </row>
    <row r="31" spans="1:42" s="570" customFormat="1" ht="12.75" customHeight="1">
      <c r="A31" s="574"/>
      <c r="B31" s="574"/>
      <c r="C31" s="574"/>
      <c r="E31" s="2113"/>
      <c r="F31" s="2114"/>
      <c r="G31" s="2114"/>
      <c r="H31" s="2114"/>
      <c r="I31" s="2114"/>
      <c r="J31" s="2114"/>
      <c r="K31" s="2114"/>
      <c r="L31" s="2114"/>
      <c r="M31" s="2114"/>
      <c r="N31" s="2114"/>
      <c r="O31" s="2114"/>
      <c r="P31" s="2114"/>
      <c r="Q31" s="2114"/>
      <c r="R31" s="2114"/>
      <c r="S31" s="2114"/>
      <c r="T31" s="2114"/>
      <c r="U31" s="2114"/>
      <c r="V31" s="2114"/>
      <c r="W31" s="2114"/>
      <c r="X31" s="2114"/>
      <c r="Y31" s="2114"/>
      <c r="Z31" s="2114"/>
      <c r="AA31" s="2114"/>
      <c r="AB31" s="2114"/>
      <c r="AC31" s="2114"/>
      <c r="AD31" s="2114"/>
      <c r="AE31" s="2114"/>
      <c r="AF31" s="2114"/>
      <c r="AG31" s="2114"/>
      <c r="AH31" s="2114"/>
      <c r="AI31" s="2114"/>
      <c r="AJ31" s="2115"/>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0" t="s">
        <v>600</v>
      </c>
      <c r="C33" s="2100"/>
      <c r="D33" s="581"/>
      <c r="E33" s="2027" t="s">
        <v>2320</v>
      </c>
      <c r="F33" s="2028"/>
      <c r="G33" s="2028"/>
      <c r="H33" s="2028"/>
      <c r="I33" s="2028"/>
      <c r="J33" s="2028"/>
      <c r="K33" s="2028"/>
      <c r="L33" s="2028"/>
      <c r="M33" s="2028"/>
      <c r="N33" s="2028"/>
      <c r="O33" s="2028"/>
      <c r="P33" s="2028"/>
      <c r="Q33" s="2028"/>
      <c r="R33" s="2028"/>
      <c r="S33" s="2028"/>
      <c r="T33" s="2028"/>
      <c r="U33" s="2028"/>
      <c r="V33" s="2028"/>
      <c r="W33" s="2028"/>
      <c r="X33" s="2028"/>
      <c r="Y33" s="2028"/>
      <c r="Z33" s="2028"/>
      <c r="AA33" s="2028"/>
      <c r="AB33" s="2028"/>
      <c r="AC33" s="2028"/>
      <c r="AD33" s="2028"/>
      <c r="AE33" s="2028"/>
      <c r="AF33" s="2028"/>
      <c r="AG33" s="2028"/>
      <c r="AH33" s="2028"/>
      <c r="AI33" s="2028"/>
      <c r="AJ33" s="2029"/>
      <c r="AK33" s="574"/>
      <c r="AL33" s="574"/>
      <c r="AM33" s="574"/>
      <c r="AN33" s="569"/>
    </row>
    <row r="34" spans="1:41" s="570" customFormat="1" ht="12.75" customHeight="1">
      <c r="A34" s="574"/>
      <c r="B34" s="574"/>
      <c r="C34" s="574"/>
      <c r="E34" s="2030"/>
      <c r="F34" s="2031"/>
      <c r="G34" s="2031"/>
      <c r="H34" s="2031"/>
      <c r="I34" s="2031"/>
      <c r="J34" s="2031"/>
      <c r="K34" s="2031"/>
      <c r="L34" s="2031"/>
      <c r="M34" s="2031"/>
      <c r="N34" s="2031"/>
      <c r="O34" s="2031"/>
      <c r="P34" s="2031"/>
      <c r="Q34" s="2031"/>
      <c r="R34" s="2031"/>
      <c r="S34" s="2031"/>
      <c r="T34" s="2031"/>
      <c r="U34" s="2031"/>
      <c r="V34" s="2031"/>
      <c r="W34" s="2031"/>
      <c r="X34" s="2031"/>
      <c r="Y34" s="2031"/>
      <c r="Z34" s="2031"/>
      <c r="AA34" s="2031"/>
      <c r="AB34" s="2031"/>
      <c r="AC34" s="2031"/>
      <c r="AD34" s="2031"/>
      <c r="AE34" s="2031"/>
      <c r="AF34" s="2031"/>
      <c r="AG34" s="2031"/>
      <c r="AH34" s="2031"/>
      <c r="AI34" s="2031"/>
      <c r="AJ34" s="2032"/>
      <c r="AK34" s="574"/>
      <c r="AL34" s="574"/>
      <c r="AM34" s="574"/>
      <c r="AN34" s="569"/>
    </row>
    <row r="35" spans="1:41" s="570" customFormat="1" ht="12.75" customHeight="1">
      <c r="A35" s="574"/>
      <c r="B35" s="574"/>
      <c r="C35" s="574"/>
      <c r="E35" s="2052"/>
      <c r="F35" s="2053"/>
      <c r="G35" s="2053"/>
      <c r="H35" s="2053"/>
      <c r="I35" s="2053"/>
      <c r="J35" s="2053"/>
      <c r="K35" s="2053"/>
      <c r="L35" s="2053"/>
      <c r="M35" s="2053"/>
      <c r="N35" s="2053"/>
      <c r="O35" s="2053"/>
      <c r="P35" s="2053"/>
      <c r="Q35" s="2053"/>
      <c r="R35" s="2053"/>
      <c r="S35" s="2053"/>
      <c r="T35" s="2053"/>
      <c r="U35" s="2053"/>
      <c r="V35" s="2053"/>
      <c r="W35" s="2053"/>
      <c r="X35" s="2053"/>
      <c r="Y35" s="2053"/>
      <c r="Z35" s="2053"/>
      <c r="AA35" s="2053"/>
      <c r="AB35" s="2053"/>
      <c r="AC35" s="2053"/>
      <c r="AD35" s="2053"/>
      <c r="AE35" s="2053"/>
      <c r="AF35" s="2053"/>
      <c r="AG35" s="2053"/>
      <c r="AH35" s="2053"/>
      <c r="AI35" s="2053"/>
      <c r="AJ35" s="205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0" t="s">
        <v>600</v>
      </c>
      <c r="C39" s="2100"/>
      <c r="D39" s="1186"/>
      <c r="E39" s="2027" t="s">
        <v>2321</v>
      </c>
      <c r="F39" s="2028"/>
      <c r="G39" s="2028"/>
      <c r="H39" s="2028"/>
      <c r="I39" s="2028"/>
      <c r="J39" s="2028"/>
      <c r="K39" s="2028"/>
      <c r="L39" s="2028"/>
      <c r="M39" s="2028"/>
      <c r="N39" s="2028"/>
      <c r="O39" s="2028"/>
      <c r="P39" s="2028"/>
      <c r="Q39" s="2028"/>
      <c r="R39" s="2028"/>
      <c r="S39" s="2028"/>
      <c r="T39" s="2028"/>
      <c r="U39" s="2028"/>
      <c r="V39" s="2028"/>
      <c r="W39" s="2028"/>
      <c r="X39" s="2028"/>
      <c r="Y39" s="2028"/>
      <c r="Z39" s="2028"/>
      <c r="AA39" s="2028"/>
      <c r="AB39" s="2028"/>
      <c r="AC39" s="2028"/>
      <c r="AD39" s="2028"/>
      <c r="AE39" s="2028"/>
      <c r="AF39" s="2028"/>
      <c r="AG39" s="2028"/>
      <c r="AH39" s="2028"/>
      <c r="AI39" s="2028"/>
      <c r="AJ39" s="2029"/>
      <c r="AK39" s="1186"/>
      <c r="AL39" s="574"/>
      <c r="AM39" s="574"/>
      <c r="AN39" s="569"/>
    </row>
    <row r="40" spans="1:41" s="570" customFormat="1" ht="12.75" customHeight="1">
      <c r="A40" s="574"/>
      <c r="B40" s="574"/>
      <c r="C40" s="574"/>
      <c r="E40" s="2030"/>
      <c r="F40" s="2031"/>
      <c r="G40" s="2031"/>
      <c r="H40" s="2031"/>
      <c r="I40" s="2031"/>
      <c r="J40" s="2031"/>
      <c r="K40" s="2031"/>
      <c r="L40" s="2031"/>
      <c r="M40" s="2031"/>
      <c r="N40" s="2031"/>
      <c r="O40" s="2031"/>
      <c r="P40" s="2031"/>
      <c r="Q40" s="2031"/>
      <c r="R40" s="2031"/>
      <c r="S40" s="2031"/>
      <c r="T40" s="2031"/>
      <c r="U40" s="2031"/>
      <c r="V40" s="2031"/>
      <c r="W40" s="2031"/>
      <c r="X40" s="2031"/>
      <c r="Y40" s="2031"/>
      <c r="Z40" s="2031"/>
      <c r="AA40" s="2031"/>
      <c r="AB40" s="2031"/>
      <c r="AC40" s="2031"/>
      <c r="AD40" s="2031"/>
      <c r="AE40" s="2031"/>
      <c r="AF40" s="2031"/>
      <c r="AG40" s="2031"/>
      <c r="AH40" s="2031"/>
      <c r="AI40" s="2031"/>
      <c r="AJ40" s="2032"/>
      <c r="AK40" s="574"/>
      <c r="AL40" s="574"/>
      <c r="AM40" s="574"/>
      <c r="AN40" s="569"/>
    </row>
    <row r="41" spans="1:41" s="570" customFormat="1" ht="12.75" customHeight="1">
      <c r="A41" s="574"/>
      <c r="D41" s="581"/>
      <c r="E41" s="2052"/>
      <c r="F41" s="2053"/>
      <c r="G41" s="2053"/>
      <c r="H41" s="2053"/>
      <c r="I41" s="2053"/>
      <c r="J41" s="2053"/>
      <c r="K41" s="2053"/>
      <c r="L41" s="2053"/>
      <c r="M41" s="2053"/>
      <c r="N41" s="2053"/>
      <c r="O41" s="2053"/>
      <c r="P41" s="2053"/>
      <c r="Q41" s="2053"/>
      <c r="R41" s="2053"/>
      <c r="S41" s="2053"/>
      <c r="T41" s="2053"/>
      <c r="U41" s="2053"/>
      <c r="V41" s="2053"/>
      <c r="W41" s="2053"/>
      <c r="X41" s="2053"/>
      <c r="Y41" s="2053"/>
      <c r="Z41" s="2053"/>
      <c r="AA41" s="2053"/>
      <c r="AB41" s="2053"/>
      <c r="AC41" s="2053"/>
      <c r="AD41" s="2053"/>
      <c r="AE41" s="2053"/>
      <c r="AF41" s="2053"/>
      <c r="AG41" s="2053"/>
      <c r="AH41" s="2053"/>
      <c r="AI41" s="2053"/>
      <c r="AJ41" s="205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0" t="s">
        <v>600</v>
      </c>
      <c r="C46" s="2100"/>
      <c r="D46" s="574"/>
      <c r="E46" s="2027" t="s">
        <v>2326</v>
      </c>
      <c r="F46" s="2028"/>
      <c r="G46" s="2028"/>
      <c r="H46" s="2028"/>
      <c r="I46" s="2028"/>
      <c r="J46" s="2028"/>
      <c r="K46" s="2028"/>
      <c r="L46" s="2028"/>
      <c r="M46" s="2028"/>
      <c r="N46" s="2028"/>
      <c r="O46" s="2028"/>
      <c r="P46" s="2028"/>
      <c r="Q46" s="2028"/>
      <c r="R46" s="2028"/>
      <c r="S46" s="2028"/>
      <c r="T46" s="2028"/>
      <c r="U46" s="2028"/>
      <c r="V46" s="2028"/>
      <c r="W46" s="2028"/>
      <c r="X46" s="2028"/>
      <c r="Y46" s="2028"/>
      <c r="Z46" s="2028"/>
      <c r="AA46" s="2028"/>
      <c r="AB46" s="2028"/>
      <c r="AC46" s="2028"/>
      <c r="AD46" s="2028"/>
      <c r="AE46" s="2028"/>
      <c r="AF46" s="2028"/>
      <c r="AG46" s="2028"/>
      <c r="AH46" s="2028"/>
      <c r="AI46" s="2028"/>
      <c r="AJ46" s="2029"/>
      <c r="AK46" s="574"/>
      <c r="AL46" s="574"/>
      <c r="AM46" s="574"/>
      <c r="AN46" s="569"/>
      <c r="AO46" s="593"/>
    </row>
    <row r="47" spans="1:41" s="570" customFormat="1" ht="12.75" customHeight="1">
      <c r="A47" s="574"/>
      <c r="D47" s="581"/>
      <c r="E47" s="2030"/>
      <c r="F47" s="2031"/>
      <c r="G47" s="2031"/>
      <c r="H47" s="2031"/>
      <c r="I47" s="2031"/>
      <c r="J47" s="2031"/>
      <c r="K47" s="2031"/>
      <c r="L47" s="2031"/>
      <c r="M47" s="2031"/>
      <c r="N47" s="2031"/>
      <c r="O47" s="2031"/>
      <c r="P47" s="2031"/>
      <c r="Q47" s="2031"/>
      <c r="R47" s="2031"/>
      <c r="S47" s="2031"/>
      <c r="T47" s="2031"/>
      <c r="U47" s="2031"/>
      <c r="V47" s="2031"/>
      <c r="W47" s="2031"/>
      <c r="X47" s="2031"/>
      <c r="Y47" s="2031"/>
      <c r="Z47" s="2031"/>
      <c r="AA47" s="2031"/>
      <c r="AB47" s="2031"/>
      <c r="AC47" s="2031"/>
      <c r="AD47" s="2031"/>
      <c r="AE47" s="2031"/>
      <c r="AF47" s="2031"/>
      <c r="AG47" s="2031"/>
      <c r="AH47" s="2031"/>
      <c r="AI47" s="2031"/>
      <c r="AJ47" s="2032"/>
      <c r="AK47" s="574"/>
      <c r="AL47" s="574"/>
      <c r="AM47" s="574"/>
      <c r="AN47" s="569"/>
      <c r="AO47" s="593"/>
    </row>
    <row r="48" spans="1:41" s="570" customFormat="1" ht="12.75" customHeight="1">
      <c r="A48" s="574"/>
      <c r="D48" s="574"/>
      <c r="E48" s="2052"/>
      <c r="F48" s="2053"/>
      <c r="G48" s="2053"/>
      <c r="H48" s="2053"/>
      <c r="I48" s="2053"/>
      <c r="J48" s="2053"/>
      <c r="K48" s="2053"/>
      <c r="L48" s="2053"/>
      <c r="M48" s="2053"/>
      <c r="N48" s="2053"/>
      <c r="O48" s="2053"/>
      <c r="P48" s="2053"/>
      <c r="Q48" s="2053"/>
      <c r="R48" s="2053"/>
      <c r="S48" s="2053"/>
      <c r="T48" s="2053"/>
      <c r="U48" s="2053"/>
      <c r="V48" s="2053"/>
      <c r="W48" s="2053"/>
      <c r="X48" s="2053"/>
      <c r="Y48" s="2053"/>
      <c r="Z48" s="2053"/>
      <c r="AA48" s="2053"/>
      <c r="AB48" s="2053"/>
      <c r="AC48" s="2053"/>
      <c r="AD48" s="2053"/>
      <c r="AE48" s="2053"/>
      <c r="AF48" s="2053"/>
      <c r="AG48" s="2053"/>
      <c r="AH48" s="2053"/>
      <c r="AI48" s="2053"/>
      <c r="AJ48" s="205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0" t="s">
        <v>600</v>
      </c>
      <c r="C50" s="2100"/>
      <c r="D50" s="574"/>
      <c r="E50" s="2126" t="s">
        <v>2327</v>
      </c>
      <c r="F50" s="2127"/>
      <c r="G50" s="2127"/>
      <c r="H50" s="2127"/>
      <c r="I50" s="2127"/>
      <c r="J50" s="2127"/>
      <c r="K50" s="2127"/>
      <c r="L50" s="2127"/>
      <c r="M50" s="2127"/>
      <c r="N50" s="2127"/>
      <c r="O50" s="2127"/>
      <c r="P50" s="2127"/>
      <c r="Q50" s="2127"/>
      <c r="R50" s="2127"/>
      <c r="S50" s="2127"/>
      <c r="T50" s="2127"/>
      <c r="U50" s="2127"/>
      <c r="V50" s="2127"/>
      <c r="W50" s="2127"/>
      <c r="X50" s="2127"/>
      <c r="Y50" s="2127"/>
      <c r="Z50" s="2127"/>
      <c r="AA50" s="2127"/>
      <c r="AB50" s="2127"/>
      <c r="AC50" s="2127"/>
      <c r="AD50" s="2127"/>
      <c r="AE50" s="2127"/>
      <c r="AF50" s="2127"/>
      <c r="AG50" s="2127"/>
      <c r="AH50" s="2127"/>
      <c r="AI50" s="2127"/>
      <c r="AJ50" s="2128"/>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0" t="s">
        <v>600</v>
      </c>
      <c r="C52" s="2100"/>
      <c r="D52" s="574"/>
      <c r="E52" s="2027" t="s">
        <v>2328</v>
      </c>
      <c r="F52" s="2028"/>
      <c r="G52" s="2028"/>
      <c r="H52" s="2028"/>
      <c r="I52" s="2028"/>
      <c r="J52" s="2028"/>
      <c r="K52" s="2028"/>
      <c r="L52" s="2028"/>
      <c r="M52" s="2028"/>
      <c r="N52" s="2028"/>
      <c r="O52" s="2028"/>
      <c r="P52" s="2028"/>
      <c r="Q52" s="2028"/>
      <c r="R52" s="2028"/>
      <c r="S52" s="2028"/>
      <c r="T52" s="2028"/>
      <c r="U52" s="2028"/>
      <c r="V52" s="2028"/>
      <c r="W52" s="2028"/>
      <c r="X52" s="2028"/>
      <c r="Y52" s="2028"/>
      <c r="Z52" s="2028"/>
      <c r="AA52" s="2028"/>
      <c r="AB52" s="2028"/>
      <c r="AC52" s="2028"/>
      <c r="AD52" s="2028"/>
      <c r="AE52" s="2028"/>
      <c r="AF52" s="2028"/>
      <c r="AG52" s="2028"/>
      <c r="AH52" s="2028"/>
      <c r="AI52" s="2028"/>
      <c r="AJ52" s="2029"/>
      <c r="AK52" s="574"/>
      <c r="AL52" s="574"/>
      <c r="AM52" s="574"/>
      <c r="AN52" s="569"/>
    </row>
    <row r="53" spans="1:50" s="570" customFormat="1" ht="12.75" customHeight="1">
      <c r="A53" s="574"/>
      <c r="B53" s="581"/>
      <c r="C53" s="581"/>
      <c r="D53" s="581"/>
      <c r="E53" s="2052"/>
      <c r="F53" s="2053"/>
      <c r="G53" s="2053"/>
      <c r="H53" s="2053"/>
      <c r="I53" s="2053"/>
      <c r="J53" s="2053"/>
      <c r="K53" s="2053"/>
      <c r="L53" s="2053"/>
      <c r="M53" s="2053"/>
      <c r="N53" s="2053"/>
      <c r="O53" s="2053"/>
      <c r="P53" s="2053"/>
      <c r="Q53" s="2053"/>
      <c r="R53" s="2053"/>
      <c r="S53" s="2053"/>
      <c r="T53" s="2053"/>
      <c r="U53" s="2053"/>
      <c r="V53" s="2053"/>
      <c r="W53" s="2053"/>
      <c r="X53" s="2053"/>
      <c r="Y53" s="2053"/>
      <c r="Z53" s="2053"/>
      <c r="AA53" s="2053"/>
      <c r="AB53" s="2053"/>
      <c r="AC53" s="2053"/>
      <c r="AD53" s="2053"/>
      <c r="AE53" s="2053"/>
      <c r="AF53" s="2053"/>
      <c r="AG53" s="2053"/>
      <c r="AH53" s="2053"/>
      <c r="AI53" s="2053"/>
      <c r="AJ53" s="205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3">
        <f>AO36</f>
        <v>0</v>
      </c>
      <c r="AL56" s="2074"/>
      <c r="AM56" s="2075"/>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17" t="s">
        <v>1424</v>
      </c>
      <c r="AF59" s="1917"/>
      <c r="AG59" s="1917"/>
      <c r="AH59" s="1917"/>
      <c r="AI59" s="1917"/>
      <c r="AJ59" s="1917"/>
      <c r="AK59" s="1917"/>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0" t="s">
        <v>600</v>
      </c>
      <c r="C62" s="2100"/>
      <c r="D62" s="581" t="s">
        <v>1425</v>
      </c>
      <c r="E62" s="2092" t="s">
        <v>2329</v>
      </c>
      <c r="F62" s="2093"/>
      <c r="G62" s="2093"/>
      <c r="H62" s="2093"/>
      <c r="I62" s="2093"/>
      <c r="J62" s="2093"/>
      <c r="K62" s="2093"/>
      <c r="L62" s="2093"/>
      <c r="M62" s="2093"/>
      <c r="N62" s="2093"/>
      <c r="O62" s="2093"/>
      <c r="P62" s="2093"/>
      <c r="Q62" s="2093"/>
      <c r="R62" s="2093"/>
      <c r="S62" s="2093"/>
      <c r="T62" s="2093"/>
      <c r="U62" s="2093"/>
      <c r="V62" s="2093"/>
      <c r="W62" s="2093"/>
      <c r="X62" s="2093"/>
      <c r="Y62" s="2093"/>
      <c r="Z62" s="2093"/>
      <c r="AA62" s="2093"/>
      <c r="AB62" s="2093"/>
      <c r="AC62" s="2093"/>
      <c r="AD62" s="2093"/>
      <c r="AE62" s="2093"/>
      <c r="AF62" s="2093"/>
      <c r="AG62" s="2093"/>
      <c r="AH62" s="2093"/>
      <c r="AI62" s="2093"/>
      <c r="AJ62" s="2094"/>
      <c r="AK62" s="577"/>
      <c r="AL62" s="574"/>
      <c r="AM62" s="574"/>
      <c r="AN62" s="569"/>
      <c r="AO62" s="584">
        <f>IF($B62="yes",10,0)</f>
        <v>0</v>
      </c>
    </row>
    <row r="63" spans="1:50" s="570" customFormat="1" ht="12.75" customHeight="1">
      <c r="A63" s="572"/>
      <c r="B63" s="574"/>
      <c r="C63" s="574"/>
      <c r="D63" s="585"/>
      <c r="E63" s="2095"/>
      <c r="F63" s="2096"/>
      <c r="G63" s="2096"/>
      <c r="H63" s="2096"/>
      <c r="I63" s="2096"/>
      <c r="J63" s="2096"/>
      <c r="K63" s="2096"/>
      <c r="L63" s="2096"/>
      <c r="M63" s="2096"/>
      <c r="N63" s="2096"/>
      <c r="O63" s="2096"/>
      <c r="P63" s="2096"/>
      <c r="Q63" s="2096"/>
      <c r="R63" s="2096"/>
      <c r="S63" s="2096"/>
      <c r="T63" s="2096"/>
      <c r="U63" s="2096"/>
      <c r="V63" s="2096"/>
      <c r="W63" s="2096"/>
      <c r="X63" s="2096"/>
      <c r="Y63" s="2096"/>
      <c r="Z63" s="2096"/>
      <c r="AA63" s="2096"/>
      <c r="AB63" s="2096"/>
      <c r="AC63" s="2096"/>
      <c r="AD63" s="2096"/>
      <c r="AE63" s="2096"/>
      <c r="AF63" s="2096"/>
      <c r="AG63" s="2096"/>
      <c r="AH63" s="2096"/>
      <c r="AI63" s="2096"/>
      <c r="AJ63" s="2097"/>
      <c r="AK63" s="577"/>
      <c r="AL63" s="574"/>
      <c r="AM63" s="574"/>
      <c r="AN63" s="569"/>
      <c r="AO63" s="584">
        <f>IF($B68="yes",10,0)</f>
        <v>0</v>
      </c>
    </row>
    <row r="64" spans="1:50" s="570" customFormat="1" ht="12.75" customHeight="1">
      <c r="A64" s="572"/>
      <c r="B64" s="574"/>
      <c r="C64" s="574"/>
      <c r="D64" s="585"/>
      <c r="E64" s="2095"/>
      <c r="F64" s="2096"/>
      <c r="G64" s="2096"/>
      <c r="H64" s="2096"/>
      <c r="I64" s="2096"/>
      <c r="J64" s="2096"/>
      <c r="K64" s="2096"/>
      <c r="L64" s="2096"/>
      <c r="M64" s="2096"/>
      <c r="N64" s="2096"/>
      <c r="O64" s="2096"/>
      <c r="P64" s="2096"/>
      <c r="Q64" s="2096"/>
      <c r="R64" s="2096"/>
      <c r="S64" s="2096"/>
      <c r="T64" s="2096"/>
      <c r="U64" s="2096"/>
      <c r="V64" s="2096"/>
      <c r="W64" s="2096"/>
      <c r="X64" s="2096"/>
      <c r="Y64" s="2096"/>
      <c r="Z64" s="2096"/>
      <c r="AA64" s="2096"/>
      <c r="AB64" s="2096"/>
      <c r="AC64" s="2096"/>
      <c r="AD64" s="2096"/>
      <c r="AE64" s="2096"/>
      <c r="AF64" s="2096"/>
      <c r="AG64" s="2096"/>
      <c r="AH64" s="2096"/>
      <c r="AI64" s="2096"/>
      <c r="AJ64" s="2097"/>
      <c r="AK64" s="577"/>
      <c r="AL64" s="574"/>
      <c r="AM64" s="574"/>
      <c r="AN64" s="569"/>
      <c r="AO64" s="584">
        <f>IF($B75="yes",10,0)</f>
        <v>0</v>
      </c>
    </row>
    <row r="65" spans="1:42" s="570" customFormat="1" ht="12.75" customHeight="1">
      <c r="A65" s="572"/>
      <c r="B65" s="574"/>
      <c r="C65" s="574"/>
      <c r="D65" s="585"/>
      <c r="E65" s="2095"/>
      <c r="F65" s="2096"/>
      <c r="G65" s="2096"/>
      <c r="H65" s="2096"/>
      <c r="I65" s="2096"/>
      <c r="J65" s="2096"/>
      <c r="K65" s="2096"/>
      <c r="L65" s="2096"/>
      <c r="M65" s="2096"/>
      <c r="N65" s="2096"/>
      <c r="O65" s="2096"/>
      <c r="P65" s="2096"/>
      <c r="Q65" s="2096"/>
      <c r="R65" s="2096"/>
      <c r="S65" s="2096"/>
      <c r="T65" s="2096"/>
      <c r="U65" s="2096"/>
      <c r="V65" s="2096"/>
      <c r="W65" s="2096"/>
      <c r="X65" s="2096"/>
      <c r="Y65" s="2096"/>
      <c r="Z65" s="2096"/>
      <c r="AA65" s="2096"/>
      <c r="AB65" s="2096"/>
      <c r="AC65" s="2096"/>
      <c r="AD65" s="2096"/>
      <c r="AE65" s="2096"/>
      <c r="AF65" s="2096"/>
      <c r="AG65" s="2096"/>
      <c r="AH65" s="2096"/>
      <c r="AI65" s="2096"/>
      <c r="AJ65" s="2097"/>
      <c r="AK65" s="577"/>
      <c r="AL65" s="574"/>
      <c r="AM65" s="574"/>
      <c r="AN65" s="569"/>
      <c r="AO65" s="570">
        <f>IF(SUM(AO62:AO64)&gt;10,10,(SUM(AO62:AO64)))</f>
        <v>0</v>
      </c>
      <c r="AP65" s="608" t="s">
        <v>1426</v>
      </c>
    </row>
    <row r="66" spans="1:42" s="570" customFormat="1" ht="12.75" customHeight="1">
      <c r="A66" s="572"/>
      <c r="B66" s="574"/>
      <c r="C66" s="574"/>
      <c r="D66" s="585"/>
      <c r="E66" s="2122"/>
      <c r="F66" s="2123"/>
      <c r="G66" s="2123"/>
      <c r="H66" s="2123"/>
      <c r="I66" s="2123"/>
      <c r="J66" s="2123"/>
      <c r="K66" s="2123"/>
      <c r="L66" s="2123"/>
      <c r="M66" s="2123"/>
      <c r="N66" s="2123"/>
      <c r="O66" s="2123"/>
      <c r="P66" s="2123"/>
      <c r="Q66" s="2123"/>
      <c r="R66" s="2123"/>
      <c r="S66" s="2123"/>
      <c r="T66" s="2123"/>
      <c r="U66" s="2123"/>
      <c r="V66" s="2123"/>
      <c r="W66" s="2123"/>
      <c r="X66" s="2123"/>
      <c r="Y66" s="2123"/>
      <c r="Z66" s="2123"/>
      <c r="AA66" s="2123"/>
      <c r="AB66" s="2123"/>
      <c r="AC66" s="2123"/>
      <c r="AD66" s="2123"/>
      <c r="AE66" s="2123"/>
      <c r="AF66" s="2123"/>
      <c r="AG66" s="2123"/>
      <c r="AH66" s="2123"/>
      <c r="AI66" s="2123"/>
      <c r="AJ66" s="2124"/>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0" t="s">
        <v>600</v>
      </c>
      <c r="C68" s="2100"/>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5" t="s">
        <v>600</v>
      </c>
      <c r="F69" s="2100"/>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0" t="s">
        <v>600</v>
      </c>
      <c r="F70" s="2121"/>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0" t="s">
        <v>600</v>
      </c>
      <c r="F71" s="2121"/>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5" t="s">
        <v>600</v>
      </c>
      <c r="F73" s="2100"/>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0" t="s">
        <v>600</v>
      </c>
      <c r="C75" s="2100"/>
      <c r="D75" s="581" t="s">
        <v>1430</v>
      </c>
      <c r="E75" s="2027" t="s">
        <v>1929</v>
      </c>
      <c r="F75" s="2028"/>
      <c r="G75" s="2028"/>
      <c r="H75" s="2028"/>
      <c r="I75" s="2028"/>
      <c r="J75" s="2028"/>
      <c r="K75" s="2028"/>
      <c r="L75" s="2028"/>
      <c r="M75" s="2028"/>
      <c r="N75" s="2028"/>
      <c r="O75" s="2028"/>
      <c r="P75" s="2028"/>
      <c r="Q75" s="2028"/>
      <c r="R75" s="2028"/>
      <c r="S75" s="2028"/>
      <c r="T75" s="2028"/>
      <c r="U75" s="2028"/>
      <c r="V75" s="2028"/>
      <c r="W75" s="2028"/>
      <c r="X75" s="2028"/>
      <c r="Y75" s="2028"/>
      <c r="Z75" s="2028"/>
      <c r="AA75" s="2028"/>
      <c r="AB75" s="2028"/>
      <c r="AC75" s="2028"/>
      <c r="AD75" s="2028"/>
      <c r="AE75" s="2028"/>
      <c r="AF75" s="2028"/>
      <c r="AG75" s="2028"/>
      <c r="AH75" s="2028"/>
      <c r="AI75" s="2028"/>
      <c r="AJ75" s="2029"/>
      <c r="AK75" s="577"/>
      <c r="AL75" s="574"/>
      <c r="AM75" s="574"/>
      <c r="AN75" s="569"/>
    </row>
    <row r="76" spans="1:42" s="570" customFormat="1" ht="12.75" customHeight="1">
      <c r="A76" s="572"/>
      <c r="B76" s="574"/>
      <c r="C76" s="574"/>
      <c r="D76" s="584"/>
      <c r="E76" s="2052"/>
      <c r="F76" s="2053"/>
      <c r="G76" s="2053"/>
      <c r="H76" s="2053"/>
      <c r="I76" s="2053"/>
      <c r="J76" s="2053"/>
      <c r="K76" s="2053"/>
      <c r="L76" s="2053"/>
      <c r="M76" s="2053"/>
      <c r="N76" s="2053"/>
      <c r="O76" s="2053"/>
      <c r="P76" s="2053"/>
      <c r="Q76" s="2053"/>
      <c r="R76" s="2053"/>
      <c r="S76" s="2053"/>
      <c r="T76" s="2053"/>
      <c r="U76" s="2053"/>
      <c r="V76" s="2053"/>
      <c r="W76" s="2053"/>
      <c r="X76" s="2053"/>
      <c r="Y76" s="2053"/>
      <c r="Z76" s="2053"/>
      <c r="AA76" s="2053"/>
      <c r="AB76" s="2053"/>
      <c r="AC76" s="2053"/>
      <c r="AD76" s="2053"/>
      <c r="AE76" s="2053"/>
      <c r="AF76" s="2053"/>
      <c r="AG76" s="2053"/>
      <c r="AH76" s="2053"/>
      <c r="AI76" s="2053"/>
      <c r="AJ76" s="205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3">
        <f>IF(AK56&gt;0,0,AO65)</f>
        <v>0</v>
      </c>
      <c r="AL78" s="2074"/>
      <c r="AM78" s="2075"/>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17" t="s">
        <v>1415</v>
      </c>
      <c r="AF81" s="1917"/>
      <c r="AG81" s="1917"/>
      <c r="AH81" s="1917"/>
      <c r="AI81" s="1917"/>
      <c r="AJ81" s="1917"/>
      <c r="AK81" s="1917"/>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0" t="s">
        <v>600</v>
      </c>
      <c r="C84" s="2100"/>
      <c r="D84" s="581" t="s">
        <v>1425</v>
      </c>
      <c r="E84" s="2092" t="s">
        <v>1435</v>
      </c>
      <c r="F84" s="2093"/>
      <c r="G84" s="2093"/>
      <c r="H84" s="2093"/>
      <c r="I84" s="2093"/>
      <c r="J84" s="2093"/>
      <c r="K84" s="2093"/>
      <c r="L84" s="2093"/>
      <c r="M84" s="2093"/>
      <c r="N84" s="2093"/>
      <c r="O84" s="2093"/>
      <c r="P84" s="2093"/>
      <c r="Q84" s="2093"/>
      <c r="R84" s="2093"/>
      <c r="S84" s="2093"/>
      <c r="T84" s="2093"/>
      <c r="U84" s="2093"/>
      <c r="V84" s="2093"/>
      <c r="W84" s="2093"/>
      <c r="X84" s="2093"/>
      <c r="Y84" s="2093"/>
      <c r="Z84" s="2093"/>
      <c r="AA84" s="2093"/>
      <c r="AB84" s="2093"/>
      <c r="AC84" s="2093"/>
      <c r="AD84" s="2093"/>
      <c r="AE84" s="2093"/>
      <c r="AF84" s="2093"/>
      <c r="AG84" s="2093"/>
      <c r="AH84" s="2093"/>
      <c r="AI84" s="2093"/>
      <c r="AJ84" s="2094"/>
      <c r="AK84" s="577"/>
      <c r="AL84" s="574"/>
      <c r="AM84" s="574"/>
      <c r="AN84" s="569"/>
    </row>
    <row r="85" spans="1:43" s="570" customFormat="1" ht="12.75" customHeight="1">
      <c r="A85" s="572"/>
      <c r="B85" s="573"/>
      <c r="C85" s="573"/>
      <c r="D85" s="573"/>
      <c r="E85" s="2095"/>
      <c r="F85" s="2096"/>
      <c r="G85" s="2096"/>
      <c r="H85" s="2096"/>
      <c r="I85" s="2096"/>
      <c r="J85" s="2096"/>
      <c r="K85" s="2096"/>
      <c r="L85" s="2096"/>
      <c r="M85" s="2096"/>
      <c r="N85" s="2096"/>
      <c r="O85" s="2096"/>
      <c r="P85" s="2096"/>
      <c r="Q85" s="2096"/>
      <c r="R85" s="2096"/>
      <c r="S85" s="2096"/>
      <c r="T85" s="2096"/>
      <c r="U85" s="2096"/>
      <c r="V85" s="2096"/>
      <c r="W85" s="2096"/>
      <c r="X85" s="2096"/>
      <c r="Y85" s="2096"/>
      <c r="Z85" s="2096"/>
      <c r="AA85" s="2096"/>
      <c r="AB85" s="2096"/>
      <c r="AC85" s="2096"/>
      <c r="AD85" s="2096"/>
      <c r="AE85" s="2096"/>
      <c r="AF85" s="2096"/>
      <c r="AG85" s="2096"/>
      <c r="AH85" s="2096"/>
      <c r="AI85" s="2096"/>
      <c r="AJ85" s="2097"/>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88">
        <f>Application!AC753</f>
        <v>0.55904761904761913</v>
      </c>
      <c r="F87" s="2089"/>
      <c r="G87" s="2089"/>
      <c r="H87" s="2089"/>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19">
        <f>0.6-ROUNDUP(E87,2)</f>
        <v>3.9999999999999925E-2</v>
      </c>
      <c r="F88" s="1891"/>
      <c r="G88" s="1891"/>
      <c r="H88" s="1891"/>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4">
        <f>IF(E88*200&gt;20,20,E88*200)</f>
        <v>7.9999999999999849</v>
      </c>
      <c r="F89" s="2105"/>
      <c r="G89" s="2105"/>
      <c r="H89" s="2105"/>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0" t="s">
        <v>554</v>
      </c>
      <c r="C92" s="2100"/>
      <c r="D92" s="581" t="s">
        <v>1427</v>
      </c>
      <c r="E92" s="2092" t="s">
        <v>1914</v>
      </c>
      <c r="F92" s="2093"/>
      <c r="G92" s="2093"/>
      <c r="H92" s="2093"/>
      <c r="I92" s="2093"/>
      <c r="J92" s="2093"/>
      <c r="K92" s="2093"/>
      <c r="L92" s="2093"/>
      <c r="M92" s="2093"/>
      <c r="N92" s="2093"/>
      <c r="O92" s="2093"/>
      <c r="P92" s="2093"/>
      <c r="Q92" s="2093"/>
      <c r="R92" s="2093"/>
      <c r="S92" s="2093"/>
      <c r="T92" s="2093"/>
      <c r="U92" s="2093"/>
      <c r="V92" s="2093"/>
      <c r="W92" s="2093"/>
      <c r="X92" s="2093"/>
      <c r="Y92" s="2093"/>
      <c r="Z92" s="2093"/>
      <c r="AA92" s="2093"/>
      <c r="AB92" s="2093"/>
      <c r="AC92" s="2093"/>
      <c r="AD92" s="2093"/>
      <c r="AE92" s="2093"/>
      <c r="AF92" s="2093"/>
      <c r="AG92" s="2093"/>
      <c r="AH92" s="2093"/>
      <c r="AI92" s="2093"/>
      <c r="AJ92" s="2094"/>
      <c r="AK92" s="577"/>
      <c r="AL92" s="574"/>
      <c r="AM92" s="574"/>
      <c r="AN92" s="569"/>
    </row>
    <row r="93" spans="1:43" s="570" customFormat="1" ht="12.75" customHeight="1">
      <c r="A93" s="572"/>
      <c r="B93" s="573"/>
      <c r="C93" s="573"/>
      <c r="D93" s="573"/>
      <c r="E93" s="2095"/>
      <c r="F93" s="2096"/>
      <c r="G93" s="2096"/>
      <c r="H93" s="2096"/>
      <c r="I93" s="2096"/>
      <c r="J93" s="2096"/>
      <c r="K93" s="2096"/>
      <c r="L93" s="2096"/>
      <c r="M93" s="2096"/>
      <c r="N93" s="2096"/>
      <c r="O93" s="2096"/>
      <c r="P93" s="2096"/>
      <c r="Q93" s="2096"/>
      <c r="R93" s="2096"/>
      <c r="S93" s="2096"/>
      <c r="T93" s="2096"/>
      <c r="U93" s="2096"/>
      <c r="V93" s="2096"/>
      <c r="W93" s="2096"/>
      <c r="X93" s="2096"/>
      <c r="Y93" s="2096"/>
      <c r="Z93" s="2096"/>
      <c r="AA93" s="2096"/>
      <c r="AB93" s="2096"/>
      <c r="AC93" s="2096"/>
      <c r="AD93" s="2096"/>
      <c r="AE93" s="2096"/>
      <c r="AF93" s="2096"/>
      <c r="AG93" s="2096"/>
      <c r="AH93" s="2096"/>
      <c r="AI93" s="2096"/>
      <c r="AJ93" s="2097"/>
      <c r="AK93" s="577"/>
      <c r="AL93" s="574"/>
      <c r="AM93" s="574"/>
      <c r="AN93" s="569"/>
    </row>
    <row r="94" spans="1:43" s="570" customFormat="1" ht="12.75" customHeight="1">
      <c r="A94" s="572"/>
      <c r="B94" s="573"/>
      <c r="C94" s="573"/>
      <c r="D94" s="573"/>
      <c r="E94" s="2095"/>
      <c r="F94" s="2096"/>
      <c r="G94" s="2096"/>
      <c r="H94" s="2096"/>
      <c r="I94" s="2096"/>
      <c r="J94" s="2096"/>
      <c r="K94" s="2096"/>
      <c r="L94" s="2096"/>
      <c r="M94" s="2096"/>
      <c r="N94" s="2096"/>
      <c r="O94" s="2096"/>
      <c r="P94" s="2096"/>
      <c r="Q94" s="2096"/>
      <c r="R94" s="2096"/>
      <c r="S94" s="2096"/>
      <c r="T94" s="2096"/>
      <c r="U94" s="2096"/>
      <c r="V94" s="2096"/>
      <c r="W94" s="2096"/>
      <c r="X94" s="2096"/>
      <c r="Y94" s="2096"/>
      <c r="Z94" s="2096"/>
      <c r="AA94" s="2096"/>
      <c r="AB94" s="2096"/>
      <c r="AC94" s="2096"/>
      <c r="AD94" s="2096"/>
      <c r="AE94" s="2096"/>
      <c r="AF94" s="2096"/>
      <c r="AG94" s="2096"/>
      <c r="AH94" s="2096"/>
      <c r="AI94" s="2096"/>
      <c r="AJ94" s="2097"/>
      <c r="AK94" s="577"/>
      <c r="AL94" s="574"/>
      <c r="AM94" s="574"/>
      <c r="AN94" s="569"/>
    </row>
    <row r="95" spans="1:43" s="570" customFormat="1" ht="12.75" customHeight="1">
      <c r="A95" s="572"/>
      <c r="B95" s="573"/>
      <c r="C95" s="573"/>
      <c r="D95" s="573"/>
      <c r="E95" s="2095"/>
      <c r="F95" s="2096"/>
      <c r="G95" s="2096"/>
      <c r="H95" s="2096"/>
      <c r="I95" s="2096"/>
      <c r="J95" s="2096"/>
      <c r="K95" s="2096"/>
      <c r="L95" s="2096"/>
      <c r="M95" s="2096"/>
      <c r="N95" s="2096"/>
      <c r="O95" s="2096"/>
      <c r="P95" s="2096"/>
      <c r="Q95" s="2096"/>
      <c r="R95" s="2096"/>
      <c r="S95" s="2096"/>
      <c r="T95" s="2096"/>
      <c r="U95" s="2096"/>
      <c r="V95" s="2096"/>
      <c r="W95" s="2096"/>
      <c r="X95" s="2096"/>
      <c r="Y95" s="2096"/>
      <c r="Z95" s="2096"/>
      <c r="AA95" s="2096"/>
      <c r="AB95" s="2096"/>
      <c r="AC95" s="2096"/>
      <c r="AD95" s="2096"/>
      <c r="AE95" s="2096"/>
      <c r="AF95" s="2096"/>
      <c r="AG95" s="2096"/>
      <c r="AH95" s="2096"/>
      <c r="AI95" s="2096"/>
      <c r="AJ95" s="2097"/>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88">
        <f>Application!AC753</f>
        <v>0.55904761904761913</v>
      </c>
      <c r="F97" s="2089"/>
      <c r="G97" s="2089"/>
      <c r="H97" s="2089"/>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88">
        <f ca="1">SUMIF(Application!AC718:AG752,0.2,Application!G718:J752)/Application!G753+SUMIF(Application!AC718:AG752,0.25,Application!G718:J752)/Application!G753+SUMIF(Application!AC718:AG752,0.3,Application!G718:J752)/Application!G753</f>
        <v>0.10476190476190476</v>
      </c>
      <c r="F98" s="2089"/>
      <c r="G98" s="2089"/>
      <c r="H98" s="2089"/>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88">
        <f ca="1">SUMIF(Application!AC718:AG752,0.35,Application!G718:J752)/Application!G753+SUMIF(Application!AC718:AG752,0.4,Application!G718:J752)/Application!G753+SUMIF(Application!AC718:AG752,0.45,Application!G718:J752)/Application!G753+SUMIF(Application!AC718:AG752,0.5,Application!G718:J752)/Application!G753</f>
        <v>9.5238095238095233E-2</v>
      </c>
      <c r="F99" s="2089"/>
      <c r="G99" s="2089"/>
      <c r="H99" s="2089"/>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86">
        <f ca="1">IF(AND(E97&lt;=0.6,OR(AND(E98&gt;=0.1,E99&gt;=0.1),AND(E98&gt;0.1,(E98+E99)&gt;=0.2))),20,0)</f>
        <v>20</v>
      </c>
      <c r="F100" s="2087"/>
      <c r="G100" s="2087"/>
      <c r="H100" s="2087"/>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3">
        <f ca="1">MAX(AP89,AP100)</f>
        <v>20</v>
      </c>
      <c r="AL103" s="2074"/>
      <c r="AM103" s="2075"/>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17" t="s">
        <v>1424</v>
      </c>
      <c r="AF106" s="1917"/>
      <c r="AG106" s="1917"/>
      <c r="AH106" s="1917"/>
      <c r="AI106" s="1917"/>
      <c r="AJ106" s="1917"/>
      <c r="AK106" s="1917"/>
      <c r="AL106" s="574"/>
      <c r="AM106" s="574"/>
      <c r="AN106" s="569"/>
      <c r="AO106" s="570" t="str">
        <f>Application!B718</f>
        <v>SRO/Studio</v>
      </c>
      <c r="AQ106" s="570">
        <f>Application!O718</f>
        <v>550.20000000000005</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963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1169.8</v>
      </c>
    </row>
    <row r="109" spans="1:49" s="570" customFormat="1" ht="12.75" customHeight="1">
      <c r="A109" s="574"/>
      <c r="B109" s="2100" t="s">
        <v>554</v>
      </c>
      <c r="C109" s="2100"/>
      <c r="D109" s="581" t="s">
        <v>1425</v>
      </c>
      <c r="E109" s="2092" t="s">
        <v>2048</v>
      </c>
      <c r="F109" s="2093"/>
      <c r="G109" s="2093"/>
      <c r="H109" s="2093"/>
      <c r="I109" s="2093"/>
      <c r="J109" s="2093"/>
      <c r="K109" s="2093"/>
      <c r="L109" s="2093"/>
      <c r="M109" s="2093"/>
      <c r="N109" s="2093"/>
      <c r="O109" s="2093"/>
      <c r="P109" s="2093"/>
      <c r="Q109" s="2093"/>
      <c r="R109" s="2093"/>
      <c r="S109" s="2093"/>
      <c r="T109" s="2093"/>
      <c r="U109" s="2093"/>
      <c r="V109" s="2093"/>
      <c r="W109" s="2093"/>
      <c r="X109" s="2093"/>
      <c r="Y109" s="2093"/>
      <c r="Z109" s="2093"/>
      <c r="AA109" s="2093"/>
      <c r="AB109" s="2093"/>
      <c r="AC109" s="2093"/>
      <c r="AD109" s="2093"/>
      <c r="AE109" s="2093"/>
      <c r="AF109" s="2093"/>
      <c r="AG109" s="2093"/>
      <c r="AH109" s="2093"/>
      <c r="AI109" s="2093"/>
      <c r="AJ109" s="2094"/>
      <c r="AK109" s="574"/>
      <c r="AL109" s="574"/>
      <c r="AM109" s="574"/>
      <c r="AN109" s="569"/>
      <c r="AO109" s="570" t="str">
        <f>Application!B721</f>
        <v>1 Bedroom</v>
      </c>
      <c r="AQ109" s="570">
        <f>Application!O721</f>
        <v>606</v>
      </c>
      <c r="AU109" s="570" t="s">
        <v>2030</v>
      </c>
      <c r="AV109" s="629" t="s">
        <v>2031</v>
      </c>
      <c r="AW109" s="570" t="s">
        <v>2032</v>
      </c>
    </row>
    <row r="110" spans="1:49" s="570" customFormat="1" ht="12.75" customHeight="1">
      <c r="A110" s="574"/>
      <c r="B110" s="573"/>
      <c r="C110" s="573"/>
      <c r="D110" s="573"/>
      <c r="E110" s="2095"/>
      <c r="F110" s="2096"/>
      <c r="G110" s="2096"/>
      <c r="H110" s="2096"/>
      <c r="I110" s="2096"/>
      <c r="J110" s="2096"/>
      <c r="K110" s="2096"/>
      <c r="L110" s="2096"/>
      <c r="M110" s="2096"/>
      <c r="N110" s="2096"/>
      <c r="O110" s="2096"/>
      <c r="P110" s="2096"/>
      <c r="Q110" s="2096"/>
      <c r="R110" s="2096"/>
      <c r="S110" s="2096"/>
      <c r="T110" s="2096"/>
      <c r="U110" s="2096"/>
      <c r="V110" s="2096"/>
      <c r="W110" s="2096"/>
      <c r="X110" s="2096"/>
      <c r="Y110" s="2096"/>
      <c r="Z110" s="2096"/>
      <c r="AA110" s="2096"/>
      <c r="AB110" s="2096"/>
      <c r="AC110" s="2096"/>
      <c r="AD110" s="2096"/>
      <c r="AE110" s="2096"/>
      <c r="AF110" s="2096"/>
      <c r="AG110" s="2096"/>
      <c r="AH110" s="2096"/>
      <c r="AI110" s="2096"/>
      <c r="AJ110" s="2097"/>
      <c r="AK110" s="574"/>
      <c r="AL110" s="574"/>
      <c r="AM110" s="574"/>
      <c r="AN110" s="569"/>
      <c r="AO110" s="570" t="str">
        <f>Application!B722</f>
        <v>1 Bedroom</v>
      </c>
      <c r="AQ110" s="570">
        <f>Application!O722</f>
        <v>1048</v>
      </c>
      <c r="AU110" s="890" t="str">
        <f>E118</f>
        <v>Studio/SRO</v>
      </c>
      <c r="AV110" s="570">
        <f t="array" ref="AV110">SUM(IF(Application!B718:F752="SRO/Studio",Application!G718:J752))</f>
        <v>10</v>
      </c>
      <c r="AW110" s="1046">
        <f>AV110/AV116</f>
        <v>9.5238095238095233E-2</v>
      </c>
    </row>
    <row r="111" spans="1:49" s="570" customFormat="1" ht="12.75" customHeight="1">
      <c r="A111" s="574"/>
      <c r="B111" s="573"/>
      <c r="C111" s="573"/>
      <c r="D111" s="573"/>
      <c r="E111" s="2095"/>
      <c r="F111" s="2096"/>
      <c r="G111" s="2096"/>
      <c r="H111" s="2096"/>
      <c r="I111" s="2096"/>
      <c r="J111" s="2096"/>
      <c r="K111" s="2096"/>
      <c r="L111" s="2096"/>
      <c r="M111" s="2096"/>
      <c r="N111" s="2096"/>
      <c r="O111" s="2096"/>
      <c r="P111" s="2096"/>
      <c r="Q111" s="2096"/>
      <c r="R111" s="2096"/>
      <c r="S111" s="2096"/>
      <c r="T111" s="2096"/>
      <c r="U111" s="2096"/>
      <c r="V111" s="2096"/>
      <c r="W111" s="2096"/>
      <c r="X111" s="2096"/>
      <c r="Y111" s="2096"/>
      <c r="Z111" s="2096"/>
      <c r="AA111" s="2096"/>
      <c r="AB111" s="2096"/>
      <c r="AC111" s="2096"/>
      <c r="AD111" s="2096"/>
      <c r="AE111" s="2096"/>
      <c r="AF111" s="2096"/>
      <c r="AG111" s="2096"/>
      <c r="AH111" s="2096"/>
      <c r="AI111" s="2096"/>
      <c r="AJ111" s="2097"/>
      <c r="AK111" s="574"/>
      <c r="AL111" s="574"/>
      <c r="AM111" s="574"/>
      <c r="AN111" s="569"/>
      <c r="AO111" s="570" t="str">
        <f>Application!B723</f>
        <v>1 Bedroom</v>
      </c>
      <c r="AQ111" s="570">
        <f>Application!O723</f>
        <v>1269</v>
      </c>
      <c r="AU111" s="890" t="str">
        <f>J118</f>
        <v>1-bedroom</v>
      </c>
      <c r="AV111" s="570">
        <f t="array" ref="AV111">SUM(IF(Application!B718:F752="1 Bedroom",Application!G718:J752))</f>
        <v>18</v>
      </c>
      <c r="AW111" s="1046">
        <f>AV111/AV116</f>
        <v>0.17142857142857143</v>
      </c>
    </row>
    <row r="112" spans="1:49" s="570" customFormat="1" ht="12.75" customHeight="1">
      <c r="A112" s="574"/>
      <c r="B112" s="573"/>
      <c r="C112" s="573"/>
      <c r="D112" s="573"/>
      <c r="E112" s="2095"/>
      <c r="F112" s="2096"/>
      <c r="G112" s="2096"/>
      <c r="H112" s="2096"/>
      <c r="I112" s="2096"/>
      <c r="J112" s="2096"/>
      <c r="K112" s="2096"/>
      <c r="L112" s="2096"/>
      <c r="M112" s="2096"/>
      <c r="N112" s="2096"/>
      <c r="O112" s="2096"/>
      <c r="P112" s="2096"/>
      <c r="Q112" s="2096"/>
      <c r="R112" s="2096"/>
      <c r="S112" s="2096"/>
      <c r="T112" s="2096"/>
      <c r="U112" s="2096"/>
      <c r="V112" s="2096"/>
      <c r="W112" s="2096"/>
      <c r="X112" s="2096"/>
      <c r="Y112" s="2096"/>
      <c r="Z112" s="2096"/>
      <c r="AA112" s="2096"/>
      <c r="AB112" s="2096"/>
      <c r="AC112" s="2096"/>
      <c r="AD112" s="2096"/>
      <c r="AE112" s="2096"/>
      <c r="AF112" s="2096"/>
      <c r="AG112" s="2096"/>
      <c r="AH112" s="2096"/>
      <c r="AI112" s="2096"/>
      <c r="AJ112" s="2097"/>
      <c r="AK112" s="574"/>
      <c r="AL112" s="574"/>
      <c r="AM112" s="574"/>
      <c r="AN112" s="569"/>
      <c r="AO112" s="570" t="str">
        <f>Application!B724</f>
        <v>2 Bedrooms</v>
      </c>
      <c r="AQ112" s="570">
        <f>Application!O724</f>
        <v>721.2</v>
      </c>
      <c r="AU112" s="890" t="str">
        <f>O118</f>
        <v>2-bedroom</v>
      </c>
      <c r="AV112" s="570">
        <f t="array" ref="AV112">SUM(IF(Application!B718:F752="2 Bedrooms",Application!G718:J752))</f>
        <v>27</v>
      </c>
      <c r="AW112" s="1046">
        <f>AV112/AV116</f>
        <v>0.25714285714285712</v>
      </c>
    </row>
    <row r="113" spans="1:52" s="570" customFormat="1" ht="12.75" customHeight="1">
      <c r="A113" s="574"/>
      <c r="B113" s="573"/>
      <c r="C113" s="573"/>
      <c r="D113" s="573"/>
      <c r="E113" s="2095"/>
      <c r="F113" s="2096"/>
      <c r="G113" s="2096"/>
      <c r="H113" s="2096"/>
      <c r="I113" s="2096"/>
      <c r="J113" s="2096"/>
      <c r="K113" s="2096"/>
      <c r="L113" s="2096"/>
      <c r="M113" s="2096"/>
      <c r="N113" s="2096"/>
      <c r="O113" s="2096"/>
      <c r="P113" s="2096"/>
      <c r="Q113" s="2096"/>
      <c r="R113" s="2096"/>
      <c r="S113" s="2096"/>
      <c r="T113" s="2096"/>
      <c r="U113" s="2096"/>
      <c r="V113" s="2096"/>
      <c r="W113" s="2096"/>
      <c r="X113" s="2096"/>
      <c r="Y113" s="2096"/>
      <c r="Z113" s="2096"/>
      <c r="AA113" s="2096"/>
      <c r="AB113" s="2096"/>
      <c r="AC113" s="2096"/>
      <c r="AD113" s="2096"/>
      <c r="AE113" s="2096"/>
      <c r="AF113" s="2096"/>
      <c r="AG113" s="2096"/>
      <c r="AH113" s="2096"/>
      <c r="AI113" s="2096"/>
      <c r="AJ113" s="2097"/>
      <c r="AK113" s="574"/>
      <c r="AL113" s="574"/>
      <c r="AM113" s="574"/>
      <c r="AN113" s="569"/>
      <c r="AO113" s="570" t="str">
        <f>Application!B725</f>
        <v>2 Bedrooms</v>
      </c>
      <c r="AQ113" s="570">
        <f>Application!O725</f>
        <v>1252.2</v>
      </c>
      <c r="AU113" s="890" t="str">
        <f>T118</f>
        <v>3-bedroom</v>
      </c>
      <c r="AV113" s="570">
        <f t="array" ref="AV113">SUM(IF(Application!B718:F752="3 Bedrooms",Application!G718:J752))</f>
        <v>42</v>
      </c>
      <c r="AW113" s="1046">
        <f>AV113/AV116</f>
        <v>0.4</v>
      </c>
    </row>
    <row r="114" spans="1:52" s="570" customFormat="1" ht="12.75" customHeight="1">
      <c r="A114" s="574"/>
      <c r="B114" s="573"/>
      <c r="C114" s="573"/>
      <c r="D114" s="573"/>
      <c r="E114" s="2095"/>
      <c r="F114" s="2096"/>
      <c r="G114" s="2096"/>
      <c r="H114" s="2096"/>
      <c r="I114" s="2096"/>
      <c r="J114" s="2096"/>
      <c r="K114" s="2096"/>
      <c r="L114" s="2096"/>
      <c r="M114" s="2096"/>
      <c r="N114" s="2096"/>
      <c r="O114" s="2096"/>
      <c r="P114" s="2096"/>
      <c r="Q114" s="2096"/>
      <c r="R114" s="2096"/>
      <c r="S114" s="2096"/>
      <c r="T114" s="2096"/>
      <c r="U114" s="2096"/>
      <c r="V114" s="2096"/>
      <c r="W114" s="2096"/>
      <c r="X114" s="2096"/>
      <c r="Y114" s="2096"/>
      <c r="Z114" s="2096"/>
      <c r="AA114" s="2096"/>
      <c r="AB114" s="2096"/>
      <c r="AC114" s="2096"/>
      <c r="AD114" s="2096"/>
      <c r="AE114" s="2096"/>
      <c r="AF114" s="2096"/>
      <c r="AG114" s="2096"/>
      <c r="AH114" s="2096"/>
      <c r="AI114" s="2096"/>
      <c r="AJ114" s="2097"/>
      <c r="AK114" s="574"/>
      <c r="AL114" s="574"/>
      <c r="AM114" s="574"/>
      <c r="AN114" s="569"/>
      <c r="AO114" s="570" t="str">
        <f>Application!B726</f>
        <v>2 Bedrooms</v>
      </c>
      <c r="AQ114" s="570">
        <f>Application!O726</f>
        <v>1517.2</v>
      </c>
      <c r="AU114" s="890" t="str">
        <f>Y118</f>
        <v>4-bedroom</v>
      </c>
      <c r="AV114" s="570">
        <f t="array" ref="AV114">SUM(IF(Application!B718:F752="4 Bedrooms",Application!G718:J752))</f>
        <v>8</v>
      </c>
      <c r="AW114" s="1046">
        <f>AV114/AV116</f>
        <v>7.6190476190476197E-2</v>
      </c>
    </row>
    <row r="115" spans="1:52" s="570" customFormat="1" ht="12.75" customHeight="1">
      <c r="A115" s="574"/>
      <c r="B115" s="573"/>
      <c r="C115" s="573"/>
      <c r="D115" s="573"/>
      <c r="E115" s="2095"/>
      <c r="F115" s="2096"/>
      <c r="G115" s="2096"/>
      <c r="H115" s="2096"/>
      <c r="I115" s="2096"/>
      <c r="J115" s="2096"/>
      <c r="K115" s="2096"/>
      <c r="L115" s="2096"/>
      <c r="M115" s="2096"/>
      <c r="N115" s="2096"/>
      <c r="O115" s="2096"/>
      <c r="P115" s="2096"/>
      <c r="Q115" s="2096"/>
      <c r="R115" s="2096"/>
      <c r="S115" s="2096"/>
      <c r="T115" s="2096"/>
      <c r="U115" s="2096"/>
      <c r="V115" s="2096"/>
      <c r="W115" s="2096"/>
      <c r="X115" s="2096"/>
      <c r="Y115" s="2096"/>
      <c r="Z115" s="2096"/>
      <c r="AA115" s="2096"/>
      <c r="AB115" s="2096"/>
      <c r="AC115" s="2096"/>
      <c r="AD115" s="2096"/>
      <c r="AE115" s="2096"/>
      <c r="AF115" s="2096"/>
      <c r="AG115" s="2096"/>
      <c r="AH115" s="2096"/>
      <c r="AI115" s="2096"/>
      <c r="AJ115" s="2097"/>
      <c r="AK115" s="574"/>
      <c r="AL115" s="574"/>
      <c r="AM115" s="574"/>
      <c r="AN115" s="569"/>
      <c r="AO115" s="570" t="str">
        <f>Application!B727</f>
        <v>3 Bedrooms</v>
      </c>
      <c r="AQ115" s="570">
        <f>Application!O727</f>
        <v>808.2</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5"/>
      <c r="F116" s="2096"/>
      <c r="G116" s="2096"/>
      <c r="H116" s="2096"/>
      <c r="I116" s="2096"/>
      <c r="J116" s="2096"/>
      <c r="K116" s="2096"/>
      <c r="L116" s="2096"/>
      <c r="M116" s="2096"/>
      <c r="N116" s="2096"/>
      <c r="O116" s="2096"/>
      <c r="P116" s="2096"/>
      <c r="Q116" s="2096"/>
      <c r="R116" s="2096"/>
      <c r="S116" s="2096"/>
      <c r="T116" s="2096"/>
      <c r="U116" s="2096"/>
      <c r="V116" s="2096"/>
      <c r="W116" s="2096"/>
      <c r="X116" s="2096"/>
      <c r="Y116" s="2096"/>
      <c r="Z116" s="2096"/>
      <c r="AA116" s="2096"/>
      <c r="AB116" s="2096"/>
      <c r="AC116" s="2096"/>
      <c r="AD116" s="2096"/>
      <c r="AE116" s="2096"/>
      <c r="AF116" s="2096"/>
      <c r="AG116" s="2096"/>
      <c r="AH116" s="2096"/>
      <c r="AI116" s="2096"/>
      <c r="AJ116" s="2097"/>
      <c r="AK116" s="574"/>
      <c r="AL116" s="574"/>
      <c r="AM116" s="574"/>
      <c r="AN116" s="569"/>
      <c r="AO116" s="570" t="str">
        <f>Application!B728</f>
        <v>3 Bedrooms</v>
      </c>
      <c r="AQ116" s="570">
        <f>Application!O728</f>
        <v>1421</v>
      </c>
      <c r="AV116" s="570">
        <f>SUM(AV110:AV115)</f>
        <v>105</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1727.8</v>
      </c>
    </row>
    <row r="118" spans="1:52" s="570" customFormat="1" ht="12.75" customHeight="1">
      <c r="A118" s="574"/>
      <c r="B118" s="573"/>
      <c r="C118" s="574"/>
      <c r="D118" s="574"/>
      <c r="E118" s="2088" t="s">
        <v>1699</v>
      </c>
      <c r="F118" s="2089"/>
      <c r="G118" s="2089"/>
      <c r="H118" s="2089"/>
      <c r="I118" s="611"/>
      <c r="J118" s="2089" t="s">
        <v>1743</v>
      </c>
      <c r="K118" s="2089"/>
      <c r="L118" s="2089"/>
      <c r="M118" s="2089"/>
      <c r="N118" s="611"/>
      <c r="O118" s="2089" t="s">
        <v>1744</v>
      </c>
      <c r="P118" s="2089"/>
      <c r="Q118" s="2089"/>
      <c r="R118" s="2089"/>
      <c r="S118" s="611"/>
      <c r="T118" s="2089" t="s">
        <v>1444</v>
      </c>
      <c r="U118" s="2089"/>
      <c r="V118" s="2089"/>
      <c r="W118" s="2089"/>
      <c r="X118" s="611"/>
      <c r="Y118" s="2089" t="s">
        <v>1745</v>
      </c>
      <c r="Z118" s="2089"/>
      <c r="AA118" s="2089"/>
      <c r="AB118" s="2089"/>
      <c r="AC118" s="611"/>
      <c r="AD118" s="2089" t="s">
        <v>1746</v>
      </c>
      <c r="AE118" s="2089"/>
      <c r="AF118" s="2089"/>
      <c r="AG118" s="2089"/>
      <c r="AH118" s="611"/>
      <c r="AI118" s="611"/>
      <c r="AJ118" s="613"/>
      <c r="AK118" s="574"/>
      <c r="AL118" s="574"/>
      <c r="AM118" s="574"/>
      <c r="AN118" s="569"/>
      <c r="AO118" s="570" t="str">
        <f>Application!B730</f>
        <v>4 Bedrooms</v>
      </c>
      <c r="AQ118" s="570">
        <f>Application!O730</f>
        <v>848</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4 Bedrooms</v>
      </c>
      <c r="AQ119" s="570">
        <f>Application!O731</f>
        <v>1874</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0">
        <v>1576</v>
      </c>
      <c r="F121" s="2091"/>
      <c r="G121" s="2091"/>
      <c r="H121" s="2091"/>
      <c r="I121" s="898"/>
      <c r="J121" s="2091">
        <v>1901</v>
      </c>
      <c r="K121" s="2091"/>
      <c r="L121" s="2091"/>
      <c r="M121" s="2091"/>
      <c r="N121" s="898"/>
      <c r="O121" s="2091">
        <v>2134</v>
      </c>
      <c r="P121" s="2091"/>
      <c r="Q121" s="2091"/>
      <c r="R121" s="2091"/>
      <c r="S121" s="898"/>
      <c r="T121" s="2091">
        <v>2518</v>
      </c>
      <c r="U121" s="2091"/>
      <c r="V121" s="2091"/>
      <c r="W121" s="2091"/>
      <c r="X121" s="898"/>
      <c r="Y121" s="2091">
        <v>3489</v>
      </c>
      <c r="Z121" s="2091"/>
      <c r="AA121" s="2091"/>
      <c r="AB121" s="2091"/>
      <c r="AC121" s="898"/>
      <c r="AD121" s="2091"/>
      <c r="AE121" s="2091"/>
      <c r="AF121" s="2091"/>
      <c r="AG121" s="2091"/>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098">
        <f>Application!DX670</f>
        <v>1045.8</v>
      </c>
      <c r="F124" s="2099"/>
      <c r="G124" s="2099"/>
      <c r="H124" s="2099"/>
      <c r="I124" s="898"/>
      <c r="J124" s="2099">
        <f>Application!EC670</f>
        <v>1133.9444444444443</v>
      </c>
      <c r="K124" s="2099"/>
      <c r="L124" s="2099"/>
      <c r="M124" s="2099"/>
      <c r="N124" s="898"/>
      <c r="O124" s="2099">
        <f>Application!EH670</f>
        <v>1399.3111111111111</v>
      </c>
      <c r="P124" s="2099"/>
      <c r="Q124" s="2099"/>
      <c r="R124" s="2099"/>
      <c r="S124" s="902"/>
      <c r="T124" s="2099">
        <f>Application!EM670</f>
        <v>1647.5047619047618</v>
      </c>
      <c r="U124" s="2099"/>
      <c r="V124" s="2099"/>
      <c r="W124" s="2099"/>
      <c r="X124" s="902"/>
      <c r="Y124" s="2099">
        <f>Application!ER670</f>
        <v>1745.75</v>
      </c>
      <c r="Z124" s="2099"/>
      <c r="AA124" s="2099"/>
      <c r="AB124" s="2099"/>
      <c r="AC124" s="902"/>
      <c r="AD124" s="2099">
        <f>Application!EW670</f>
        <v>0</v>
      </c>
      <c r="AE124" s="2099"/>
      <c r="AF124" s="2099"/>
      <c r="AG124" s="2099"/>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0">
        <f>(E121-E124)/E121</f>
        <v>0.33642131979695433</v>
      </c>
      <c r="F127" s="1891"/>
      <c r="G127" s="1891"/>
      <c r="H127" s="1892"/>
      <c r="I127" s="611"/>
      <c r="J127" s="1890">
        <f>(J121-J124)/J121</f>
        <v>0.40350108130223866</v>
      </c>
      <c r="K127" s="1891"/>
      <c r="L127" s="1891"/>
      <c r="M127" s="1892"/>
      <c r="N127" s="611"/>
      <c r="O127" s="1890">
        <f>(O121-O124)/O121</f>
        <v>0.34427782984484012</v>
      </c>
      <c r="P127" s="1891"/>
      <c r="Q127" s="1891"/>
      <c r="R127" s="1892"/>
      <c r="S127" s="611"/>
      <c r="T127" s="1890">
        <f>(T121-T124)/T121</f>
        <v>0.34570899050644882</v>
      </c>
      <c r="U127" s="1891"/>
      <c r="V127" s="1891"/>
      <c r="W127" s="1892"/>
      <c r="X127" s="611"/>
      <c r="Y127" s="1890">
        <f>(Y121-Y124)/Y121</f>
        <v>0.49964173115505878</v>
      </c>
      <c r="Z127" s="1891"/>
      <c r="AA127" s="1891"/>
      <c r="AB127" s="1892"/>
      <c r="AC127" s="611"/>
      <c r="AD127" s="1890" t="e">
        <f>(AD121-AD124)/AD121</f>
        <v>#DIV/0!</v>
      </c>
      <c r="AE127" s="1891"/>
      <c r="AF127" s="1891"/>
      <c r="AG127" s="1892"/>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1">
        <f>IF(((E127-0.1)*AW110)&gt;0,((E127-0.1)*AW110),0)</f>
        <v>2.2516316171138508E-2</v>
      </c>
      <c r="F130" s="2102"/>
      <c r="G130" s="2102"/>
      <c r="H130" s="2103"/>
      <c r="I130" s="611"/>
      <c r="J130" s="2101">
        <f>IF(((J127-0.1)*AW111)&gt;0,((J127-0.1)*AW111),0)</f>
        <v>5.2028756794669478E-2</v>
      </c>
      <c r="K130" s="2102"/>
      <c r="L130" s="2102"/>
      <c r="M130" s="2103"/>
      <c r="N130" s="611"/>
      <c r="O130" s="2101">
        <f>IF(((O127-0.1)*AW112)&gt;0,((O127-0.1)*AW112),0)</f>
        <v>6.2814299102958882E-2</v>
      </c>
      <c r="P130" s="2102"/>
      <c r="Q130" s="2102"/>
      <c r="R130" s="2103"/>
      <c r="S130" s="611"/>
      <c r="T130" s="2101">
        <f>IF(((T127-0.1)*AW113)&gt;0,((T127-0.1)*AW113),0)</f>
        <v>9.8283596202579537E-2</v>
      </c>
      <c r="U130" s="2102"/>
      <c r="V130" s="2102"/>
      <c r="W130" s="2103"/>
      <c r="X130" s="611"/>
      <c r="Y130" s="2101">
        <f>IF(((Y127-0.1)*AW114)&gt;0,((Y127-0.1)*AW114),0)</f>
        <v>3.0448893802290194E-2</v>
      </c>
      <c r="Z130" s="2102"/>
      <c r="AA130" s="2102"/>
      <c r="AB130" s="2103"/>
      <c r="AC130" s="611"/>
      <c r="AD130" s="2101" t="e">
        <f>IF(((AD127-0.1)*AW115)&gt;0,((AD127-0.1)*AW115),0)</f>
        <v>#DIV/0!</v>
      </c>
      <c r="AE130" s="2102"/>
      <c r="AF130" s="2102"/>
      <c r="AG130" s="2103"/>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0">
        <f>ROUNDDOWN(SUMIF(E130:AG130,"&gt;0"),2)</f>
        <v>0.26</v>
      </c>
      <c r="F132" s="1891"/>
      <c r="G132" s="1891"/>
      <c r="H132" s="1892"/>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3">
        <f>IF((E132*100)&gt;10,10,E132*100)</f>
        <v>10</v>
      </c>
      <c r="F133" s="2074"/>
      <c r="G133" s="2074"/>
      <c r="H133" s="2075"/>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3">
        <f>E133</f>
        <v>10</v>
      </c>
      <c r="AL137" s="2074"/>
      <c r="AM137" s="2075"/>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17" t="s">
        <v>1424</v>
      </c>
      <c r="AF140" s="1917"/>
      <c r="AG140" s="1917"/>
      <c r="AH140" s="1917"/>
      <c r="AI140" s="1917"/>
      <c r="AJ140" s="1917"/>
      <c r="AK140" s="1917"/>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4" t="s">
        <v>1448</v>
      </c>
      <c r="AG142" s="1984"/>
      <c r="AH142" s="1984"/>
      <c r="AI142" s="1984"/>
      <c r="AJ142" s="1984"/>
      <c r="AK142" s="1984"/>
      <c r="AL142" s="1984"/>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78" t="s">
        <v>2724</v>
      </c>
      <c r="C144" s="2078"/>
      <c r="D144" s="2078"/>
      <c r="E144" s="2078"/>
      <c r="F144" s="2078"/>
      <c r="G144" s="2078"/>
      <c r="H144" s="2078"/>
      <c r="I144" s="2078"/>
      <c r="J144" s="2078"/>
      <c r="K144" s="2078"/>
      <c r="L144" s="2078"/>
      <c r="M144" s="2078"/>
      <c r="N144" s="2078"/>
      <c r="O144" s="2078"/>
      <c r="P144" s="2078"/>
      <c r="Q144" s="2078"/>
      <c r="R144" s="2078"/>
      <c r="S144" s="2078"/>
      <c r="T144" s="2078"/>
      <c r="U144" s="2078"/>
      <c r="V144" s="2078"/>
      <c r="W144" s="2078"/>
      <c r="X144" s="2078"/>
      <c r="Y144" s="2078"/>
      <c r="Z144" s="2078"/>
      <c r="AA144" s="2078"/>
      <c r="AB144" s="2078"/>
      <c r="AC144" s="2078"/>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79" t="s">
        <v>1451</v>
      </c>
      <c r="C147" s="2079"/>
      <c r="D147" s="2079"/>
      <c r="E147" s="2079"/>
      <c r="F147" s="2079"/>
      <c r="G147" s="2079"/>
      <c r="H147" s="2079"/>
      <c r="I147" s="2079"/>
      <c r="J147" s="2079"/>
      <c r="K147" s="2079"/>
      <c r="L147" s="2079"/>
      <c r="M147" s="2079"/>
      <c r="N147" s="2079"/>
      <c r="O147" s="2079"/>
      <c r="P147" s="2079"/>
      <c r="Q147" s="2079"/>
      <c r="R147" s="2079"/>
      <c r="S147" s="2079"/>
      <c r="T147" s="2079"/>
      <c r="U147" s="2079"/>
      <c r="V147" s="2079"/>
      <c r="W147" s="2079"/>
      <c r="X147" s="2079"/>
      <c r="Y147" s="2079"/>
      <c r="Z147" s="2079"/>
      <c r="AA147" s="2079"/>
      <c r="AB147" s="2079"/>
      <c r="AC147" s="2079"/>
      <c r="AD147" s="2079"/>
      <c r="AE147" s="2079"/>
      <c r="AF147" s="2079"/>
      <c r="AG147" s="2079"/>
      <c r="AH147" s="2079"/>
      <c r="AI147" s="2079"/>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0" t="s">
        <v>600</v>
      </c>
      <c r="AC149" s="2020"/>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79" t="s">
        <v>1453</v>
      </c>
      <c r="C152" s="2079"/>
      <c r="D152" s="2079"/>
      <c r="E152" s="2079"/>
      <c r="F152" s="2079"/>
      <c r="G152" s="2079"/>
      <c r="H152" s="2079"/>
      <c r="I152" s="2079"/>
      <c r="J152" s="2079"/>
      <c r="K152" s="2079"/>
      <c r="L152" s="2079"/>
      <c r="M152" s="2079"/>
      <c r="N152" s="2079"/>
      <c r="O152" s="2079"/>
      <c r="P152" s="2079"/>
      <c r="Q152" s="2079"/>
      <c r="R152" s="2079"/>
      <c r="S152" s="2079"/>
      <c r="T152" s="2079"/>
      <c r="U152" s="2079"/>
      <c r="V152" s="2079"/>
      <c r="W152" s="2079"/>
      <c r="X152" s="2079"/>
      <c r="Y152" s="2079"/>
      <c r="Z152" s="2079"/>
      <c r="AA152" s="2079"/>
      <c r="AB152" s="2079"/>
      <c r="AC152" s="2079"/>
      <c r="AD152" s="2079"/>
      <c r="AE152" s="2079"/>
      <c r="AF152" s="2079"/>
      <c r="AG152" s="2079"/>
      <c r="AH152" s="2079"/>
      <c r="AI152" s="2079"/>
      <c r="AJ152" s="2079"/>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44">
        <f>IF($AB$149="N/A",VLOOKUP($B$147,$AO$145:$AP$148,2,FALSE),VLOOKUP($B$152,$AO$150:$AP$152,2,FALSE))</f>
        <v>7</v>
      </c>
      <c r="AK155" s="1944"/>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4" t="s">
        <v>1462</v>
      </c>
      <c r="AG157" s="1984"/>
      <c r="AH157" s="1984"/>
      <c r="AI157" s="1984"/>
      <c r="AJ157" s="1984"/>
      <c r="AK157" s="1984"/>
      <c r="AL157" s="1984"/>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79" t="s">
        <v>1460</v>
      </c>
      <c r="D159" s="2079"/>
      <c r="E159" s="2079"/>
      <c r="F159" s="2079"/>
      <c r="G159" s="2079"/>
      <c r="H159" s="2079"/>
      <c r="I159" s="2079"/>
      <c r="J159" s="2079"/>
      <c r="K159" s="2079"/>
      <c r="L159" s="2079"/>
      <c r="M159" s="2079"/>
      <c r="N159" s="2079"/>
      <c r="O159" s="2079"/>
      <c r="P159" s="2079"/>
      <c r="Q159" s="2079"/>
      <c r="R159" s="2079"/>
      <c r="S159" s="2079"/>
      <c r="T159" s="2079"/>
      <c r="U159" s="2079"/>
      <c r="V159" s="2079"/>
      <c r="W159" s="2079"/>
      <c r="X159" s="2079"/>
      <c r="Y159" s="2079"/>
      <c r="Z159" s="2079"/>
      <c r="AA159" s="2079"/>
      <c r="AB159" s="2079"/>
      <c r="AC159" s="2079"/>
      <c r="AD159" s="2079"/>
      <c r="AE159" s="2079"/>
      <c r="AF159" s="2079"/>
      <c r="AG159" s="2079"/>
      <c r="AH159" s="2079"/>
      <c r="AI159" s="2079"/>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0" t="s">
        <v>600</v>
      </c>
      <c r="AG161" s="2020"/>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79" t="s">
        <v>1453</v>
      </c>
      <c r="D163" s="2079"/>
      <c r="E163" s="2079"/>
      <c r="F163" s="2079"/>
      <c r="G163" s="2079"/>
      <c r="H163" s="2079"/>
      <c r="I163" s="2079"/>
      <c r="J163" s="2079"/>
      <c r="K163" s="2079"/>
      <c r="L163" s="2079"/>
      <c r="M163" s="2079"/>
      <c r="N163" s="2079"/>
      <c r="O163" s="2079"/>
      <c r="P163" s="2079"/>
      <c r="Q163" s="2079"/>
      <c r="R163" s="2079"/>
      <c r="S163" s="2079"/>
      <c r="T163" s="2079"/>
      <c r="U163" s="2079"/>
      <c r="V163" s="2079"/>
      <c r="W163" s="2079"/>
      <c r="X163" s="2079"/>
      <c r="Y163" s="2079"/>
      <c r="Z163" s="2079"/>
      <c r="AA163" s="2079"/>
      <c r="AB163" s="2079"/>
      <c r="AC163" s="2079"/>
      <c r="AD163" s="2079"/>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0" t="str">
        <f>Application!AA335</f>
        <v>Orbach Affordable Management, LLC</v>
      </c>
      <c r="D167" s="2080"/>
      <c r="E167" s="2080"/>
      <c r="F167" s="2080"/>
      <c r="G167" s="2080"/>
      <c r="H167" s="2080"/>
      <c r="I167" s="2080"/>
      <c r="J167" s="2080"/>
      <c r="K167" s="2080"/>
      <c r="L167" s="2080"/>
      <c r="M167" s="2080"/>
      <c r="N167" s="2080"/>
      <c r="O167" s="2080"/>
      <c r="P167" s="2080"/>
      <c r="Q167" s="2080"/>
      <c r="R167" s="2080"/>
      <c r="S167" s="2080"/>
      <c r="T167" s="2080"/>
      <c r="U167" s="2080"/>
      <c r="V167" s="2080"/>
      <c r="W167" s="2080"/>
      <c r="X167" s="2080"/>
      <c r="Y167" s="2080"/>
      <c r="Z167" s="2080"/>
      <c r="AA167" s="2080"/>
      <c r="AB167" s="2080"/>
      <c r="AC167" s="2080"/>
      <c r="AD167" s="2080"/>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3">
        <f>IF($AF$161="N/A",VLOOKUP($C$159,$AO$159:$AP$162,2,FALSE),VLOOKUP($C$163,$AO$166:$AP$168,2,FALSE))</f>
        <v>3</v>
      </c>
      <c r="AK169" s="1943"/>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3">
        <f>$AJ$155+$AJ$169</f>
        <v>10</v>
      </c>
      <c r="AL172" s="2074"/>
      <c r="AM172" s="2075"/>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17" t="s">
        <v>1424</v>
      </c>
      <c r="AF175" s="1917"/>
      <c r="AG175" s="1917"/>
      <c r="AH175" s="1917"/>
      <c r="AI175" s="1917"/>
      <c r="AJ175" s="1917"/>
      <c r="AK175" s="1917"/>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76" t="s">
        <v>1470</v>
      </c>
      <c r="C177" s="2076"/>
      <c r="D177" s="2076"/>
      <c r="E177" s="2076"/>
      <c r="F177" s="2076"/>
      <c r="G177" s="2076"/>
      <c r="H177" s="2076"/>
      <c r="I177" s="2076"/>
      <c r="J177" s="2076"/>
      <c r="K177" s="2076"/>
      <c r="L177" s="2076"/>
      <c r="M177" s="2076"/>
      <c r="N177" s="2076"/>
      <c r="O177" s="2076"/>
      <c r="P177" s="2076"/>
      <c r="Q177" s="2076"/>
      <c r="R177" s="2076"/>
      <c r="S177" s="2076"/>
      <c r="T177" s="2076"/>
      <c r="U177" s="2076"/>
      <c r="V177" s="2076"/>
      <c r="W177" s="2076"/>
      <c r="X177" s="2076"/>
      <c r="Y177" s="2076"/>
      <c r="Z177" s="2076"/>
      <c r="AA177" s="2076"/>
      <c r="AB177" s="2076"/>
      <c r="AC177" s="2076"/>
      <c r="AD177" s="570"/>
      <c r="AE177" s="570"/>
      <c r="AF177" s="1984" t="s">
        <v>1473</v>
      </c>
      <c r="AG177" s="1984"/>
      <c r="AH177" s="1984"/>
      <c r="AI177" s="1984"/>
      <c r="AJ177" s="1984"/>
      <c r="AK177" s="1984"/>
      <c r="AL177" s="1984"/>
      <c r="AN177" s="631"/>
      <c r="AP177" s="584" t="s">
        <v>1068</v>
      </c>
      <c r="AQ177" s="584">
        <v>10</v>
      </c>
    </row>
    <row r="178" spans="1:45" s="584" customFormat="1" ht="12.75" customHeight="1">
      <c r="A178" s="570"/>
      <c r="B178" s="2077" t="s">
        <v>1915</v>
      </c>
      <c r="C178" s="2077"/>
      <c r="D178" s="2077"/>
      <c r="E178" s="2077"/>
      <c r="F178" s="2077"/>
      <c r="G178" s="2077"/>
      <c r="H178" s="2077"/>
      <c r="I178" s="2077"/>
      <c r="J178" s="2077"/>
      <c r="K178" s="2077"/>
      <c r="L178" s="2077"/>
      <c r="M178" s="2077"/>
      <c r="N178" s="2077"/>
      <c r="O178" s="2077"/>
      <c r="P178" s="2077"/>
      <c r="Q178" s="2077"/>
      <c r="R178" s="2077"/>
      <c r="S178" s="2077"/>
      <c r="T178" s="2078" t="s">
        <v>600</v>
      </c>
      <c r="U178" s="2078"/>
      <c r="V178" s="2078"/>
      <c r="W178" s="2078"/>
      <c r="X178" s="2078"/>
      <c r="Y178" s="2078"/>
      <c r="Z178" s="2078"/>
      <c r="AA178" s="2078"/>
      <c r="AB178" s="2078"/>
      <c r="AC178" s="2078"/>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1">
        <f>IF(AK78&gt;0,VLOOKUP($B$177,AP174:AQ180,2,FALSE),0)</f>
        <v>0</v>
      </c>
      <c r="AL180" s="1912"/>
      <c r="AM180" s="1913"/>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17" t="s">
        <v>1482</v>
      </c>
      <c r="AF183" s="1917"/>
      <c r="AG183" s="1917"/>
      <c r="AH183" s="1917"/>
      <c r="AI183" s="1917"/>
      <c r="AJ183" s="1917"/>
      <c r="AK183" s="1917"/>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0" t="s">
        <v>2719</v>
      </c>
      <c r="C188" s="2070"/>
      <c r="D188" s="2070"/>
      <c r="E188" s="2070"/>
      <c r="F188" s="2070"/>
      <c r="G188" s="2070"/>
      <c r="H188" s="2070"/>
      <c r="I188" s="2070"/>
      <c r="J188" s="2070"/>
      <c r="K188" s="2070"/>
      <c r="L188" s="2070"/>
      <c r="M188" s="2070"/>
      <c r="N188" s="2070"/>
      <c r="O188" s="2070"/>
      <c r="P188" s="2070"/>
      <c r="Q188" s="2070"/>
      <c r="R188" s="2070"/>
      <c r="S188" s="2070"/>
      <c r="T188" s="2070"/>
      <c r="U188" s="2070"/>
      <c r="V188" s="2070"/>
      <c r="W188" s="2070"/>
      <c r="X188" s="2070"/>
      <c r="Y188" s="2070"/>
      <c r="Z188" s="2070"/>
      <c r="AA188" s="2070"/>
      <c r="AB188" s="2070"/>
      <c r="AC188" s="880"/>
      <c r="AD188" s="2060">
        <f>Application!AO628</f>
        <v>2110000</v>
      </c>
      <c r="AE188" s="2060"/>
      <c r="AF188" s="2060"/>
      <c r="AG188" s="2060"/>
      <c r="AH188" s="2060"/>
      <c r="AI188" s="2060"/>
      <c r="AJ188" s="2060"/>
      <c r="AK188" s="644"/>
    </row>
    <row r="189" spans="1:45">
      <c r="A189" s="639"/>
      <c r="B189" s="2070"/>
      <c r="C189" s="2070"/>
      <c r="D189" s="2070"/>
      <c r="E189" s="2070"/>
      <c r="F189" s="2070"/>
      <c r="G189" s="2070"/>
      <c r="H189" s="2070"/>
      <c r="I189" s="2070"/>
      <c r="J189" s="2070"/>
      <c r="K189" s="2070"/>
      <c r="L189" s="2070"/>
      <c r="M189" s="2070"/>
      <c r="N189" s="2070"/>
      <c r="O189" s="2070"/>
      <c r="P189" s="2070"/>
      <c r="Q189" s="2070"/>
      <c r="R189" s="2070"/>
      <c r="S189" s="2070"/>
      <c r="T189" s="2070"/>
      <c r="U189" s="2070"/>
      <c r="V189" s="2070"/>
      <c r="W189" s="2070"/>
      <c r="X189" s="2070"/>
      <c r="Y189" s="2070"/>
      <c r="Z189" s="2070"/>
      <c r="AA189" s="2070"/>
      <c r="AB189" s="2070"/>
      <c r="AC189" s="880"/>
      <c r="AD189" s="2060"/>
      <c r="AE189" s="2060"/>
      <c r="AF189" s="2060"/>
      <c r="AG189" s="2060"/>
      <c r="AH189" s="2060"/>
      <c r="AI189" s="2060"/>
      <c r="AJ189" s="2060"/>
      <c r="AK189" s="644"/>
    </row>
    <row r="190" spans="1:45">
      <c r="A190" s="639"/>
      <c r="B190" s="2070"/>
      <c r="C190" s="2070"/>
      <c r="D190" s="2070"/>
      <c r="E190" s="2070"/>
      <c r="F190" s="2070"/>
      <c r="G190" s="2070"/>
      <c r="H190" s="2070"/>
      <c r="I190" s="2070"/>
      <c r="J190" s="2070"/>
      <c r="K190" s="2070"/>
      <c r="L190" s="2070"/>
      <c r="M190" s="2070"/>
      <c r="N190" s="2070"/>
      <c r="O190" s="2070"/>
      <c r="P190" s="2070"/>
      <c r="Q190" s="2070"/>
      <c r="R190" s="2070"/>
      <c r="S190" s="2070"/>
      <c r="T190" s="2070"/>
      <c r="U190" s="2070"/>
      <c r="V190" s="2070"/>
      <c r="W190" s="2070"/>
      <c r="X190" s="2070"/>
      <c r="Y190" s="2070"/>
      <c r="Z190" s="2070"/>
      <c r="AA190" s="2070"/>
      <c r="AB190" s="2070"/>
      <c r="AC190" s="880"/>
      <c r="AD190" s="2060"/>
      <c r="AE190" s="2060"/>
      <c r="AF190" s="2060"/>
      <c r="AG190" s="2060"/>
      <c r="AH190" s="2060"/>
      <c r="AI190" s="2060"/>
      <c r="AJ190" s="2060"/>
      <c r="AK190" s="644"/>
    </row>
    <row r="191" spans="1:45">
      <c r="A191" s="639"/>
      <c r="B191" s="2070"/>
      <c r="C191" s="2070"/>
      <c r="D191" s="2070"/>
      <c r="E191" s="2070"/>
      <c r="F191" s="2070"/>
      <c r="G191" s="2070"/>
      <c r="H191" s="2070"/>
      <c r="I191" s="2070"/>
      <c r="J191" s="2070"/>
      <c r="K191" s="2070"/>
      <c r="L191" s="2070"/>
      <c r="M191" s="2070"/>
      <c r="N191" s="2070"/>
      <c r="O191" s="2070"/>
      <c r="P191" s="2070"/>
      <c r="Q191" s="2070"/>
      <c r="R191" s="2070"/>
      <c r="S191" s="2070"/>
      <c r="T191" s="2070"/>
      <c r="U191" s="2070"/>
      <c r="V191" s="2070"/>
      <c r="W191" s="2070"/>
      <c r="X191" s="2070"/>
      <c r="Y191" s="2070"/>
      <c r="Z191" s="2070"/>
      <c r="AA191" s="2070"/>
      <c r="AB191" s="2070"/>
      <c r="AC191" s="880"/>
      <c r="AD191" s="2060"/>
      <c r="AE191" s="2060"/>
      <c r="AF191" s="2060"/>
      <c r="AG191" s="2060"/>
      <c r="AH191" s="2060"/>
      <c r="AI191" s="2060"/>
      <c r="AJ191" s="2060"/>
      <c r="AK191" s="644"/>
    </row>
    <row r="192" spans="1:45">
      <c r="A192" s="639"/>
      <c r="B192" s="2070"/>
      <c r="C192" s="2070"/>
      <c r="D192" s="2070"/>
      <c r="E192" s="2070"/>
      <c r="F192" s="2070"/>
      <c r="G192" s="2070"/>
      <c r="H192" s="2070"/>
      <c r="I192" s="2070"/>
      <c r="J192" s="2070"/>
      <c r="K192" s="2070"/>
      <c r="L192" s="2070"/>
      <c r="M192" s="2070"/>
      <c r="N192" s="2070"/>
      <c r="O192" s="2070"/>
      <c r="P192" s="2070"/>
      <c r="Q192" s="2070"/>
      <c r="R192" s="2070"/>
      <c r="S192" s="2070"/>
      <c r="T192" s="2070"/>
      <c r="U192" s="2070"/>
      <c r="V192" s="2070"/>
      <c r="W192" s="2070"/>
      <c r="X192" s="2070"/>
      <c r="Y192" s="2070"/>
      <c r="Z192" s="2070"/>
      <c r="AA192" s="2070"/>
      <c r="AB192" s="2070"/>
      <c r="AC192" s="880"/>
      <c r="AD192" s="2060"/>
      <c r="AE192" s="2060"/>
      <c r="AF192" s="2060"/>
      <c r="AG192" s="2060"/>
      <c r="AH192" s="2060"/>
      <c r="AI192" s="2060"/>
      <c r="AJ192" s="2060"/>
      <c r="AK192" s="644"/>
    </row>
    <row r="193" spans="1:37">
      <c r="A193" s="639"/>
      <c r="B193" s="2070"/>
      <c r="C193" s="2070"/>
      <c r="D193" s="2070"/>
      <c r="E193" s="2070"/>
      <c r="F193" s="2070"/>
      <c r="G193" s="2070"/>
      <c r="H193" s="2070"/>
      <c r="I193" s="2070"/>
      <c r="J193" s="2070"/>
      <c r="K193" s="2070"/>
      <c r="L193" s="2070"/>
      <c r="M193" s="2070"/>
      <c r="N193" s="2070"/>
      <c r="O193" s="2070"/>
      <c r="P193" s="2070"/>
      <c r="Q193" s="2070"/>
      <c r="R193" s="2070"/>
      <c r="S193" s="2070"/>
      <c r="T193" s="2070"/>
      <c r="U193" s="2070"/>
      <c r="V193" s="2070"/>
      <c r="W193" s="2070"/>
      <c r="X193" s="2070"/>
      <c r="Y193" s="2070"/>
      <c r="Z193" s="2070"/>
      <c r="AA193" s="2070"/>
      <c r="AB193" s="2070"/>
      <c r="AC193" s="880"/>
      <c r="AD193" s="2060"/>
      <c r="AE193" s="2060"/>
      <c r="AF193" s="2060"/>
      <c r="AG193" s="2060"/>
      <c r="AH193" s="2060"/>
      <c r="AI193" s="2060"/>
      <c r="AJ193" s="2060"/>
      <c r="AK193" s="644"/>
    </row>
    <row r="194" spans="1:37">
      <c r="A194" s="639"/>
      <c r="B194" s="2070"/>
      <c r="C194" s="2070"/>
      <c r="D194" s="2070"/>
      <c r="E194" s="2070"/>
      <c r="F194" s="2070"/>
      <c r="G194" s="2070"/>
      <c r="H194" s="2070"/>
      <c r="I194" s="2070"/>
      <c r="J194" s="2070"/>
      <c r="K194" s="2070"/>
      <c r="L194" s="2070"/>
      <c r="M194" s="2070"/>
      <c r="N194" s="2070"/>
      <c r="O194" s="2070"/>
      <c r="P194" s="2070"/>
      <c r="Q194" s="2070"/>
      <c r="R194" s="2070"/>
      <c r="S194" s="2070"/>
      <c r="T194" s="2070"/>
      <c r="U194" s="2070"/>
      <c r="V194" s="2070"/>
      <c r="W194" s="2070"/>
      <c r="X194" s="2070"/>
      <c r="Y194" s="2070"/>
      <c r="Z194" s="2070"/>
      <c r="AA194" s="2070"/>
      <c r="AB194" s="2070"/>
      <c r="AC194" s="880"/>
      <c r="AD194" s="2060"/>
      <c r="AE194" s="2060"/>
      <c r="AF194" s="2060"/>
      <c r="AG194" s="2060"/>
      <c r="AH194" s="2060"/>
      <c r="AI194" s="2060"/>
      <c r="AJ194" s="2060"/>
      <c r="AK194" s="644"/>
    </row>
    <row r="195" spans="1:37">
      <c r="A195" s="639"/>
      <c r="B195" s="2070"/>
      <c r="C195" s="2070"/>
      <c r="D195" s="2070"/>
      <c r="E195" s="2070"/>
      <c r="F195" s="2070"/>
      <c r="G195" s="2070"/>
      <c r="H195" s="2070"/>
      <c r="I195" s="2070"/>
      <c r="J195" s="2070"/>
      <c r="K195" s="2070"/>
      <c r="L195" s="2070"/>
      <c r="M195" s="2070"/>
      <c r="N195" s="2070"/>
      <c r="O195" s="2070"/>
      <c r="P195" s="2070"/>
      <c r="Q195" s="2070"/>
      <c r="R195" s="2070"/>
      <c r="S195" s="2070"/>
      <c r="T195" s="2070"/>
      <c r="U195" s="2070"/>
      <c r="V195" s="2070"/>
      <c r="W195" s="2070"/>
      <c r="X195" s="2070"/>
      <c r="Y195" s="2070"/>
      <c r="Z195" s="2070"/>
      <c r="AA195" s="2070"/>
      <c r="AB195" s="2070"/>
      <c r="AC195" s="880"/>
      <c r="AD195" s="2060"/>
      <c r="AE195" s="2060"/>
      <c r="AF195" s="2060"/>
      <c r="AG195" s="2060"/>
      <c r="AH195" s="2060"/>
      <c r="AI195" s="2060"/>
      <c r="AJ195" s="2060"/>
      <c r="AK195" s="644"/>
    </row>
    <row r="196" spans="1:37">
      <c r="A196" s="639"/>
      <c r="B196" s="2070"/>
      <c r="C196" s="2070"/>
      <c r="D196" s="2070"/>
      <c r="E196" s="2070"/>
      <c r="F196" s="2070"/>
      <c r="G196" s="2070"/>
      <c r="H196" s="2070"/>
      <c r="I196" s="2070"/>
      <c r="J196" s="2070"/>
      <c r="K196" s="2070"/>
      <c r="L196" s="2070"/>
      <c r="M196" s="2070"/>
      <c r="N196" s="2070"/>
      <c r="O196" s="2070"/>
      <c r="P196" s="2070"/>
      <c r="Q196" s="2070"/>
      <c r="R196" s="2070"/>
      <c r="S196" s="2070"/>
      <c r="T196" s="2070"/>
      <c r="U196" s="2070"/>
      <c r="V196" s="2070"/>
      <c r="W196" s="2070"/>
      <c r="X196" s="2070"/>
      <c r="Y196" s="2070"/>
      <c r="Z196" s="2070"/>
      <c r="AA196" s="2070"/>
      <c r="AB196" s="2070"/>
      <c r="AC196" s="880"/>
      <c r="AD196" s="2060"/>
      <c r="AE196" s="2060"/>
      <c r="AF196" s="2060"/>
      <c r="AG196" s="2060"/>
      <c r="AH196" s="2060"/>
      <c r="AI196" s="2060"/>
      <c r="AJ196" s="2060"/>
      <c r="AK196" s="644"/>
    </row>
    <row r="197" spans="1:37">
      <c r="A197" s="639"/>
      <c r="B197" s="2070"/>
      <c r="C197" s="2070"/>
      <c r="D197" s="2070"/>
      <c r="E197" s="2070"/>
      <c r="F197" s="2070"/>
      <c r="G197" s="2070"/>
      <c r="H197" s="2070"/>
      <c r="I197" s="2070"/>
      <c r="J197" s="2070"/>
      <c r="K197" s="2070"/>
      <c r="L197" s="2070"/>
      <c r="M197" s="2070"/>
      <c r="N197" s="2070"/>
      <c r="O197" s="2070"/>
      <c r="P197" s="2070"/>
      <c r="Q197" s="2070"/>
      <c r="R197" s="2070"/>
      <c r="S197" s="2070"/>
      <c r="T197" s="2070"/>
      <c r="U197" s="2070"/>
      <c r="V197" s="2070"/>
      <c r="W197" s="2070"/>
      <c r="X197" s="2070"/>
      <c r="Y197" s="2070"/>
      <c r="Z197" s="2070"/>
      <c r="AA197" s="2070"/>
      <c r="AB197" s="2070"/>
      <c r="AC197" s="880"/>
      <c r="AD197" s="2060"/>
      <c r="AE197" s="2060"/>
      <c r="AF197" s="2060"/>
      <c r="AG197" s="2060"/>
      <c r="AH197" s="2060"/>
      <c r="AI197" s="2060"/>
      <c r="AJ197" s="2060"/>
      <c r="AK197" s="644"/>
    </row>
    <row r="198" spans="1:37">
      <c r="A198" s="639"/>
      <c r="B198" s="1931" t="s">
        <v>1738</v>
      </c>
      <c r="C198" s="1931"/>
      <c r="D198" s="1931"/>
      <c r="E198" s="1931"/>
      <c r="F198" s="1931"/>
      <c r="G198" s="1931"/>
      <c r="H198" s="1931"/>
      <c r="I198" s="1931"/>
      <c r="J198" s="1931"/>
      <c r="K198" s="1931"/>
      <c r="L198" s="1931"/>
      <c r="M198" s="1931"/>
      <c r="N198" s="1931"/>
      <c r="O198" s="1931"/>
      <c r="P198" s="1931"/>
      <c r="Q198" s="1931"/>
      <c r="R198" s="1931"/>
      <c r="S198" s="1931"/>
      <c r="T198" s="1931"/>
      <c r="U198" s="1931"/>
      <c r="V198" s="1931"/>
      <c r="W198" s="1931"/>
      <c r="X198" s="1931"/>
      <c r="Y198" s="1931"/>
      <c r="Z198" s="1931"/>
      <c r="AA198" s="1931"/>
      <c r="AB198" s="1931"/>
      <c r="AC198" s="570"/>
      <c r="AD198" s="2058">
        <f>AB249</f>
        <v>12331757.567084592</v>
      </c>
      <c r="AE198" s="2058"/>
      <c r="AF198" s="2058"/>
      <c r="AG198" s="2058"/>
      <c r="AH198" s="2058"/>
      <c r="AI198" s="2058"/>
      <c r="AJ198" s="2058"/>
      <c r="AK198" s="644"/>
    </row>
    <row r="199" spans="1:37">
      <c r="A199" s="639"/>
      <c r="B199" s="1929" t="s">
        <v>1701</v>
      </c>
      <c r="C199" s="1929"/>
      <c r="D199" s="1929"/>
      <c r="E199" s="1929"/>
      <c r="F199" s="1929"/>
      <c r="G199" s="1929"/>
      <c r="H199" s="1929"/>
      <c r="I199" s="1929"/>
      <c r="J199" s="1929"/>
      <c r="K199" s="1929"/>
      <c r="L199" s="1929"/>
      <c r="M199" s="1929"/>
      <c r="N199" s="1929"/>
      <c r="O199" s="1929"/>
      <c r="P199" s="1929"/>
      <c r="Q199" s="1929"/>
      <c r="R199" s="1929"/>
      <c r="S199" s="1929"/>
      <c r="T199" s="1929"/>
      <c r="U199" s="1929"/>
      <c r="V199" s="1929"/>
      <c r="W199" s="1929"/>
      <c r="X199" s="1929"/>
      <c r="Y199" s="1929"/>
      <c r="Z199" s="1929"/>
      <c r="AA199" s="1929"/>
      <c r="AB199" s="1929"/>
      <c r="AC199" s="880"/>
      <c r="AD199" s="2059">
        <f>'Sources and Uses Budget'!B15</f>
        <v>0</v>
      </c>
      <c r="AE199" s="2059"/>
      <c r="AF199" s="2059"/>
      <c r="AG199" s="2059"/>
      <c r="AH199" s="2059"/>
      <c r="AI199" s="2059"/>
      <c r="AJ199" s="2059"/>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64">
        <f>SUM(AD188:AJ198)-AD199</f>
        <v>14441757.567084592</v>
      </c>
      <c r="AE200" s="2064"/>
      <c r="AF200" s="2064"/>
      <c r="AG200" s="2064"/>
      <c r="AH200" s="2064"/>
      <c r="AI200" s="2064"/>
      <c r="AJ200" s="2064"/>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4" t="s">
        <v>1718</v>
      </c>
      <c r="J211" s="2084"/>
      <c r="K211" s="2084"/>
      <c r="L211" s="570"/>
      <c r="M211" s="570"/>
      <c r="N211" s="570"/>
      <c r="O211" s="570"/>
      <c r="P211" s="570"/>
      <c r="Q211" s="570"/>
      <c r="R211" s="570"/>
      <c r="S211" s="570"/>
      <c r="T211" s="1895" t="s">
        <v>1712</v>
      </c>
      <c r="U211" s="1895"/>
      <c r="V211" s="1895"/>
      <c r="W211" s="1895"/>
      <c r="X211" s="1895"/>
      <c r="Y211" s="1895"/>
      <c r="Z211" s="883"/>
      <c r="AA211" s="523"/>
      <c r="AB211" s="2081" t="s">
        <v>1713</v>
      </c>
      <c r="AC211" s="2081"/>
      <c r="AD211" s="2081"/>
      <c r="AE211" s="2081"/>
      <c r="AF211" s="2081"/>
      <c r="AG211" s="2081"/>
      <c r="AH211" s="861"/>
      <c r="AI211" s="861"/>
      <c r="AJ211" s="861"/>
      <c r="AK211" s="644"/>
    </row>
    <row r="212" spans="1:37">
      <c r="A212" s="639"/>
      <c r="B212" s="2082" t="s">
        <v>1698</v>
      </c>
      <c r="C212" s="2082"/>
      <c r="D212" s="2082"/>
      <c r="E212" s="2082"/>
      <c r="F212" s="2082"/>
      <c r="G212" s="2082"/>
      <c r="I212" s="2083" t="s">
        <v>1719</v>
      </c>
      <c r="J212" s="2083"/>
      <c r="K212" s="2083"/>
      <c r="L212" s="1043"/>
      <c r="N212" s="1930" t="s">
        <v>1714</v>
      </c>
      <c r="O212" s="1930"/>
      <c r="P212" s="1930"/>
      <c r="Q212" s="1930"/>
      <c r="R212" s="1930"/>
      <c r="T212" s="1930" t="s">
        <v>1715</v>
      </c>
      <c r="U212" s="1930"/>
      <c r="V212" s="1930"/>
      <c r="W212" s="1930"/>
      <c r="X212" s="1930"/>
      <c r="Y212" s="1930"/>
      <c r="Z212" s="884"/>
      <c r="AA212" s="523"/>
      <c r="AB212" s="1933" t="s">
        <v>1716</v>
      </c>
      <c r="AC212" s="1933"/>
      <c r="AD212" s="1933"/>
      <c r="AE212" s="1933"/>
      <c r="AF212" s="1933"/>
      <c r="AG212" s="1933"/>
      <c r="AH212" s="861"/>
      <c r="AI212" s="861"/>
      <c r="AJ212" s="861"/>
      <c r="AK212" s="644"/>
    </row>
    <row r="213" spans="1:37">
      <c r="A213" s="639"/>
      <c r="B213" s="1932" t="s">
        <v>325</v>
      </c>
      <c r="C213" s="1932"/>
      <c r="D213" s="1932"/>
      <c r="E213" s="1932"/>
      <c r="F213" s="1932"/>
      <c r="G213" s="1932"/>
      <c r="H213" s="886"/>
      <c r="I213" s="1900">
        <v>10</v>
      </c>
      <c r="J213" s="1900"/>
      <c r="K213" s="1900"/>
      <c r="L213" s="1043"/>
      <c r="N213" s="1897">
        <f>826-Application!M832</f>
        <v>757</v>
      </c>
      <c r="O213" s="1897"/>
      <c r="P213" s="1897"/>
      <c r="Q213" s="1897"/>
      <c r="R213" s="1897"/>
      <c r="T213" s="1896">
        <f>'Subsidy Contract Calculation'!F6</f>
        <v>1400</v>
      </c>
      <c r="U213" s="1896"/>
      <c r="V213" s="1896"/>
      <c r="W213" s="1896"/>
      <c r="X213" s="1896"/>
      <c r="Y213" s="1896"/>
      <c r="Z213" s="885"/>
      <c r="AA213" s="885"/>
      <c r="AB213" s="1894">
        <f t="shared" ref="AB213:AB222" si="0">MAX(($T213-$N213)*$I213*12,0)</f>
        <v>77160</v>
      </c>
      <c r="AC213" s="1894"/>
      <c r="AD213" s="1894"/>
      <c r="AE213" s="1894"/>
      <c r="AF213" s="1894"/>
      <c r="AG213" s="1894"/>
      <c r="AH213" s="861"/>
      <c r="AI213" s="861"/>
      <c r="AJ213" s="861"/>
      <c r="AK213" s="644"/>
    </row>
    <row r="214" spans="1:37">
      <c r="A214" s="639"/>
      <c r="B214" s="1932" t="s">
        <v>2720</v>
      </c>
      <c r="C214" s="1932"/>
      <c r="D214" s="1932"/>
      <c r="E214" s="1932"/>
      <c r="F214" s="1932"/>
      <c r="G214" s="1932"/>
      <c r="I214" s="1900">
        <v>18</v>
      </c>
      <c r="J214" s="1900"/>
      <c r="K214" s="1900"/>
      <c r="L214" s="1043"/>
      <c r="N214" s="1897">
        <f>884-Application!Q832</f>
        <v>827</v>
      </c>
      <c r="O214" s="1897"/>
      <c r="P214" s="1897"/>
      <c r="Q214" s="1897"/>
      <c r="R214" s="1897"/>
      <c r="T214" s="1896">
        <f>'Subsidy Contract Calculation'!F9</f>
        <v>1625</v>
      </c>
      <c r="U214" s="1896"/>
      <c r="V214" s="1896"/>
      <c r="W214" s="1896"/>
      <c r="X214" s="1896"/>
      <c r="Y214" s="1896"/>
      <c r="Z214" s="885"/>
      <c r="AA214" s="885"/>
      <c r="AB214" s="1894">
        <f t="shared" si="0"/>
        <v>172368</v>
      </c>
      <c r="AC214" s="1894"/>
      <c r="AD214" s="1894"/>
      <c r="AE214" s="1894"/>
      <c r="AF214" s="1894"/>
      <c r="AG214" s="1894"/>
      <c r="AH214" s="861"/>
      <c r="AI214" s="861"/>
      <c r="AJ214" s="861"/>
      <c r="AK214" s="644"/>
    </row>
    <row r="215" spans="1:37">
      <c r="A215" s="639"/>
      <c r="B215" s="1932" t="s">
        <v>2721</v>
      </c>
      <c r="C215" s="1932"/>
      <c r="D215" s="1932"/>
      <c r="E215" s="1932"/>
      <c r="F215" s="1932"/>
      <c r="G215" s="1932"/>
      <c r="I215" s="1900">
        <v>27</v>
      </c>
      <c r="J215" s="1900"/>
      <c r="K215" s="1900"/>
      <c r="L215" s="1043"/>
      <c r="N215" s="1897">
        <f>1061-Application!U832</f>
        <v>987</v>
      </c>
      <c r="O215" s="1897"/>
      <c r="P215" s="1897"/>
      <c r="Q215" s="1897"/>
      <c r="R215" s="1897"/>
      <c r="T215" s="1896">
        <f>'Subsidy Contract Calculation'!F12</f>
        <v>1975</v>
      </c>
      <c r="U215" s="1896"/>
      <c r="V215" s="1896"/>
      <c r="W215" s="1896"/>
      <c r="X215" s="1896"/>
      <c r="Y215" s="1896"/>
      <c r="Z215" s="885"/>
      <c r="AA215" s="885"/>
      <c r="AB215" s="1894">
        <f t="shared" si="0"/>
        <v>320112</v>
      </c>
      <c r="AC215" s="1894"/>
      <c r="AD215" s="1894"/>
      <c r="AE215" s="1894"/>
      <c r="AF215" s="1894"/>
      <c r="AG215" s="1894"/>
      <c r="AH215" s="861"/>
      <c r="AI215" s="861"/>
      <c r="AJ215" s="861"/>
      <c r="AK215" s="644"/>
    </row>
    <row r="216" spans="1:37">
      <c r="A216" s="639"/>
      <c r="B216" s="1932" t="s">
        <v>2722</v>
      </c>
      <c r="C216" s="1932"/>
      <c r="D216" s="1932"/>
      <c r="E216" s="1932"/>
      <c r="F216" s="1932"/>
      <c r="G216" s="1932"/>
      <c r="I216" s="1900">
        <v>42</v>
      </c>
      <c r="J216" s="1900"/>
      <c r="K216" s="1900"/>
      <c r="L216" s="1043"/>
      <c r="N216" s="1897">
        <f>1226-Application!Y832</f>
        <v>1115</v>
      </c>
      <c r="O216" s="1897"/>
      <c r="P216" s="1897"/>
      <c r="Q216" s="1897"/>
      <c r="R216" s="1897"/>
      <c r="T216" s="1896">
        <f>'Subsidy Contract Calculation'!F15</f>
        <v>2350</v>
      </c>
      <c r="U216" s="1896"/>
      <c r="V216" s="1896"/>
      <c r="W216" s="1896"/>
      <c r="X216" s="1896"/>
      <c r="Y216" s="1896"/>
      <c r="Z216" s="885"/>
      <c r="AA216" s="885"/>
      <c r="AB216" s="1894">
        <f t="shared" si="0"/>
        <v>622440</v>
      </c>
      <c r="AC216" s="1894"/>
      <c r="AD216" s="1894"/>
      <c r="AE216" s="1894"/>
      <c r="AF216" s="1894"/>
      <c r="AG216" s="1894"/>
      <c r="AH216" s="861"/>
      <c r="AI216" s="861"/>
      <c r="AJ216" s="861"/>
      <c r="AK216" s="644"/>
    </row>
    <row r="217" spans="1:37">
      <c r="A217" s="639"/>
      <c r="B217" s="1932" t="s">
        <v>2723</v>
      </c>
      <c r="C217" s="1932"/>
      <c r="D217" s="1932"/>
      <c r="E217" s="1932"/>
      <c r="F217" s="1932"/>
      <c r="G217" s="1932"/>
      <c r="I217" s="1900">
        <v>8</v>
      </c>
      <c r="J217" s="1900"/>
      <c r="K217" s="1900"/>
      <c r="L217" s="1050"/>
      <c r="N217" s="1897">
        <f>1368-Application!AC832</f>
        <v>1190</v>
      </c>
      <c r="O217" s="1897"/>
      <c r="P217" s="1897"/>
      <c r="Q217" s="1897"/>
      <c r="R217" s="1897"/>
      <c r="T217" s="1896">
        <f>'Subsidy Contract Calculation'!F17</f>
        <v>2575</v>
      </c>
      <c r="U217" s="1896"/>
      <c r="V217" s="1896"/>
      <c r="W217" s="1896"/>
      <c r="X217" s="1896"/>
      <c r="Y217" s="1896"/>
      <c r="Z217" s="885"/>
      <c r="AA217" s="885"/>
      <c r="AB217" s="1894">
        <f t="shared" si="0"/>
        <v>132960</v>
      </c>
      <c r="AC217" s="1894"/>
      <c r="AD217" s="1894"/>
      <c r="AE217" s="1894"/>
      <c r="AF217" s="1894"/>
      <c r="AG217" s="1894"/>
      <c r="AH217" s="861"/>
      <c r="AI217" s="861"/>
      <c r="AJ217" s="861"/>
      <c r="AK217" s="644"/>
    </row>
    <row r="218" spans="1:37">
      <c r="A218" s="639"/>
      <c r="B218" s="1932" t="s">
        <v>1291</v>
      </c>
      <c r="C218" s="1932"/>
      <c r="D218" s="1932"/>
      <c r="E218" s="1932"/>
      <c r="F218" s="1932"/>
      <c r="G218" s="1932"/>
      <c r="I218" s="1900"/>
      <c r="J218" s="1900"/>
      <c r="K218" s="1900"/>
      <c r="L218" s="1050"/>
      <c r="N218" s="1897"/>
      <c r="O218" s="1897"/>
      <c r="P218" s="1897"/>
      <c r="Q218" s="1897"/>
      <c r="R218" s="1897"/>
      <c r="T218" s="1896"/>
      <c r="U218" s="1896"/>
      <c r="V218" s="1896"/>
      <c r="W218" s="1896"/>
      <c r="X218" s="1896"/>
      <c r="Y218" s="1896"/>
      <c r="Z218" s="885"/>
      <c r="AA218" s="885"/>
      <c r="AB218" s="1894">
        <f t="shared" si="0"/>
        <v>0</v>
      </c>
      <c r="AC218" s="1894"/>
      <c r="AD218" s="1894"/>
      <c r="AE218" s="1894"/>
      <c r="AF218" s="1894"/>
      <c r="AG218" s="1894"/>
      <c r="AH218" s="861"/>
      <c r="AI218" s="861"/>
      <c r="AJ218" s="861"/>
      <c r="AK218" s="644"/>
    </row>
    <row r="219" spans="1:37">
      <c r="A219" s="639"/>
      <c r="B219" s="1932" t="s">
        <v>1291</v>
      </c>
      <c r="C219" s="1932"/>
      <c r="D219" s="1932"/>
      <c r="E219" s="1932"/>
      <c r="F219" s="1932"/>
      <c r="G219" s="1932"/>
      <c r="I219" s="1900"/>
      <c r="J219" s="1900"/>
      <c r="K219" s="1900"/>
      <c r="L219" s="1050"/>
      <c r="N219" s="1897"/>
      <c r="O219" s="1897"/>
      <c r="P219" s="1897"/>
      <c r="Q219" s="1897"/>
      <c r="R219" s="1897"/>
      <c r="T219" s="1896"/>
      <c r="U219" s="1896"/>
      <c r="V219" s="1896"/>
      <c r="W219" s="1896"/>
      <c r="X219" s="1896"/>
      <c r="Y219" s="1896"/>
      <c r="Z219" s="885"/>
      <c r="AA219" s="885"/>
      <c r="AB219" s="1894">
        <f t="shared" si="0"/>
        <v>0</v>
      </c>
      <c r="AC219" s="1894"/>
      <c r="AD219" s="1894"/>
      <c r="AE219" s="1894"/>
      <c r="AF219" s="1894"/>
      <c r="AG219" s="1894"/>
      <c r="AH219" s="861"/>
      <c r="AI219" s="861"/>
      <c r="AJ219" s="861"/>
      <c r="AK219" s="644"/>
    </row>
    <row r="220" spans="1:37">
      <c r="A220" s="639"/>
      <c r="B220" s="1932" t="s">
        <v>1291</v>
      </c>
      <c r="C220" s="1932"/>
      <c r="D220" s="1932"/>
      <c r="E220" s="1932"/>
      <c r="F220" s="1932"/>
      <c r="G220" s="1932"/>
      <c r="I220" s="1900"/>
      <c r="J220" s="1900"/>
      <c r="K220" s="1900"/>
      <c r="L220" s="1050"/>
      <c r="N220" s="1897"/>
      <c r="O220" s="1897"/>
      <c r="P220" s="1897"/>
      <c r="Q220" s="1897"/>
      <c r="R220" s="1897"/>
      <c r="T220" s="1896"/>
      <c r="U220" s="1896"/>
      <c r="V220" s="1896"/>
      <c r="W220" s="1896"/>
      <c r="X220" s="1896"/>
      <c r="Y220" s="1896"/>
      <c r="Z220" s="885"/>
      <c r="AA220" s="885"/>
      <c r="AB220" s="1894">
        <f t="shared" si="0"/>
        <v>0</v>
      </c>
      <c r="AC220" s="1894"/>
      <c r="AD220" s="1894"/>
      <c r="AE220" s="1894"/>
      <c r="AF220" s="1894"/>
      <c r="AG220" s="1894"/>
      <c r="AH220" s="861"/>
      <c r="AI220" s="861"/>
      <c r="AJ220" s="861"/>
      <c r="AK220" s="644"/>
    </row>
    <row r="221" spans="1:37">
      <c r="A221" s="639"/>
      <c r="B221" s="1932" t="s">
        <v>1291</v>
      </c>
      <c r="C221" s="1932"/>
      <c r="D221" s="1932"/>
      <c r="E221" s="1932"/>
      <c r="F221" s="1932"/>
      <c r="G221" s="1932"/>
      <c r="I221" s="1900"/>
      <c r="J221" s="1900"/>
      <c r="K221" s="1900"/>
      <c r="L221" s="1050"/>
      <c r="N221" s="1897"/>
      <c r="O221" s="1897"/>
      <c r="P221" s="1897"/>
      <c r="Q221" s="1897"/>
      <c r="R221" s="1897"/>
      <c r="T221" s="1896"/>
      <c r="U221" s="1896"/>
      <c r="V221" s="1896"/>
      <c r="W221" s="1896"/>
      <c r="X221" s="1896"/>
      <c r="Y221" s="1896"/>
      <c r="Z221" s="885"/>
      <c r="AA221" s="885"/>
      <c r="AB221" s="1894">
        <f t="shared" si="0"/>
        <v>0</v>
      </c>
      <c r="AC221" s="1894"/>
      <c r="AD221" s="1894"/>
      <c r="AE221" s="1894"/>
      <c r="AF221" s="1894"/>
      <c r="AG221" s="1894"/>
      <c r="AH221" s="861"/>
      <c r="AI221" s="861"/>
      <c r="AJ221" s="861"/>
      <c r="AK221" s="644"/>
    </row>
    <row r="222" spans="1:37">
      <c r="A222" s="639"/>
      <c r="B222" s="1932" t="s">
        <v>1291</v>
      </c>
      <c r="C222" s="1932"/>
      <c r="D222" s="1932"/>
      <c r="E222" s="1932"/>
      <c r="F222" s="1932"/>
      <c r="G222" s="1932"/>
      <c r="I222" s="2085"/>
      <c r="J222" s="2085"/>
      <c r="K222" s="2085"/>
      <c r="L222" s="1050"/>
      <c r="N222" s="1897"/>
      <c r="O222" s="1897"/>
      <c r="P222" s="1897"/>
      <c r="Q222" s="1897"/>
      <c r="R222" s="1897"/>
      <c r="T222" s="1896"/>
      <c r="U222" s="1896"/>
      <c r="V222" s="1896"/>
      <c r="W222" s="1896"/>
      <c r="X222" s="1896"/>
      <c r="Y222" s="1896"/>
      <c r="Z222" s="885"/>
      <c r="AA222" s="885"/>
      <c r="AB222" s="1901">
        <f t="shared" si="0"/>
        <v>0</v>
      </c>
      <c r="AC222" s="1901"/>
      <c r="AD222" s="1901"/>
      <c r="AE222" s="1901"/>
      <c r="AF222" s="1901"/>
      <c r="AG222" s="1901"/>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894">
        <f>SUM(AB213:AB222)</f>
        <v>1325040</v>
      </c>
      <c r="AC223" s="1894"/>
      <c r="AD223" s="1894"/>
      <c r="AE223" s="1894"/>
      <c r="AF223" s="1894"/>
      <c r="AG223" s="1894"/>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4"/>
      <c r="AC229" s="1934"/>
      <c r="AD229" s="1934"/>
      <c r="AE229" s="1934"/>
      <c r="AF229" s="1934"/>
      <c r="AG229" s="1934"/>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4"/>
      <c r="AC232" s="1934"/>
      <c r="AD232" s="1934"/>
      <c r="AE232" s="1934"/>
      <c r="AF232" s="1934"/>
      <c r="AG232" s="1934"/>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3"/>
      <c r="AC233" s="1893"/>
      <c r="AD233" s="1893"/>
      <c r="AE233" s="1893"/>
      <c r="AF233" s="1893"/>
      <c r="AG233" s="1893"/>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2">
        <f>IFERROR(AB232/AB233,0)</f>
        <v>0</v>
      </c>
      <c r="AC234" s="1902"/>
      <c r="AD234" s="1902"/>
      <c r="AE234" s="1902"/>
      <c r="AF234" s="1902"/>
      <c r="AG234" s="1902"/>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1">
        <f>MAX(AB229,AB234)</f>
        <v>0</v>
      </c>
      <c r="AC236" s="1901"/>
      <c r="AD236" s="1901"/>
      <c r="AE236" s="1901"/>
      <c r="AF236" s="1901"/>
      <c r="AG236" s="1901"/>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4">
        <f>AB223+AB236</f>
        <v>1325040</v>
      </c>
      <c r="AC239" s="1894"/>
      <c r="AD239" s="1894"/>
      <c r="AE239" s="1894"/>
      <c r="AF239" s="1894"/>
      <c r="AG239" s="1894"/>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68">
        <v>0.05</v>
      </c>
      <c r="AC240" s="2068"/>
      <c r="AD240" s="2068"/>
      <c r="AE240" s="2068"/>
      <c r="AF240" s="2068"/>
      <c r="AG240" s="2068"/>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69">
        <f>AB239-(AB239*AB240)</f>
        <v>1258788</v>
      </c>
      <c r="AC241" s="2069"/>
      <c r="AD241" s="2069"/>
      <c r="AE241" s="2069"/>
      <c r="AF241" s="2069"/>
      <c r="AG241" s="2069"/>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4">
        <f>AB241/AB247</f>
        <v>1094598.2608695652</v>
      </c>
      <c r="AC243" s="1894"/>
      <c r="AD243" s="1894"/>
      <c r="AE243" s="1894"/>
      <c r="AF243" s="1894"/>
      <c r="AG243" s="1894"/>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1">
        <v>15</v>
      </c>
      <c r="AC245" s="2081"/>
      <c r="AD245" s="2081"/>
      <c r="AE245" s="2081"/>
      <c r="AF245" s="2081"/>
      <c r="AG245" s="2081"/>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1">
        <v>0.04</v>
      </c>
      <c r="AC246" s="2071"/>
      <c r="AD246" s="2071"/>
      <c r="AE246" s="2071"/>
      <c r="AF246" s="2071"/>
      <c r="AG246" s="2071"/>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2">
        <v>1.1499999999999999</v>
      </c>
      <c r="AC247" s="2072"/>
      <c r="AD247" s="2072"/>
      <c r="AE247" s="2072"/>
      <c r="AF247" s="2072"/>
      <c r="AG247" s="2072"/>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1">
        <f>PV(AB246/12,AB245*12,-AB243/12, ,0)</f>
        <v>12331757.567084592</v>
      </c>
      <c r="AC249" s="2062"/>
      <c r="AD249" s="2062"/>
      <c r="AE249" s="2062"/>
      <c r="AF249" s="2062"/>
      <c r="AG249" s="2063"/>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5">
        <f>IFERROR(('Sources and Uses Budget'!D105/'Sources and Uses Budget'!B105),0)</f>
        <v>0</v>
      </c>
      <c r="AC255" s="2066"/>
      <c r="AD255" s="2066"/>
      <c r="AE255" s="2066"/>
      <c r="AF255" s="2066"/>
      <c r="AG255" s="2067"/>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08">
        <f>AD200*(1-AB255)</f>
        <v>14441757.567084592</v>
      </c>
      <c r="AH257" s="1908"/>
      <c r="AI257" s="1908"/>
      <c r="AJ257" s="1908"/>
      <c r="AK257" s="1908"/>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08">
        <f>'Sources and Uses Budget'!C105</f>
        <v>46936060</v>
      </c>
      <c r="AH258" s="1908"/>
      <c r="AI258" s="1908"/>
      <c r="AJ258" s="1908"/>
      <c r="AK258" s="190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57">
        <f>ROUNDDOWN(IF(AND(C281="Yes",AK78=10),((AG257*2)/AG258),AG257/AG258),2)</f>
        <v>0.3</v>
      </c>
      <c r="AH259" s="2057"/>
      <c r="AI259" s="2057"/>
      <c r="AJ259" s="2057"/>
      <c r="AK259" s="2057"/>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46">
        <f>IFERROR(IF(AG259=0,0,IF((AG259*100)&gt;8,8,(AG259*100))),0)</f>
        <v>8</v>
      </c>
      <c r="AL262" s="2046"/>
      <c r="AM262" s="2047"/>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26" t="s">
        <v>554</v>
      </c>
      <c r="D267" s="1926"/>
      <c r="E267" s="581"/>
      <c r="F267" s="1877" t="s">
        <v>2338</v>
      </c>
      <c r="G267" s="1878"/>
      <c r="H267" s="1878"/>
      <c r="I267" s="1878"/>
      <c r="J267" s="1878"/>
      <c r="K267" s="1878"/>
      <c r="L267" s="1878"/>
      <c r="M267" s="1878"/>
      <c r="N267" s="1878"/>
      <c r="O267" s="1878"/>
      <c r="P267" s="1878"/>
      <c r="Q267" s="1878"/>
      <c r="R267" s="1878"/>
      <c r="S267" s="1878"/>
      <c r="T267" s="1878"/>
      <c r="U267" s="1878"/>
      <c r="V267" s="1878"/>
      <c r="W267" s="1878"/>
      <c r="X267" s="1878"/>
      <c r="Y267" s="1878"/>
      <c r="Z267" s="1878"/>
      <c r="AA267" s="1878"/>
      <c r="AB267" s="1878"/>
      <c r="AC267" s="1878"/>
      <c r="AD267" s="1879"/>
      <c r="AE267" s="584"/>
      <c r="AF267" s="669"/>
      <c r="AG267" s="2055" t="s">
        <v>1473</v>
      </c>
      <c r="AH267" s="2055"/>
      <c r="AI267" s="2055"/>
      <c r="AJ267" s="2055"/>
      <c r="AK267" s="584"/>
      <c r="AL267" s="584"/>
      <c r="AM267" s="584"/>
      <c r="AO267" s="584"/>
    </row>
    <row r="268" spans="1:52" ht="13.7" customHeight="1">
      <c r="A268" s="584"/>
      <c r="B268" s="630"/>
      <c r="C268" s="670"/>
      <c r="D268" s="584"/>
      <c r="E268" s="581"/>
      <c r="F268" s="1880"/>
      <c r="G268" s="1881"/>
      <c r="H268" s="1881"/>
      <c r="I268" s="1881"/>
      <c r="J268" s="1881"/>
      <c r="K268" s="1881"/>
      <c r="L268" s="1881"/>
      <c r="M268" s="1881"/>
      <c r="N268" s="1881"/>
      <c r="O268" s="1881"/>
      <c r="P268" s="1881"/>
      <c r="Q268" s="1881"/>
      <c r="R268" s="1881"/>
      <c r="S268" s="1881"/>
      <c r="T268" s="1881"/>
      <c r="U268" s="1881"/>
      <c r="V268" s="1881"/>
      <c r="W268" s="1881"/>
      <c r="X268" s="1881"/>
      <c r="Y268" s="1881"/>
      <c r="Z268" s="1881"/>
      <c r="AA268" s="1881"/>
      <c r="AB268" s="1881"/>
      <c r="AC268" s="1881"/>
      <c r="AD268" s="1882"/>
      <c r="AE268" s="584"/>
      <c r="AF268" s="669"/>
      <c r="AG268" s="669"/>
      <c r="AH268" s="669"/>
      <c r="AI268" s="669"/>
      <c r="AJ268" s="584"/>
      <c r="AK268" s="584"/>
      <c r="AL268" s="584"/>
      <c r="AM268" s="584"/>
      <c r="AO268" s="584"/>
    </row>
    <row r="269" spans="1:52">
      <c r="A269" s="584"/>
      <c r="B269" s="630"/>
      <c r="C269" s="670"/>
      <c r="D269" s="584"/>
      <c r="E269" s="581"/>
      <c r="F269" s="1880"/>
      <c r="G269" s="1881"/>
      <c r="H269" s="1881"/>
      <c r="I269" s="1881"/>
      <c r="J269" s="1881"/>
      <c r="K269" s="1881"/>
      <c r="L269" s="1881"/>
      <c r="M269" s="1881"/>
      <c r="N269" s="1881"/>
      <c r="O269" s="1881"/>
      <c r="P269" s="1881"/>
      <c r="Q269" s="1881"/>
      <c r="R269" s="1881"/>
      <c r="S269" s="1881"/>
      <c r="T269" s="1881"/>
      <c r="U269" s="1881"/>
      <c r="V269" s="1881"/>
      <c r="W269" s="1881"/>
      <c r="X269" s="1881"/>
      <c r="Y269" s="1881"/>
      <c r="Z269" s="1881"/>
      <c r="AA269" s="1881"/>
      <c r="AB269" s="1881"/>
      <c r="AC269" s="1881"/>
      <c r="AD269" s="1882"/>
      <c r="AE269" s="584"/>
      <c r="AF269" s="669"/>
      <c r="AG269" s="669"/>
      <c r="AH269" s="669"/>
      <c r="AI269" s="669"/>
      <c r="AJ269" s="584"/>
      <c r="AK269" s="584"/>
      <c r="AL269" s="584"/>
      <c r="AM269" s="584"/>
      <c r="AO269" s="584"/>
      <c r="AP269" s="671"/>
    </row>
    <row r="270" spans="1:52">
      <c r="A270" s="584"/>
      <c r="B270" s="630"/>
      <c r="C270" s="670"/>
      <c r="D270" s="584"/>
      <c r="E270" s="581"/>
      <c r="F270" s="1880"/>
      <c r="G270" s="1881"/>
      <c r="H270" s="1881"/>
      <c r="I270" s="1881"/>
      <c r="J270" s="1881"/>
      <c r="K270" s="1881"/>
      <c r="L270" s="1881"/>
      <c r="M270" s="1881"/>
      <c r="N270" s="1881"/>
      <c r="O270" s="1881"/>
      <c r="P270" s="1881"/>
      <c r="Q270" s="1881"/>
      <c r="R270" s="1881"/>
      <c r="S270" s="1881"/>
      <c r="T270" s="1881"/>
      <c r="U270" s="1881"/>
      <c r="V270" s="1881"/>
      <c r="W270" s="1881"/>
      <c r="X270" s="1881"/>
      <c r="Y270" s="1881"/>
      <c r="Z270" s="1881"/>
      <c r="AA270" s="1881"/>
      <c r="AB270" s="1881"/>
      <c r="AC270" s="1881"/>
      <c r="AD270" s="1882"/>
      <c r="AE270" s="584"/>
      <c r="AF270" s="669"/>
      <c r="AG270" s="669"/>
      <c r="AH270" s="669"/>
      <c r="AI270" s="669"/>
      <c r="AJ270" s="584"/>
      <c r="AK270" s="584"/>
      <c r="AL270" s="584"/>
      <c r="AM270" s="584"/>
      <c r="AO270" s="584"/>
      <c r="AP270" s="671"/>
    </row>
    <row r="271" spans="1:52" ht="13.7" customHeight="1">
      <c r="A271" s="584"/>
      <c r="B271" s="630"/>
      <c r="C271" s="2056"/>
      <c r="D271" s="2056"/>
      <c r="E271" s="581"/>
      <c r="F271" s="1883"/>
      <c r="G271" s="1884"/>
      <c r="H271" s="1884"/>
      <c r="I271" s="1884"/>
      <c r="J271" s="1884"/>
      <c r="K271" s="1884"/>
      <c r="L271" s="1884"/>
      <c r="M271" s="1884"/>
      <c r="N271" s="1884"/>
      <c r="O271" s="1884"/>
      <c r="P271" s="1884"/>
      <c r="Q271" s="1884"/>
      <c r="R271" s="1884"/>
      <c r="S271" s="1884"/>
      <c r="T271" s="1884"/>
      <c r="U271" s="1884"/>
      <c r="V271" s="1884"/>
      <c r="W271" s="1884"/>
      <c r="X271" s="1884"/>
      <c r="Y271" s="1884"/>
      <c r="Z271" s="1884"/>
      <c r="AA271" s="1884"/>
      <c r="AB271" s="1884"/>
      <c r="AC271" s="1884"/>
      <c r="AD271" s="1885"/>
      <c r="AE271" s="584"/>
      <c r="AF271" s="669"/>
      <c r="AG271" s="2055"/>
      <c r="AH271" s="2055"/>
      <c r="AI271" s="2055"/>
      <c r="AJ271" s="2055"/>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46">
        <f>IF($C$267="yes",10,0)</f>
        <v>10</v>
      </c>
      <c r="AL274" s="2046"/>
      <c r="AM274" s="2047"/>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0" t="s">
        <v>1492</v>
      </c>
      <c r="B281" s="1650"/>
      <c r="C281" s="2020" t="s">
        <v>600</v>
      </c>
      <c r="D281" s="1926"/>
      <c r="E281" s="581"/>
      <c r="F281" s="2048" t="s">
        <v>1493</v>
      </c>
      <c r="G281" s="2049"/>
      <c r="H281" s="2049"/>
      <c r="I281" s="2049"/>
      <c r="J281" s="2049"/>
      <c r="K281" s="2049"/>
      <c r="L281" s="2049"/>
      <c r="M281" s="2049"/>
      <c r="N281" s="2049"/>
      <c r="O281" s="2049"/>
      <c r="P281" s="2049"/>
      <c r="Q281" s="2049"/>
      <c r="R281" s="2049"/>
      <c r="S281" s="2049"/>
      <c r="T281" s="2049"/>
      <c r="U281" s="2049"/>
      <c r="V281" s="2049"/>
      <c r="W281" s="2049"/>
      <c r="X281" s="2049"/>
      <c r="Y281" s="2049"/>
      <c r="Z281" s="2049"/>
      <c r="AA281" s="2049"/>
      <c r="AB281" s="2049"/>
      <c r="AC281" s="2049"/>
      <c r="AD281" s="2050"/>
      <c r="AE281" s="676"/>
      <c r="AF281" s="584"/>
      <c r="AG281" s="2051" t="s">
        <v>2331</v>
      </c>
      <c r="AH281" s="2051"/>
      <c r="AI281" s="2051"/>
      <c r="AJ281" s="2051"/>
      <c r="AK281" s="2051"/>
      <c r="AL281" s="584"/>
      <c r="AM281" s="584"/>
      <c r="AN281" s="73"/>
      <c r="AO281" s="14"/>
      <c r="AP281" s="30"/>
      <c r="AS281" s="604"/>
      <c r="AT281" s="604"/>
      <c r="AU281" s="604"/>
      <c r="AV281" s="32"/>
      <c r="AW281" s="32"/>
    </row>
    <row r="282" spans="1:49">
      <c r="A282" s="674"/>
      <c r="B282" s="630"/>
      <c r="F282" s="1903"/>
      <c r="G282" s="1904"/>
      <c r="H282" s="1904"/>
      <c r="I282" s="1904"/>
      <c r="J282" s="1904"/>
      <c r="K282" s="1904"/>
      <c r="L282" s="1904"/>
      <c r="M282" s="1904"/>
      <c r="N282" s="1904"/>
      <c r="O282" s="1904"/>
      <c r="P282" s="1904"/>
      <c r="Q282" s="1904"/>
      <c r="R282" s="1904"/>
      <c r="S282" s="1904"/>
      <c r="T282" s="1904"/>
      <c r="U282" s="1904"/>
      <c r="V282" s="1904"/>
      <c r="W282" s="1904"/>
      <c r="X282" s="1904"/>
      <c r="Y282" s="1904"/>
      <c r="Z282" s="1904"/>
      <c r="AA282" s="1904"/>
      <c r="AB282" s="1904"/>
      <c r="AC282" s="1904"/>
      <c r="AD282" s="190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3"/>
      <c r="G283" s="1904"/>
      <c r="H283" s="1904"/>
      <c r="I283" s="1904"/>
      <c r="J283" s="1904"/>
      <c r="K283" s="1904"/>
      <c r="L283" s="1904"/>
      <c r="M283" s="1904"/>
      <c r="N283" s="1904"/>
      <c r="O283" s="1904"/>
      <c r="P283" s="1904"/>
      <c r="Q283" s="1904"/>
      <c r="R283" s="1904"/>
      <c r="S283" s="1904"/>
      <c r="T283" s="1904"/>
      <c r="U283" s="1904"/>
      <c r="V283" s="1904"/>
      <c r="W283" s="1904"/>
      <c r="X283" s="1904"/>
      <c r="Y283" s="1904"/>
      <c r="Z283" s="1904"/>
      <c r="AA283" s="1904"/>
      <c r="AB283" s="1904"/>
      <c r="AC283" s="1904"/>
      <c r="AD283" s="1905"/>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3" t="s">
        <v>2339</v>
      </c>
      <c r="G284" s="1904"/>
      <c r="H284" s="1904"/>
      <c r="I284" s="1904"/>
      <c r="J284" s="1904"/>
      <c r="K284" s="1904"/>
      <c r="L284" s="1904"/>
      <c r="M284" s="1904"/>
      <c r="N284" s="1904"/>
      <c r="O284" s="1904"/>
      <c r="P284" s="1904"/>
      <c r="Q284" s="1904"/>
      <c r="R284" s="1904"/>
      <c r="S284" s="1904"/>
      <c r="T284" s="1904"/>
      <c r="U284" s="1904"/>
      <c r="V284" s="1904"/>
      <c r="W284" s="1904"/>
      <c r="X284" s="1904"/>
      <c r="Y284" s="1904"/>
      <c r="Z284" s="1904"/>
      <c r="AA284" s="1904"/>
      <c r="AB284" s="1904"/>
      <c r="AC284" s="1904"/>
      <c r="AD284" s="1905"/>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c r="A285" s="674"/>
      <c r="B285" s="630"/>
      <c r="F285" s="1903"/>
      <c r="G285" s="1904"/>
      <c r="H285" s="1904"/>
      <c r="I285" s="1904"/>
      <c r="J285" s="1904"/>
      <c r="K285" s="1904"/>
      <c r="L285" s="1904"/>
      <c r="M285" s="1904"/>
      <c r="N285" s="1904"/>
      <c r="O285" s="1904"/>
      <c r="P285" s="1904"/>
      <c r="Q285" s="1904"/>
      <c r="R285" s="1904"/>
      <c r="S285" s="1904"/>
      <c r="T285" s="1904"/>
      <c r="U285" s="1904"/>
      <c r="V285" s="1904"/>
      <c r="W285" s="1904"/>
      <c r="X285" s="1904"/>
      <c r="Y285" s="1904"/>
      <c r="Z285" s="1904"/>
      <c r="AA285" s="1904"/>
      <c r="AB285" s="1904"/>
      <c r="AC285" s="1904"/>
      <c r="AD285" s="190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3" t="s">
        <v>1494</v>
      </c>
      <c r="G286" s="1904"/>
      <c r="H286" s="1904"/>
      <c r="I286" s="1904"/>
      <c r="J286" s="1904"/>
      <c r="K286" s="1904"/>
      <c r="L286" s="1904"/>
      <c r="M286" s="1904"/>
      <c r="N286" s="1904"/>
      <c r="O286" s="1904"/>
      <c r="P286" s="1904"/>
      <c r="Q286" s="1904"/>
      <c r="R286" s="1904"/>
      <c r="S286" s="1904"/>
      <c r="T286" s="1904"/>
      <c r="U286" s="1904"/>
      <c r="V286" s="1904"/>
      <c r="W286" s="1904"/>
      <c r="X286" s="1904"/>
      <c r="Y286" s="1904"/>
      <c r="Z286" s="1904"/>
      <c r="AA286" s="1904"/>
      <c r="AB286" s="1904"/>
      <c r="AC286" s="1904"/>
      <c r="AD286" s="190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3"/>
      <c r="G287" s="1904"/>
      <c r="H287" s="1904"/>
      <c r="I287" s="1904"/>
      <c r="J287" s="1904"/>
      <c r="K287" s="1904"/>
      <c r="L287" s="1904"/>
      <c r="M287" s="1904"/>
      <c r="N287" s="1904"/>
      <c r="O287" s="1904"/>
      <c r="P287" s="1904"/>
      <c r="Q287" s="1904"/>
      <c r="R287" s="1904"/>
      <c r="S287" s="1904"/>
      <c r="T287" s="1904"/>
      <c r="U287" s="1904"/>
      <c r="V287" s="1904"/>
      <c r="W287" s="1904"/>
      <c r="X287" s="1904"/>
      <c r="Y287" s="1904"/>
      <c r="Z287" s="1904"/>
      <c r="AA287" s="1904"/>
      <c r="AB287" s="1904"/>
      <c r="AC287" s="1904"/>
      <c r="AD287" s="190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3" t="s">
        <v>1495</v>
      </c>
      <c r="G288" s="1904"/>
      <c r="H288" s="1904"/>
      <c r="I288" s="1904"/>
      <c r="J288" s="1904"/>
      <c r="K288" s="1904"/>
      <c r="L288" s="1904"/>
      <c r="M288" s="1904"/>
      <c r="N288" s="1904"/>
      <c r="O288" s="1904"/>
      <c r="P288" s="1904"/>
      <c r="Q288" s="1904"/>
      <c r="R288" s="1904"/>
      <c r="S288" s="1904"/>
      <c r="T288" s="1904"/>
      <c r="U288" s="1904"/>
      <c r="V288" s="1904"/>
      <c r="W288" s="1904"/>
      <c r="X288" s="1904"/>
      <c r="Y288" s="1904"/>
      <c r="Z288" s="1904"/>
      <c r="AA288" s="1904"/>
      <c r="AB288" s="1904"/>
      <c r="AC288" s="1904"/>
      <c r="AD288" s="190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06"/>
      <c r="G289" s="1907"/>
      <c r="H289" s="1907"/>
      <c r="I289" s="1907"/>
      <c r="J289" s="1907"/>
      <c r="K289" s="1907"/>
      <c r="L289" s="1907"/>
      <c r="M289" s="1907"/>
      <c r="N289" s="1907"/>
      <c r="O289" s="1907"/>
      <c r="P289" s="1907"/>
      <c r="Q289" s="1907"/>
      <c r="R289" s="1907"/>
      <c r="S289" s="1907"/>
      <c r="T289" s="1907"/>
      <c r="U289" s="1907"/>
      <c r="V289" s="1907"/>
      <c r="W289" s="1907"/>
      <c r="X289" s="1907"/>
      <c r="Y289" s="1907"/>
      <c r="Z289" s="1907"/>
      <c r="AA289" s="1907"/>
      <c r="AB289" s="1907"/>
      <c r="AC289" s="1907"/>
      <c r="AD289" s="2045"/>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0" t="s">
        <v>1496</v>
      </c>
      <c r="B291" s="1650"/>
      <c r="C291" s="1926" t="s">
        <v>600</v>
      </c>
      <c r="D291" s="1926"/>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0" t="s">
        <v>2333</v>
      </c>
      <c r="G292" s="2031"/>
      <c r="H292" s="2031"/>
      <c r="I292" s="2031"/>
      <c r="J292" s="2031"/>
      <c r="K292" s="2031"/>
      <c r="L292" s="2031"/>
      <c r="M292" s="2031"/>
      <c r="N292" s="2031"/>
      <c r="O292" s="2031"/>
      <c r="P292" s="2031"/>
      <c r="Q292" s="2031"/>
      <c r="R292" s="2031"/>
      <c r="S292" s="2031"/>
      <c r="T292" s="2031"/>
      <c r="U292" s="2031"/>
      <c r="V292" s="2031"/>
      <c r="W292" s="2031"/>
      <c r="X292" s="2031"/>
      <c r="Y292" s="2031"/>
      <c r="Z292" s="2031"/>
      <c r="AA292" s="2031"/>
      <c r="AB292" s="2031"/>
      <c r="AC292" s="2031"/>
      <c r="AD292" s="2032"/>
      <c r="AE292" s="585"/>
      <c r="AF292" s="585"/>
      <c r="AG292" s="585"/>
      <c r="AH292" s="585"/>
      <c r="AI292" s="585"/>
      <c r="AJ292" s="584"/>
      <c r="AK292" s="584"/>
      <c r="AL292" s="584"/>
      <c r="AM292" s="584"/>
      <c r="AR292" s="682"/>
    </row>
    <row r="293" spans="1:49" ht="15" customHeight="1">
      <c r="A293" s="584"/>
      <c r="B293" s="585"/>
      <c r="C293" s="584"/>
      <c r="D293" s="585"/>
      <c r="E293" s="584"/>
      <c r="F293" s="2030"/>
      <c r="G293" s="2031"/>
      <c r="H293" s="2031"/>
      <c r="I293" s="2031"/>
      <c r="J293" s="2031"/>
      <c r="K293" s="2031"/>
      <c r="L293" s="2031"/>
      <c r="M293" s="2031"/>
      <c r="N293" s="2031"/>
      <c r="O293" s="2031"/>
      <c r="P293" s="2031"/>
      <c r="Q293" s="2031"/>
      <c r="R293" s="2031"/>
      <c r="S293" s="2031"/>
      <c r="T293" s="2031"/>
      <c r="U293" s="2031"/>
      <c r="V293" s="2031"/>
      <c r="W293" s="2031"/>
      <c r="X293" s="2031"/>
      <c r="Y293" s="2031"/>
      <c r="Z293" s="2031"/>
      <c r="AA293" s="2031"/>
      <c r="AB293" s="2031"/>
      <c r="AC293" s="2031"/>
      <c r="AD293" s="2032"/>
      <c r="AE293" s="585"/>
      <c r="AF293" s="585"/>
      <c r="AG293" s="585"/>
      <c r="AH293" s="585"/>
      <c r="AI293" s="585"/>
      <c r="AJ293" s="584"/>
      <c r="AK293" s="584"/>
      <c r="AL293" s="584"/>
      <c r="AM293" s="584"/>
      <c r="AR293" s="682"/>
    </row>
    <row r="294" spans="1:49">
      <c r="A294" s="584"/>
      <c r="B294" s="585"/>
      <c r="C294" s="584"/>
      <c r="D294" s="585"/>
      <c r="E294" s="584"/>
      <c r="F294" s="2030"/>
      <c r="G294" s="2031"/>
      <c r="H294" s="2031"/>
      <c r="I294" s="2031"/>
      <c r="J294" s="2031"/>
      <c r="K294" s="2031"/>
      <c r="L294" s="2031"/>
      <c r="M294" s="2031"/>
      <c r="N294" s="2031"/>
      <c r="O294" s="2031"/>
      <c r="P294" s="2031"/>
      <c r="Q294" s="2031"/>
      <c r="R294" s="2031"/>
      <c r="S294" s="2031"/>
      <c r="T294" s="2031"/>
      <c r="U294" s="2031"/>
      <c r="V294" s="2031"/>
      <c r="W294" s="2031"/>
      <c r="X294" s="2031"/>
      <c r="Y294" s="2031"/>
      <c r="Z294" s="2031"/>
      <c r="AA294" s="2031"/>
      <c r="AB294" s="2031"/>
      <c r="AC294" s="2031"/>
      <c r="AD294" s="2032"/>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2"/>
      <c r="G295" s="2053"/>
      <c r="H295" s="2053"/>
      <c r="I295" s="2053"/>
      <c r="J295" s="2053"/>
      <c r="K295" s="2053"/>
      <c r="L295" s="2053"/>
      <c r="M295" s="2053"/>
      <c r="N295" s="2053"/>
      <c r="O295" s="2053"/>
      <c r="P295" s="2053"/>
      <c r="Q295" s="2053"/>
      <c r="R295" s="2053"/>
      <c r="S295" s="2053"/>
      <c r="T295" s="2053"/>
      <c r="U295" s="2053"/>
      <c r="V295" s="2053"/>
      <c r="W295" s="2053"/>
      <c r="X295" s="2053"/>
      <c r="Y295" s="2053"/>
      <c r="Z295" s="2053"/>
      <c r="AA295" s="2053"/>
      <c r="AB295" s="2053"/>
      <c r="AC295" s="2053"/>
      <c r="AD295" s="205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0" t="s">
        <v>1499</v>
      </c>
      <c r="B299" s="1650"/>
      <c r="C299" s="1926" t="s">
        <v>600</v>
      </c>
      <c r="D299" s="1926"/>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03" t="s">
        <v>2340</v>
      </c>
      <c r="G300" s="1904"/>
      <c r="H300" s="1904"/>
      <c r="I300" s="1904"/>
      <c r="J300" s="1904"/>
      <c r="K300" s="1904"/>
      <c r="L300" s="1904"/>
      <c r="M300" s="1904"/>
      <c r="N300" s="1904"/>
      <c r="O300" s="1904"/>
      <c r="P300" s="1904"/>
      <c r="Q300" s="1904"/>
      <c r="R300" s="1904"/>
      <c r="S300" s="1904"/>
      <c r="T300" s="1904"/>
      <c r="U300" s="1904"/>
      <c r="V300" s="1904"/>
      <c r="W300" s="1904"/>
      <c r="X300" s="1904"/>
      <c r="Y300" s="1904"/>
      <c r="Z300" s="1904"/>
      <c r="AA300" s="1904"/>
      <c r="AB300" s="1904"/>
      <c r="AC300" s="1904"/>
      <c r="AD300" s="1905"/>
      <c r="AE300" s="585"/>
      <c r="AF300" s="585"/>
      <c r="AG300" s="573"/>
      <c r="AH300" s="585"/>
      <c r="AI300" s="585"/>
      <c r="AJ300" s="584"/>
      <c r="AK300" s="584"/>
      <c r="AL300" s="584"/>
      <c r="AM300" s="584"/>
      <c r="AN300" s="73"/>
      <c r="AO300" s="14"/>
      <c r="AP300" s="591" t="s">
        <v>1291</v>
      </c>
    </row>
    <row r="301" spans="1:49" hidden="1">
      <c r="F301" s="1903"/>
      <c r="G301" s="1904"/>
      <c r="H301" s="1904"/>
      <c r="I301" s="1904"/>
      <c r="J301" s="1904"/>
      <c r="K301" s="1904"/>
      <c r="L301" s="1904"/>
      <c r="M301" s="1904"/>
      <c r="N301" s="1904"/>
      <c r="O301" s="1904"/>
      <c r="P301" s="1904"/>
      <c r="Q301" s="1904"/>
      <c r="R301" s="1904"/>
      <c r="S301" s="1904"/>
      <c r="T301" s="1904"/>
      <c r="U301" s="1904"/>
      <c r="V301" s="1904"/>
      <c r="W301" s="1904"/>
      <c r="X301" s="1904"/>
      <c r="Y301" s="1904"/>
      <c r="Z301" s="1904"/>
      <c r="AA301" s="1904"/>
      <c r="AB301" s="1904"/>
      <c r="AC301" s="1904"/>
      <c r="AD301" s="1905"/>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3" t="s">
        <v>1291</v>
      </c>
      <c r="G305" s="2034"/>
      <c r="H305" s="2034"/>
      <c r="I305" s="2034"/>
      <c r="J305" s="2034"/>
      <c r="K305" s="2034"/>
      <c r="L305" s="2034"/>
      <c r="M305" s="2034"/>
      <c r="N305" s="2034"/>
      <c r="O305" s="2034"/>
      <c r="P305" s="2034"/>
      <c r="Q305" s="2034"/>
      <c r="R305" s="2034"/>
      <c r="S305" s="2034"/>
      <c r="T305" s="2034"/>
      <c r="U305" s="2034"/>
      <c r="V305" s="2034"/>
      <c r="W305" s="2034"/>
      <c r="X305" s="2034"/>
      <c r="Y305" s="2034"/>
      <c r="Z305" s="2034"/>
      <c r="AA305" s="2034"/>
      <c r="AB305" s="2034"/>
      <c r="AC305" s="2034"/>
      <c r="AD305" s="2035"/>
      <c r="AE305" s="676"/>
      <c r="AF305" s="676"/>
      <c r="AG305" s="676"/>
      <c r="AH305" s="676"/>
      <c r="AI305" s="676"/>
      <c r="AJ305" s="676"/>
      <c r="AK305" s="676"/>
      <c r="AL305" s="584"/>
      <c r="AM305" s="584"/>
      <c r="AN305" s="73"/>
      <c r="AO305" s="14"/>
      <c r="AP305" s="30"/>
    </row>
    <row r="306" spans="1:42" hidden="1">
      <c r="A306" s="584"/>
      <c r="B306" s="585"/>
      <c r="C306" s="764"/>
      <c r="D306" s="764"/>
      <c r="E306" s="581"/>
      <c r="F306" s="2033"/>
      <c r="G306" s="2034"/>
      <c r="H306" s="2034"/>
      <c r="I306" s="2034"/>
      <c r="J306" s="2034"/>
      <c r="K306" s="2034"/>
      <c r="L306" s="2034"/>
      <c r="M306" s="2034"/>
      <c r="N306" s="2034"/>
      <c r="O306" s="2034"/>
      <c r="P306" s="2034"/>
      <c r="Q306" s="2034"/>
      <c r="R306" s="2034"/>
      <c r="S306" s="2034"/>
      <c r="T306" s="2034"/>
      <c r="U306" s="2034"/>
      <c r="V306" s="2034"/>
      <c r="W306" s="2034"/>
      <c r="X306" s="2034"/>
      <c r="Y306" s="2034"/>
      <c r="Z306" s="2034"/>
      <c r="AA306" s="2034"/>
      <c r="AB306" s="2034"/>
      <c r="AC306" s="2034"/>
      <c r="AD306" s="2035"/>
      <c r="AE306" s="585"/>
      <c r="AF306" s="585"/>
      <c r="AG306" s="573"/>
      <c r="AH306" s="585"/>
      <c r="AI306" s="585"/>
      <c r="AJ306" s="584"/>
      <c r="AK306" s="584"/>
      <c r="AL306" s="584"/>
      <c r="AM306" s="584"/>
      <c r="AN306" s="73"/>
      <c r="AO306" s="14"/>
      <c r="AP306" s="30"/>
    </row>
    <row r="307" spans="1:42" hidden="1">
      <c r="A307" s="584"/>
      <c r="B307" s="585"/>
      <c r="C307" s="764"/>
      <c r="D307" s="764"/>
      <c r="E307" s="581"/>
      <c r="F307" s="2033"/>
      <c r="G307" s="2034"/>
      <c r="H307" s="2034"/>
      <c r="I307" s="2034"/>
      <c r="J307" s="2034"/>
      <c r="K307" s="2034"/>
      <c r="L307" s="2034"/>
      <c r="M307" s="2034"/>
      <c r="N307" s="2034"/>
      <c r="O307" s="2034"/>
      <c r="P307" s="2034"/>
      <c r="Q307" s="2034"/>
      <c r="R307" s="2034"/>
      <c r="S307" s="2034"/>
      <c r="T307" s="2034"/>
      <c r="U307" s="2034"/>
      <c r="V307" s="2034"/>
      <c r="W307" s="2034"/>
      <c r="X307" s="2034"/>
      <c r="Y307" s="2034"/>
      <c r="Z307" s="2034"/>
      <c r="AA307" s="2034"/>
      <c r="AB307" s="2034"/>
      <c r="AC307" s="2034"/>
      <c r="AD307" s="2035"/>
      <c r="AE307" s="585"/>
      <c r="AF307" s="585"/>
      <c r="AG307" s="573"/>
      <c r="AH307" s="585"/>
      <c r="AI307" s="585"/>
      <c r="AJ307" s="584"/>
      <c r="AK307" s="584"/>
      <c r="AL307" s="584"/>
      <c r="AM307" s="584"/>
      <c r="AN307" s="73"/>
      <c r="AO307" s="14"/>
      <c r="AP307" s="30"/>
    </row>
    <row r="308" spans="1:42" hidden="1">
      <c r="A308" s="584"/>
      <c r="B308" s="585"/>
      <c r="C308" s="764"/>
      <c r="D308" s="764"/>
      <c r="E308" s="581"/>
      <c r="F308" s="2033"/>
      <c r="G308" s="2034"/>
      <c r="H308" s="2034"/>
      <c r="I308" s="2034"/>
      <c r="J308" s="2034"/>
      <c r="K308" s="2034"/>
      <c r="L308" s="2034"/>
      <c r="M308" s="2034"/>
      <c r="N308" s="2034"/>
      <c r="O308" s="2034"/>
      <c r="P308" s="2034"/>
      <c r="Q308" s="2034"/>
      <c r="R308" s="2034"/>
      <c r="S308" s="2034"/>
      <c r="T308" s="2034"/>
      <c r="U308" s="2034"/>
      <c r="V308" s="2034"/>
      <c r="W308" s="2034"/>
      <c r="X308" s="2034"/>
      <c r="Y308" s="2034"/>
      <c r="Z308" s="2034"/>
      <c r="AA308" s="2034"/>
      <c r="AB308" s="2034"/>
      <c r="AC308" s="2034"/>
      <c r="AD308" s="2035"/>
      <c r="AE308" s="585"/>
      <c r="AF308" s="585"/>
      <c r="AG308" s="573"/>
      <c r="AH308" s="585"/>
      <c r="AI308" s="585"/>
      <c r="AJ308" s="584"/>
      <c r="AK308" s="584"/>
      <c r="AL308" s="584"/>
      <c r="AM308" s="584"/>
      <c r="AN308" s="73"/>
      <c r="AO308" s="14"/>
      <c r="AP308" s="30"/>
    </row>
    <row r="309" spans="1:42" hidden="1">
      <c r="A309" s="584"/>
      <c r="B309" s="585"/>
      <c r="C309" s="764"/>
      <c r="D309" s="764"/>
      <c r="E309" s="581"/>
      <c r="F309" s="2036"/>
      <c r="G309" s="2037"/>
      <c r="H309" s="2037"/>
      <c r="I309" s="2037"/>
      <c r="J309" s="2037"/>
      <c r="K309" s="2037"/>
      <c r="L309" s="2037"/>
      <c r="M309" s="2037"/>
      <c r="N309" s="2037"/>
      <c r="O309" s="2037"/>
      <c r="P309" s="2037"/>
      <c r="Q309" s="2037"/>
      <c r="R309" s="2037"/>
      <c r="S309" s="2037"/>
      <c r="T309" s="2037"/>
      <c r="U309" s="2037"/>
      <c r="V309" s="2037"/>
      <c r="W309" s="2037"/>
      <c r="X309" s="2037"/>
      <c r="Y309" s="2037"/>
      <c r="Z309" s="2037"/>
      <c r="AA309" s="2037"/>
      <c r="AB309" s="2037"/>
      <c r="AC309" s="2037"/>
      <c r="AD309" s="203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39" t="s">
        <v>1291</v>
      </c>
      <c r="J313" s="2039"/>
      <c r="K313" s="2039"/>
      <c r="L313" s="2039"/>
      <c r="M313" s="2039"/>
      <c r="N313" s="2039"/>
      <c r="O313" s="2039"/>
      <c r="P313" s="2039"/>
      <c r="Q313" s="2039"/>
      <c r="R313" s="2039"/>
      <c r="S313" s="2039"/>
      <c r="T313" s="2039"/>
      <c r="U313" s="2039"/>
      <c r="V313" s="2039"/>
      <c r="W313" s="2039"/>
      <c r="X313" s="2039"/>
      <c r="Y313" s="2039"/>
      <c r="Z313" s="2039"/>
      <c r="AA313" s="2039"/>
      <c r="AB313" s="2039"/>
      <c r="AC313" s="2039"/>
      <c r="AD313" s="2040"/>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39"/>
      <c r="J314" s="2039"/>
      <c r="K314" s="2039"/>
      <c r="L314" s="2039"/>
      <c r="M314" s="2039"/>
      <c r="N314" s="2039"/>
      <c r="O314" s="2039"/>
      <c r="P314" s="2039"/>
      <c r="Q314" s="2039"/>
      <c r="R314" s="2039"/>
      <c r="S314" s="2039"/>
      <c r="T314" s="2039"/>
      <c r="U314" s="2039"/>
      <c r="V314" s="2039"/>
      <c r="W314" s="2039"/>
      <c r="X314" s="2039"/>
      <c r="Y314" s="2039"/>
      <c r="Z314" s="2039"/>
      <c r="AA314" s="2039"/>
      <c r="AB314" s="2039"/>
      <c r="AC314" s="2039"/>
      <c r="AD314" s="2040"/>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39"/>
      <c r="J315" s="2039"/>
      <c r="K315" s="2039"/>
      <c r="L315" s="2039"/>
      <c r="M315" s="2039"/>
      <c r="N315" s="2039"/>
      <c r="O315" s="2039"/>
      <c r="P315" s="2039"/>
      <c r="Q315" s="2039"/>
      <c r="R315" s="2039"/>
      <c r="S315" s="2039"/>
      <c r="T315" s="2039"/>
      <c r="U315" s="2039"/>
      <c r="V315" s="2039"/>
      <c r="W315" s="2039"/>
      <c r="X315" s="2039"/>
      <c r="Y315" s="2039"/>
      <c r="Z315" s="2039"/>
      <c r="AA315" s="2039"/>
      <c r="AB315" s="2039"/>
      <c r="AC315" s="2039"/>
      <c r="AD315" s="2040"/>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1"/>
      <c r="J316" s="2041"/>
      <c r="K316" s="2041"/>
      <c r="L316" s="2041"/>
      <c r="M316" s="2041"/>
      <c r="N316" s="2041"/>
      <c r="O316" s="2041"/>
      <c r="P316" s="2041"/>
      <c r="Q316" s="2041"/>
      <c r="R316" s="2041"/>
      <c r="S316" s="2041"/>
      <c r="T316" s="2041"/>
      <c r="U316" s="2041"/>
      <c r="V316" s="2041"/>
      <c r="W316" s="2041"/>
      <c r="X316" s="2041"/>
      <c r="Y316" s="2041"/>
      <c r="Z316" s="2041"/>
      <c r="AA316" s="2041"/>
      <c r="AB316" s="2041"/>
      <c r="AC316" s="2041"/>
      <c r="AD316" s="2042"/>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39" t="s">
        <v>1291</v>
      </c>
      <c r="J318" s="2039"/>
      <c r="K318" s="2039"/>
      <c r="L318" s="2039"/>
      <c r="M318" s="2039"/>
      <c r="N318" s="2039"/>
      <c r="O318" s="2039"/>
      <c r="P318" s="2039"/>
      <c r="Q318" s="2039"/>
      <c r="R318" s="2039"/>
      <c r="S318" s="2039"/>
      <c r="T318" s="2039"/>
      <c r="U318" s="2039"/>
      <c r="V318" s="2039"/>
      <c r="W318" s="2039"/>
      <c r="X318" s="2039"/>
      <c r="Y318" s="2039"/>
      <c r="Z318" s="2039"/>
      <c r="AA318" s="2039"/>
      <c r="AB318" s="2039"/>
      <c r="AC318" s="2039"/>
      <c r="AD318" s="204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39"/>
      <c r="J319" s="2039"/>
      <c r="K319" s="2039"/>
      <c r="L319" s="2039"/>
      <c r="M319" s="2039"/>
      <c r="N319" s="2039"/>
      <c r="O319" s="2039"/>
      <c r="P319" s="2039"/>
      <c r="Q319" s="2039"/>
      <c r="R319" s="2039"/>
      <c r="S319" s="2039"/>
      <c r="T319" s="2039"/>
      <c r="U319" s="2039"/>
      <c r="V319" s="2039"/>
      <c r="W319" s="2039"/>
      <c r="X319" s="2039"/>
      <c r="Y319" s="2039"/>
      <c r="Z319" s="2039"/>
      <c r="AA319" s="2039"/>
      <c r="AB319" s="2039"/>
      <c r="AC319" s="2039"/>
      <c r="AD319" s="2040"/>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41"/>
      <c r="J320" s="2041"/>
      <c r="K320" s="2041"/>
      <c r="L320" s="2041"/>
      <c r="M320" s="2041"/>
      <c r="N320" s="2041"/>
      <c r="O320" s="2041"/>
      <c r="P320" s="2041"/>
      <c r="Q320" s="2041"/>
      <c r="R320" s="2041"/>
      <c r="S320" s="2041"/>
      <c r="T320" s="2041"/>
      <c r="U320" s="2041"/>
      <c r="V320" s="2041"/>
      <c r="W320" s="2041"/>
      <c r="X320" s="2041"/>
      <c r="Y320" s="2041"/>
      <c r="Z320" s="2041"/>
      <c r="AA320" s="2041"/>
      <c r="AB320" s="2041"/>
      <c r="AC320" s="2041"/>
      <c r="AD320" s="2042"/>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50" t="s">
        <v>1502</v>
      </c>
      <c r="B322" s="1650"/>
      <c r="C322" s="1926" t="s">
        <v>600</v>
      </c>
      <c r="D322" s="1926"/>
      <c r="E322" s="581"/>
      <c r="F322" s="2027" t="s">
        <v>2341</v>
      </c>
      <c r="G322" s="2028"/>
      <c r="H322" s="2028"/>
      <c r="I322" s="2028"/>
      <c r="J322" s="2028"/>
      <c r="K322" s="2028"/>
      <c r="L322" s="2028"/>
      <c r="M322" s="2028"/>
      <c r="N322" s="2028"/>
      <c r="O322" s="2028"/>
      <c r="P322" s="2028"/>
      <c r="Q322" s="2028"/>
      <c r="R322" s="2028"/>
      <c r="S322" s="2028"/>
      <c r="T322" s="2028"/>
      <c r="U322" s="2028"/>
      <c r="V322" s="2028"/>
      <c r="W322" s="2028"/>
      <c r="X322" s="2028"/>
      <c r="Y322" s="2028"/>
      <c r="Z322" s="2028"/>
      <c r="AA322" s="2028"/>
      <c r="AB322" s="2028"/>
      <c r="AC322" s="2028"/>
      <c r="AD322" s="2029"/>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0"/>
      <c r="G323" s="2031"/>
      <c r="H323" s="2031"/>
      <c r="I323" s="2031"/>
      <c r="J323" s="2031"/>
      <c r="K323" s="2031"/>
      <c r="L323" s="2031"/>
      <c r="M323" s="2031"/>
      <c r="N323" s="2031"/>
      <c r="O323" s="2031"/>
      <c r="P323" s="2031"/>
      <c r="Q323" s="2031"/>
      <c r="R323" s="2031"/>
      <c r="S323" s="2031"/>
      <c r="T323" s="2031"/>
      <c r="U323" s="2031"/>
      <c r="V323" s="2031"/>
      <c r="W323" s="2031"/>
      <c r="X323" s="2031"/>
      <c r="Y323" s="2031"/>
      <c r="Z323" s="2031"/>
      <c r="AA323" s="2031"/>
      <c r="AB323" s="2031"/>
      <c r="AC323" s="2031"/>
      <c r="AD323" s="2032"/>
      <c r="AE323" s="585"/>
      <c r="AF323" s="585"/>
      <c r="AG323" s="585"/>
      <c r="AH323" s="585"/>
      <c r="AI323" s="585"/>
      <c r="AJ323" s="584"/>
      <c r="AK323" s="584"/>
      <c r="AL323" s="584"/>
      <c r="AM323" s="584"/>
      <c r="AN323" s="73"/>
      <c r="AO323" s="14"/>
    </row>
    <row r="324" spans="1:44" ht="15" hidden="1" customHeight="1">
      <c r="A324" s="584"/>
      <c r="B324" s="585"/>
      <c r="C324" s="585"/>
      <c r="D324" s="585"/>
      <c r="E324" s="585"/>
      <c r="F324" s="2030"/>
      <c r="G324" s="2031"/>
      <c r="H324" s="2031"/>
      <c r="I324" s="2031"/>
      <c r="J324" s="2031"/>
      <c r="K324" s="2031"/>
      <c r="L324" s="2031"/>
      <c r="M324" s="2031"/>
      <c r="N324" s="2031"/>
      <c r="O324" s="2031"/>
      <c r="P324" s="2031"/>
      <c r="Q324" s="2031"/>
      <c r="R324" s="2031"/>
      <c r="S324" s="2031"/>
      <c r="T324" s="2031"/>
      <c r="U324" s="2031"/>
      <c r="V324" s="2031"/>
      <c r="W324" s="2031"/>
      <c r="X324" s="2031"/>
      <c r="Y324" s="2031"/>
      <c r="Z324" s="2031"/>
      <c r="AA324" s="2031"/>
      <c r="AB324" s="2031"/>
      <c r="AC324" s="2031"/>
      <c r="AD324" s="2032"/>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1">
        <f>IF(NOT(OR(Application!M355="Yes",Application!M356="Yes")),0,AP284)</f>
        <v>0</v>
      </c>
      <c r="AL327" s="1912"/>
      <c r="AM327" s="1913"/>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17" t="s">
        <v>1424</v>
      </c>
      <c r="AF330" s="1917"/>
      <c r="AG330" s="1917"/>
      <c r="AH330" s="1917"/>
      <c r="AI330" s="1917"/>
      <c r="AJ330" s="1917"/>
      <c r="AK330" s="1917"/>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1" t="s">
        <v>1564</v>
      </c>
      <c r="D332" s="1921"/>
      <c r="E332" s="1921"/>
      <c r="F332" s="1921"/>
      <c r="G332" s="1921"/>
      <c r="H332" s="1921"/>
      <c r="I332" s="1921"/>
      <c r="J332" s="1921"/>
      <c r="K332" s="1921"/>
      <c r="L332" s="1921"/>
      <c r="M332" s="1921"/>
      <c r="N332" s="1921"/>
      <c r="O332" s="1921"/>
      <c r="P332" s="1921"/>
      <c r="Q332" s="1921"/>
      <c r="R332" s="1921"/>
      <c r="S332" s="1921"/>
      <c r="T332" s="1921"/>
      <c r="U332" s="1921"/>
      <c r="V332" s="1921"/>
      <c r="W332" s="1921"/>
      <c r="X332" s="1921"/>
      <c r="Y332" s="1921"/>
      <c r="Z332" s="1921"/>
      <c r="AA332" s="1921"/>
      <c r="AB332" s="1921"/>
      <c r="AC332" s="1921"/>
      <c r="AD332" s="1921"/>
      <c r="AE332" s="1921"/>
      <c r="AF332" s="1921"/>
      <c r="AG332" s="1921"/>
      <c r="AH332" s="1921"/>
      <c r="AI332" s="1921"/>
      <c r="AJ332" s="1921"/>
      <c r="AK332" s="637"/>
      <c r="AL332" s="637"/>
      <c r="AM332" s="637"/>
      <c r="AN332" s="631"/>
    </row>
    <row r="333" spans="1:44" s="584" customFormat="1" ht="12.75" customHeight="1">
      <c r="A333" s="637"/>
      <c r="B333" s="645"/>
      <c r="C333" s="1921"/>
      <c r="D333" s="1921"/>
      <c r="E333" s="1921"/>
      <c r="F333" s="1921"/>
      <c r="G333" s="1921"/>
      <c r="H333" s="1921"/>
      <c r="I333" s="1921"/>
      <c r="J333" s="1921"/>
      <c r="K333" s="1921"/>
      <c r="L333" s="1921"/>
      <c r="M333" s="1921"/>
      <c r="N333" s="1921"/>
      <c r="O333" s="1921"/>
      <c r="P333" s="1921"/>
      <c r="Q333" s="1921"/>
      <c r="R333" s="1921"/>
      <c r="S333" s="1921"/>
      <c r="T333" s="1921"/>
      <c r="U333" s="1921"/>
      <c r="V333" s="1921"/>
      <c r="W333" s="1921"/>
      <c r="X333" s="1921"/>
      <c r="Y333" s="1921"/>
      <c r="Z333" s="1921"/>
      <c r="AA333" s="1921"/>
      <c r="AB333" s="1921"/>
      <c r="AC333" s="1921"/>
      <c r="AD333" s="1921"/>
      <c r="AE333" s="1921"/>
      <c r="AF333" s="1921"/>
      <c r="AG333" s="1921"/>
      <c r="AH333" s="1921"/>
      <c r="AI333" s="1921"/>
      <c r="AJ333" s="1921"/>
      <c r="AK333" s="637"/>
      <c r="AL333" s="637"/>
      <c r="AM333" s="637"/>
      <c r="AN333" s="631"/>
    </row>
    <row r="334" spans="1:44" s="584" customFormat="1" ht="12.75" customHeight="1">
      <c r="A334" s="637"/>
      <c r="B334" s="645"/>
      <c r="C334" s="1921"/>
      <c r="D334" s="1921"/>
      <c r="E334" s="1921"/>
      <c r="F334" s="1921"/>
      <c r="G334" s="1921"/>
      <c r="H334" s="1921"/>
      <c r="I334" s="1921"/>
      <c r="J334" s="1921"/>
      <c r="K334" s="1921"/>
      <c r="L334" s="1921"/>
      <c r="M334" s="1921"/>
      <c r="N334" s="1921"/>
      <c r="O334" s="1921"/>
      <c r="P334" s="1921"/>
      <c r="Q334" s="1921"/>
      <c r="R334" s="1921"/>
      <c r="S334" s="1921"/>
      <c r="T334" s="1921"/>
      <c r="U334" s="1921"/>
      <c r="V334" s="1921"/>
      <c r="W334" s="1921"/>
      <c r="X334" s="1921"/>
      <c r="Y334" s="1921"/>
      <c r="Z334" s="1921"/>
      <c r="AA334" s="1921"/>
      <c r="AB334" s="1921"/>
      <c r="AC334" s="1921"/>
      <c r="AD334" s="1921"/>
      <c r="AE334" s="1921"/>
      <c r="AF334" s="1921"/>
      <c r="AG334" s="1921"/>
      <c r="AH334" s="1921"/>
      <c r="AI334" s="1921"/>
      <c r="AJ334" s="1921"/>
      <c r="AK334" s="637"/>
      <c r="AL334" s="637"/>
      <c r="AM334" s="637"/>
      <c r="AN334" s="631"/>
      <c r="AQ334" s="604"/>
    </row>
    <row r="335" spans="1:44" s="584" customFormat="1" ht="12.75" customHeight="1">
      <c r="A335" s="637"/>
      <c r="B335" s="645"/>
      <c r="C335" s="1921"/>
      <c r="D335" s="1921"/>
      <c r="E335" s="1921"/>
      <c r="F335" s="1921"/>
      <c r="G335" s="1921"/>
      <c r="H335" s="1921"/>
      <c r="I335" s="1921"/>
      <c r="J335" s="1921"/>
      <c r="K335" s="1921"/>
      <c r="L335" s="1921"/>
      <c r="M335" s="1921"/>
      <c r="N335" s="1921"/>
      <c r="O335" s="1921"/>
      <c r="P335" s="1921"/>
      <c r="Q335" s="1921"/>
      <c r="R335" s="1921"/>
      <c r="S335" s="1921"/>
      <c r="T335" s="1921"/>
      <c r="U335" s="1921"/>
      <c r="V335" s="1921"/>
      <c r="W335" s="1921"/>
      <c r="X335" s="1921"/>
      <c r="Y335" s="1921"/>
      <c r="Z335" s="1921"/>
      <c r="AA335" s="1921"/>
      <c r="AB335" s="1921"/>
      <c r="AC335" s="1921"/>
      <c r="AD335" s="1921"/>
      <c r="AE335" s="1921"/>
      <c r="AF335" s="1921"/>
      <c r="AG335" s="1921"/>
      <c r="AH335" s="1921"/>
      <c r="AI335" s="1921"/>
      <c r="AJ335" s="1921"/>
      <c r="AK335" s="637"/>
      <c r="AL335" s="637"/>
      <c r="AM335" s="637"/>
      <c r="AN335" s="631"/>
      <c r="AQ335" s="604"/>
    </row>
    <row r="336" spans="1:44" s="584" customFormat="1" ht="12.4" customHeight="1">
      <c r="A336" s="637"/>
      <c r="B336" s="645"/>
      <c r="C336" s="1921"/>
      <c r="D336" s="1921"/>
      <c r="E336" s="1921"/>
      <c r="F336" s="1921"/>
      <c r="G336" s="1921"/>
      <c r="H336" s="1921"/>
      <c r="I336" s="1921"/>
      <c r="J336" s="1921"/>
      <c r="K336" s="1921"/>
      <c r="L336" s="1921"/>
      <c r="M336" s="1921"/>
      <c r="N336" s="1921"/>
      <c r="O336" s="1921"/>
      <c r="P336" s="1921"/>
      <c r="Q336" s="1921"/>
      <c r="R336" s="1921"/>
      <c r="S336" s="1921"/>
      <c r="T336" s="1921"/>
      <c r="U336" s="1921"/>
      <c r="V336" s="1921"/>
      <c r="W336" s="1921"/>
      <c r="X336" s="1921"/>
      <c r="Y336" s="1921"/>
      <c r="Z336" s="1921"/>
      <c r="AA336" s="1921"/>
      <c r="AB336" s="1921"/>
      <c r="AC336" s="1921"/>
      <c r="AD336" s="1921"/>
      <c r="AE336" s="1921"/>
      <c r="AF336" s="1921"/>
      <c r="AG336" s="1921"/>
      <c r="AH336" s="1921"/>
      <c r="AI336" s="1921"/>
      <c r="AJ336" s="1921"/>
      <c r="AK336" s="637"/>
      <c r="AL336" s="637"/>
      <c r="AM336" s="637"/>
      <c r="AN336" s="631"/>
      <c r="AQ336" s="604"/>
      <c r="AR336" s="604"/>
    </row>
    <row r="337" spans="1:46" s="584" customFormat="1" ht="45.75" customHeight="1">
      <c r="A337" s="637"/>
      <c r="B337" s="645"/>
      <c r="C337" s="1921" t="s">
        <v>2408</v>
      </c>
      <c r="D337" s="1921"/>
      <c r="E337" s="1921"/>
      <c r="F337" s="1921"/>
      <c r="G337" s="1921"/>
      <c r="H337" s="1921"/>
      <c r="I337" s="1921"/>
      <c r="J337" s="1921"/>
      <c r="K337" s="1921"/>
      <c r="L337" s="1921"/>
      <c r="M337" s="1921"/>
      <c r="N337" s="1921"/>
      <c r="O337" s="1921"/>
      <c r="P337" s="1921"/>
      <c r="Q337" s="1921"/>
      <c r="R337" s="1921"/>
      <c r="S337" s="1921"/>
      <c r="T337" s="1921"/>
      <c r="U337" s="1921"/>
      <c r="V337" s="1921"/>
      <c r="W337" s="1921"/>
      <c r="X337" s="1921"/>
      <c r="Y337" s="1921"/>
      <c r="Z337" s="1921"/>
      <c r="AA337" s="1921"/>
      <c r="AB337" s="1921"/>
      <c r="AC337" s="1921"/>
      <c r="AD337" s="1921"/>
      <c r="AE337" s="1921"/>
      <c r="AF337" s="1921"/>
      <c r="AG337" s="1921"/>
      <c r="AH337" s="1921"/>
      <c r="AI337" s="1921"/>
      <c r="AJ337" s="1921"/>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1" t="s">
        <v>2570</v>
      </c>
      <c r="D339" s="1921"/>
      <c r="E339" s="1921"/>
      <c r="F339" s="1921"/>
      <c r="G339" s="1921"/>
      <c r="H339" s="1921"/>
      <c r="I339" s="1921"/>
      <c r="J339" s="1921"/>
      <c r="K339" s="1921"/>
      <c r="L339" s="1921"/>
      <c r="M339" s="1921"/>
      <c r="N339" s="1921"/>
      <c r="O339" s="1921"/>
      <c r="P339" s="1921"/>
      <c r="Q339" s="1921"/>
      <c r="R339" s="1921"/>
      <c r="S339" s="1921"/>
      <c r="T339" s="1921"/>
      <c r="U339" s="1921"/>
      <c r="V339" s="1921"/>
      <c r="W339" s="1921"/>
      <c r="X339" s="1921"/>
      <c r="Y339" s="1921"/>
      <c r="Z339" s="1921"/>
      <c r="AA339" s="1921"/>
      <c r="AB339" s="1921"/>
      <c r="AC339" s="1921"/>
      <c r="AD339" s="1921"/>
      <c r="AE339" s="1921"/>
      <c r="AF339" s="1921"/>
      <c r="AG339" s="1921"/>
      <c r="AH339" s="1921"/>
      <c r="AI339" s="1921"/>
      <c r="AJ339" s="1921"/>
      <c r="AK339" s="637"/>
      <c r="AL339" s="637"/>
      <c r="AM339" s="637"/>
      <c r="AN339" s="631"/>
      <c r="AQ339" s="604"/>
      <c r="AR339" s="604"/>
    </row>
    <row r="340" spans="1:46" s="584" customFormat="1" ht="30" customHeight="1">
      <c r="A340" s="637"/>
      <c r="B340" s="645"/>
      <c r="C340" s="1921"/>
      <c r="D340" s="1921"/>
      <c r="E340" s="1921"/>
      <c r="F340" s="1921"/>
      <c r="G340" s="1921"/>
      <c r="H340" s="1921"/>
      <c r="I340" s="1921"/>
      <c r="J340" s="1921"/>
      <c r="K340" s="1921"/>
      <c r="L340" s="1921"/>
      <c r="M340" s="1921"/>
      <c r="N340" s="1921"/>
      <c r="O340" s="1921"/>
      <c r="P340" s="1921"/>
      <c r="Q340" s="1921"/>
      <c r="R340" s="1921"/>
      <c r="S340" s="1921"/>
      <c r="T340" s="1921"/>
      <c r="U340" s="1921"/>
      <c r="V340" s="1921"/>
      <c r="W340" s="1921"/>
      <c r="X340" s="1921"/>
      <c r="Y340" s="1921"/>
      <c r="Z340" s="1921"/>
      <c r="AA340" s="1921"/>
      <c r="AB340" s="1921"/>
      <c r="AC340" s="1921"/>
      <c r="AD340" s="1921"/>
      <c r="AE340" s="1921"/>
      <c r="AF340" s="1921"/>
      <c r="AG340" s="1921"/>
      <c r="AH340" s="1921"/>
      <c r="AI340" s="1921"/>
      <c r="AJ340" s="1921"/>
      <c r="AK340" s="637"/>
      <c r="AL340" s="637"/>
      <c r="AM340" s="637"/>
      <c r="AN340" s="631"/>
      <c r="AR340" s="604"/>
    </row>
    <row r="341" spans="1:46" s="584" customFormat="1" ht="12.75" customHeight="1">
      <c r="A341" s="637"/>
      <c r="B341" s="645"/>
      <c r="C341" s="1921"/>
      <c r="D341" s="1921"/>
      <c r="E341" s="1921"/>
      <c r="F341" s="1921"/>
      <c r="G341" s="1921"/>
      <c r="H341" s="1921"/>
      <c r="I341" s="1921"/>
      <c r="J341" s="1921"/>
      <c r="K341" s="1921"/>
      <c r="L341" s="1921"/>
      <c r="M341" s="1921"/>
      <c r="N341" s="1921"/>
      <c r="O341" s="1921"/>
      <c r="P341" s="1921"/>
      <c r="Q341" s="1921"/>
      <c r="R341" s="1921"/>
      <c r="S341" s="1921"/>
      <c r="T341" s="1921"/>
      <c r="U341" s="1921"/>
      <c r="V341" s="1921"/>
      <c r="W341" s="1921"/>
      <c r="X341" s="1921"/>
      <c r="Y341" s="1921"/>
      <c r="Z341" s="1921"/>
      <c r="AA341" s="1921"/>
      <c r="AB341" s="1921"/>
      <c r="AC341" s="1921"/>
      <c r="AD341" s="1921"/>
      <c r="AE341" s="1921"/>
      <c r="AF341" s="1921"/>
      <c r="AG341" s="1921"/>
      <c r="AH341" s="1921"/>
      <c r="AI341" s="1921"/>
      <c r="AJ341" s="1921"/>
      <c r="AK341" s="637"/>
      <c r="AL341" s="637"/>
      <c r="AM341" s="637"/>
      <c r="AN341" s="631"/>
      <c r="AR341" s="604"/>
    </row>
    <row r="342" spans="1:46" s="584" customFormat="1" ht="12.75" customHeight="1">
      <c r="A342" s="637"/>
      <c r="B342" s="645"/>
      <c r="C342" s="1921" t="s">
        <v>1565</v>
      </c>
      <c r="D342" s="1921"/>
      <c r="E342" s="1921"/>
      <c r="F342" s="1921"/>
      <c r="G342" s="1921"/>
      <c r="H342" s="1921"/>
      <c r="I342" s="1921"/>
      <c r="J342" s="1921"/>
      <c r="K342" s="1921"/>
      <c r="L342" s="1921"/>
      <c r="M342" s="1921"/>
      <c r="N342" s="1921"/>
      <c r="O342" s="1921"/>
      <c r="P342" s="1921"/>
      <c r="Q342" s="1921"/>
      <c r="R342" s="1921"/>
      <c r="S342" s="1921"/>
      <c r="T342" s="1921"/>
      <c r="U342" s="1921"/>
      <c r="V342" s="1921"/>
      <c r="W342" s="1921"/>
      <c r="X342" s="1921"/>
      <c r="Y342" s="1921"/>
      <c r="Z342" s="1921"/>
      <c r="AA342" s="1921"/>
      <c r="AB342" s="1921"/>
      <c r="AC342" s="1921"/>
      <c r="AD342" s="1921"/>
      <c r="AE342" s="1921"/>
      <c r="AF342" s="1921"/>
      <c r="AG342" s="1921"/>
      <c r="AH342" s="1921"/>
      <c r="AI342" s="1921"/>
      <c r="AJ342" s="1921"/>
      <c r="AK342" s="637"/>
      <c r="AL342" s="637"/>
      <c r="AM342" s="637"/>
      <c r="AN342" s="631"/>
      <c r="AQ342" s="604"/>
      <c r="AR342" s="604"/>
    </row>
    <row r="343" spans="1:46" s="584" customFormat="1" ht="12.75" customHeight="1">
      <c r="A343" s="637"/>
      <c r="B343" s="645"/>
      <c r="C343" s="1921"/>
      <c r="D343" s="1921"/>
      <c r="E343" s="1921"/>
      <c r="F343" s="1921"/>
      <c r="G343" s="1921"/>
      <c r="H343" s="1921"/>
      <c r="I343" s="1921"/>
      <c r="J343" s="1921"/>
      <c r="K343" s="1921"/>
      <c r="L343" s="1921"/>
      <c r="M343" s="1921"/>
      <c r="N343" s="1921"/>
      <c r="O343" s="1921"/>
      <c r="P343" s="1921"/>
      <c r="Q343" s="1921"/>
      <c r="R343" s="1921"/>
      <c r="S343" s="1921"/>
      <c r="T343" s="1921"/>
      <c r="U343" s="1921"/>
      <c r="V343" s="1921"/>
      <c r="W343" s="1921"/>
      <c r="X343" s="1921"/>
      <c r="Y343" s="1921"/>
      <c r="Z343" s="1921"/>
      <c r="AA343" s="1921"/>
      <c r="AB343" s="1921"/>
      <c r="AC343" s="1921"/>
      <c r="AD343" s="1921"/>
      <c r="AE343" s="1921"/>
      <c r="AF343" s="1921"/>
      <c r="AG343" s="1921"/>
      <c r="AH343" s="1921"/>
      <c r="AI343" s="1921"/>
      <c r="AJ343" s="1921"/>
      <c r="AK343" s="637"/>
      <c r="AL343" s="637"/>
      <c r="AM343" s="637"/>
      <c r="AN343" s="631"/>
      <c r="AQ343" s="604"/>
      <c r="AR343" s="604"/>
    </row>
    <row r="344" spans="1:46" s="584" customFormat="1" ht="13.15" customHeight="1">
      <c r="A344" s="637"/>
      <c r="B344" s="645"/>
      <c r="C344" s="1921"/>
      <c r="D344" s="1921"/>
      <c r="E344" s="1921"/>
      <c r="F344" s="1921"/>
      <c r="G344" s="1921"/>
      <c r="H344" s="1921"/>
      <c r="I344" s="1921"/>
      <c r="J344" s="1921"/>
      <c r="K344" s="1921"/>
      <c r="L344" s="1921"/>
      <c r="M344" s="1921"/>
      <c r="N344" s="1921"/>
      <c r="O344" s="1921"/>
      <c r="P344" s="1921"/>
      <c r="Q344" s="1921"/>
      <c r="R344" s="1921"/>
      <c r="S344" s="1921"/>
      <c r="T344" s="1921"/>
      <c r="U344" s="1921"/>
      <c r="V344" s="1921"/>
      <c r="W344" s="1921"/>
      <c r="X344" s="1921"/>
      <c r="Y344" s="1921"/>
      <c r="Z344" s="1921"/>
      <c r="AA344" s="1921"/>
      <c r="AB344" s="1921"/>
      <c r="AC344" s="1921"/>
      <c r="AD344" s="1921"/>
      <c r="AE344" s="1921"/>
      <c r="AF344" s="1921"/>
      <c r="AG344" s="1921"/>
      <c r="AH344" s="1921"/>
      <c r="AI344" s="1921"/>
      <c r="AJ344" s="1921"/>
      <c r="AK344" s="637"/>
      <c r="AL344" s="637"/>
      <c r="AM344" s="637"/>
      <c r="AN344" s="631"/>
      <c r="AQ344" s="604"/>
      <c r="AR344" s="604"/>
    </row>
    <row r="345" spans="1:46" s="584" customFormat="1" ht="12.75" customHeight="1">
      <c r="A345" s="637"/>
      <c r="B345" s="645"/>
      <c r="C345" s="1921"/>
      <c r="D345" s="1921"/>
      <c r="E345" s="1921"/>
      <c r="F345" s="1921"/>
      <c r="G345" s="1921"/>
      <c r="H345" s="1921"/>
      <c r="I345" s="1921"/>
      <c r="J345" s="1921"/>
      <c r="K345" s="1921"/>
      <c r="L345" s="1921"/>
      <c r="M345" s="1921"/>
      <c r="N345" s="1921"/>
      <c r="O345" s="1921"/>
      <c r="P345" s="1921"/>
      <c r="Q345" s="1921"/>
      <c r="R345" s="1921"/>
      <c r="S345" s="1921"/>
      <c r="T345" s="1921"/>
      <c r="U345" s="1921"/>
      <c r="V345" s="1921"/>
      <c r="W345" s="1921"/>
      <c r="X345" s="1921"/>
      <c r="Y345" s="1921"/>
      <c r="Z345" s="1921"/>
      <c r="AA345" s="1921"/>
      <c r="AB345" s="1921"/>
      <c r="AC345" s="1921"/>
      <c r="AD345" s="1921"/>
      <c r="AE345" s="1921"/>
      <c r="AF345" s="1921"/>
      <c r="AG345" s="1921"/>
      <c r="AH345" s="1921"/>
      <c r="AI345" s="1921"/>
      <c r="AJ345" s="1921"/>
      <c r="AK345" s="637"/>
      <c r="AL345" s="637"/>
      <c r="AM345" s="637"/>
      <c r="AN345" s="631"/>
      <c r="AO345" s="728"/>
      <c r="AP345" s="728"/>
      <c r="AQ345" s="604"/>
    </row>
    <row r="346" spans="1:46" s="584" customFormat="1" ht="11.85" customHeight="1">
      <c r="A346" s="637"/>
      <c r="B346" s="645"/>
      <c r="C346" s="1921"/>
      <c r="D346" s="1921"/>
      <c r="E346" s="1921"/>
      <c r="F346" s="1921"/>
      <c r="G346" s="1921"/>
      <c r="H346" s="1921"/>
      <c r="I346" s="1921"/>
      <c r="J346" s="1921"/>
      <c r="K346" s="1921"/>
      <c r="L346" s="1921"/>
      <c r="M346" s="1921"/>
      <c r="N346" s="1921"/>
      <c r="O346" s="1921"/>
      <c r="P346" s="1921"/>
      <c r="Q346" s="1921"/>
      <c r="R346" s="1921"/>
      <c r="S346" s="1921"/>
      <c r="T346" s="1921"/>
      <c r="U346" s="1921"/>
      <c r="V346" s="1921"/>
      <c r="W346" s="1921"/>
      <c r="X346" s="1921"/>
      <c r="Y346" s="1921"/>
      <c r="Z346" s="1921"/>
      <c r="AA346" s="1921"/>
      <c r="AB346" s="1921"/>
      <c r="AC346" s="1921"/>
      <c r="AD346" s="1921"/>
      <c r="AE346" s="1921"/>
      <c r="AF346" s="1921"/>
      <c r="AG346" s="1921"/>
      <c r="AH346" s="1921"/>
      <c r="AI346" s="1921"/>
      <c r="AJ346" s="1921"/>
      <c r="AK346" s="637"/>
      <c r="AL346" s="637"/>
      <c r="AM346" s="637"/>
      <c r="AN346" s="631"/>
      <c r="AO346" s="729" t="s">
        <v>112</v>
      </c>
      <c r="AP346" s="730">
        <f>IF(C370="Yes",5,0)</f>
        <v>0</v>
      </c>
      <c r="AS346" s="573" t="s">
        <v>1566</v>
      </c>
    </row>
    <row r="347" spans="1:46" s="584" customFormat="1" ht="12.75" customHeight="1">
      <c r="A347" s="637"/>
      <c r="B347" s="645"/>
      <c r="C347" s="1921"/>
      <c r="D347" s="1921"/>
      <c r="E347" s="1921"/>
      <c r="F347" s="1921"/>
      <c r="G347" s="1921"/>
      <c r="H347" s="1921"/>
      <c r="I347" s="1921"/>
      <c r="J347" s="1921"/>
      <c r="K347" s="1921"/>
      <c r="L347" s="1921"/>
      <c r="M347" s="1921"/>
      <c r="N347" s="1921"/>
      <c r="O347" s="1921"/>
      <c r="P347" s="1921"/>
      <c r="Q347" s="1921"/>
      <c r="R347" s="1921"/>
      <c r="S347" s="1921"/>
      <c r="T347" s="1921"/>
      <c r="U347" s="1921"/>
      <c r="V347" s="1921"/>
      <c r="W347" s="1921"/>
      <c r="X347" s="1921"/>
      <c r="Y347" s="1921"/>
      <c r="Z347" s="1921"/>
      <c r="AA347" s="1921"/>
      <c r="AB347" s="1921"/>
      <c r="AC347" s="1921"/>
      <c r="AD347" s="1921"/>
      <c r="AE347" s="1921"/>
      <c r="AF347" s="1921"/>
      <c r="AG347" s="1921"/>
      <c r="AH347" s="1921"/>
      <c r="AI347" s="1921"/>
      <c r="AJ347" s="1921"/>
      <c r="AK347" s="637"/>
      <c r="AL347" s="637"/>
      <c r="AM347" s="637"/>
      <c r="AN347" s="631"/>
      <c r="AO347" s="729" t="s">
        <v>113</v>
      </c>
      <c r="AP347" s="730">
        <f>IF(C378="Yes",5,0)</f>
        <v>0</v>
      </c>
      <c r="AS347" s="1886">
        <f>IF(Application!D211="Non-Targeted",(SUM(AQ355+AQ364)),AS351)</f>
        <v>10</v>
      </c>
      <c r="AT347" s="1886"/>
    </row>
    <row r="348" spans="1:46" s="584" customFormat="1" ht="12.75" customHeight="1">
      <c r="A348" s="637"/>
      <c r="B348" s="645"/>
      <c r="C348" s="1921"/>
      <c r="D348" s="1921"/>
      <c r="E348" s="1921"/>
      <c r="F348" s="1921"/>
      <c r="G348" s="1921"/>
      <c r="H348" s="1921"/>
      <c r="I348" s="1921"/>
      <c r="J348" s="1921"/>
      <c r="K348" s="1921"/>
      <c r="L348" s="1921"/>
      <c r="M348" s="1921"/>
      <c r="N348" s="1921"/>
      <c r="O348" s="1921"/>
      <c r="P348" s="1921"/>
      <c r="Q348" s="1921"/>
      <c r="R348" s="1921"/>
      <c r="S348" s="1921"/>
      <c r="T348" s="1921"/>
      <c r="U348" s="1921"/>
      <c r="V348" s="1921"/>
      <c r="W348" s="1921"/>
      <c r="X348" s="1921"/>
      <c r="Y348" s="1921"/>
      <c r="Z348" s="1921"/>
      <c r="AA348" s="1921"/>
      <c r="AB348" s="1921"/>
      <c r="AC348" s="1921"/>
      <c r="AD348" s="1921"/>
      <c r="AE348" s="1921"/>
      <c r="AF348" s="1921"/>
      <c r="AG348" s="1921"/>
      <c r="AH348" s="1921"/>
      <c r="AI348" s="1921"/>
      <c r="AJ348" s="1921"/>
      <c r="AK348" s="637"/>
      <c r="AL348" s="637"/>
      <c r="AM348" s="637"/>
      <c r="AN348" s="631"/>
      <c r="AO348" s="729" t="s">
        <v>119</v>
      </c>
      <c r="AP348" s="730">
        <f>IF(C386="Yes",7,0)</f>
        <v>0</v>
      </c>
      <c r="AS348" s="573" t="s">
        <v>1567</v>
      </c>
    </row>
    <row r="349" spans="1:46" s="584" customFormat="1" ht="12.75" customHeight="1">
      <c r="A349" s="637"/>
      <c r="B349" s="645"/>
      <c r="C349" s="1921"/>
      <c r="D349" s="1921"/>
      <c r="E349" s="1921"/>
      <c r="F349" s="1921"/>
      <c r="G349" s="1921"/>
      <c r="H349" s="1921"/>
      <c r="I349" s="1921"/>
      <c r="J349" s="1921"/>
      <c r="K349" s="1921"/>
      <c r="L349" s="1921"/>
      <c r="M349" s="1921"/>
      <c r="N349" s="1921"/>
      <c r="O349" s="1921"/>
      <c r="P349" s="1921"/>
      <c r="Q349" s="1921"/>
      <c r="R349" s="1921"/>
      <c r="S349" s="1921"/>
      <c r="T349" s="1921"/>
      <c r="U349" s="1921"/>
      <c r="V349" s="1921"/>
      <c r="W349" s="1921"/>
      <c r="X349" s="1921"/>
      <c r="Y349" s="1921"/>
      <c r="Z349" s="1921"/>
      <c r="AA349" s="1921"/>
      <c r="AB349" s="1921"/>
      <c r="AC349" s="1921"/>
      <c r="AD349" s="1921"/>
      <c r="AE349" s="1921"/>
      <c r="AF349" s="1921"/>
      <c r="AG349" s="1921"/>
      <c r="AH349" s="1921"/>
      <c r="AI349" s="1921"/>
      <c r="AJ349" s="1921"/>
      <c r="AK349" s="637"/>
      <c r="AL349" s="637"/>
      <c r="AM349" s="637"/>
      <c r="AN349" s="631"/>
      <c r="AO349" s="631"/>
      <c r="AP349" s="730">
        <f>IF(C388="Yes",5,0)</f>
        <v>5</v>
      </c>
      <c r="AS349" s="1886">
        <f>IF(AND(AQ355&gt;0,AQ364&gt;0),(AQ355+AQ364)/2,0)</f>
        <v>0</v>
      </c>
      <c r="AT349" s="1886"/>
    </row>
    <row r="350" spans="1:46" s="584" customFormat="1" ht="12.75" customHeight="1">
      <c r="A350" s="637"/>
      <c r="B350" s="645"/>
      <c r="C350" s="1921"/>
      <c r="D350" s="1921"/>
      <c r="E350" s="1921"/>
      <c r="F350" s="1921"/>
      <c r="G350" s="1921"/>
      <c r="H350" s="1921"/>
      <c r="I350" s="1921"/>
      <c r="J350" s="1921"/>
      <c r="K350" s="1921"/>
      <c r="L350" s="1921"/>
      <c r="M350" s="1921"/>
      <c r="N350" s="1921"/>
      <c r="O350" s="1921"/>
      <c r="P350" s="1921"/>
      <c r="Q350" s="1921"/>
      <c r="R350" s="1921"/>
      <c r="S350" s="1921"/>
      <c r="T350" s="1921"/>
      <c r="U350" s="1921"/>
      <c r="V350" s="1921"/>
      <c r="W350" s="1921"/>
      <c r="X350" s="1921"/>
      <c r="Y350" s="1921"/>
      <c r="Z350" s="1921"/>
      <c r="AA350" s="1921"/>
      <c r="AB350" s="1921"/>
      <c r="AC350" s="1921"/>
      <c r="AD350" s="1921"/>
      <c r="AE350" s="1921"/>
      <c r="AF350" s="1921"/>
      <c r="AG350" s="1921"/>
      <c r="AH350" s="1921"/>
      <c r="AI350" s="1921"/>
      <c r="AJ350" s="1921"/>
      <c r="AK350" s="637"/>
      <c r="AL350" s="637"/>
      <c r="AM350" s="637"/>
      <c r="AN350" s="631"/>
      <c r="AO350" s="729" t="s">
        <v>590</v>
      </c>
      <c r="AP350" s="730">
        <f>IF(C396="Yes",5,0)</f>
        <v>0</v>
      </c>
      <c r="AS350" s="573" t="s">
        <v>2069</v>
      </c>
    </row>
    <row r="351" spans="1:46" s="584" customFormat="1" ht="12.75" customHeight="1">
      <c r="A351" s="637"/>
      <c r="B351" s="645"/>
      <c r="C351" s="2015" t="s">
        <v>1568</v>
      </c>
      <c r="D351" s="2015"/>
      <c r="E351" s="2015"/>
      <c r="F351" s="2015"/>
      <c r="G351" s="2015"/>
      <c r="H351" s="2015"/>
      <c r="I351" s="2015"/>
      <c r="J351" s="2015"/>
      <c r="K351" s="2015"/>
      <c r="L351" s="2015"/>
      <c r="M351" s="2015"/>
      <c r="N351" s="2015"/>
      <c r="O351" s="2015"/>
      <c r="P351" s="2015"/>
      <c r="Q351" s="2015"/>
      <c r="R351" s="2015"/>
      <c r="S351" s="2015"/>
      <c r="T351" s="2015"/>
      <c r="U351" s="2015"/>
      <c r="V351" s="2015"/>
      <c r="W351" s="2015"/>
      <c r="X351" s="2015"/>
      <c r="Y351" s="2015"/>
      <c r="Z351" s="2015"/>
      <c r="AA351" s="2015"/>
      <c r="AB351" s="2015"/>
      <c r="AC351" s="2015"/>
      <c r="AD351" s="2015"/>
      <c r="AE351" s="2015"/>
      <c r="AF351" s="2015"/>
      <c r="AG351" s="2015"/>
      <c r="AH351" s="2015"/>
      <c r="AI351" s="2015"/>
      <c r="AJ351" s="2015"/>
      <c r="AK351" s="637"/>
      <c r="AL351" s="637"/>
      <c r="AM351" s="637"/>
      <c r="AN351" s="631"/>
      <c r="AO351" s="631"/>
      <c r="AP351" s="730">
        <f>IF(C398="Yes",3,0)</f>
        <v>0</v>
      </c>
      <c r="AS351" s="1886">
        <f>IF(AQ355=0,AQ364,AQ355)</f>
        <v>10</v>
      </c>
      <c r="AT351" s="1886"/>
    </row>
    <row r="352" spans="1:46" s="584" customFormat="1" ht="12.75" customHeight="1">
      <c r="A352" s="637"/>
      <c r="B352" s="645"/>
      <c r="C352" s="2015"/>
      <c r="D352" s="2015"/>
      <c r="E352" s="2015"/>
      <c r="F352" s="2015"/>
      <c r="G352" s="2015"/>
      <c r="H352" s="2015"/>
      <c r="I352" s="2015"/>
      <c r="J352" s="2015"/>
      <c r="K352" s="2015"/>
      <c r="L352" s="2015"/>
      <c r="M352" s="2015"/>
      <c r="N352" s="2015"/>
      <c r="O352" s="2015"/>
      <c r="P352" s="2015"/>
      <c r="Q352" s="2015"/>
      <c r="R352" s="2015"/>
      <c r="S352" s="2015"/>
      <c r="T352" s="2015"/>
      <c r="U352" s="2015"/>
      <c r="V352" s="2015"/>
      <c r="W352" s="2015"/>
      <c r="X352" s="2015"/>
      <c r="Y352" s="2015"/>
      <c r="Z352" s="2015"/>
      <c r="AA352" s="2015"/>
      <c r="AB352" s="2015"/>
      <c r="AC352" s="2015"/>
      <c r="AD352" s="2015"/>
      <c r="AE352" s="2015"/>
      <c r="AF352" s="2015"/>
      <c r="AG352" s="2015"/>
      <c r="AH352" s="2015"/>
      <c r="AI352" s="2015"/>
      <c r="AJ352" s="2015"/>
      <c r="AK352" s="637"/>
      <c r="AL352" s="637"/>
      <c r="AM352" s="637"/>
      <c r="AN352" s="631"/>
      <c r="AO352" s="729" t="s">
        <v>773</v>
      </c>
      <c r="AP352" s="730">
        <f>IF(C401="Yes",5,0)</f>
        <v>0</v>
      </c>
    </row>
    <row r="353" spans="1:81" s="584" customFormat="1" ht="12.75" customHeight="1">
      <c r="A353" s="637"/>
      <c r="B353" s="645"/>
      <c r="C353" s="2015"/>
      <c r="D353" s="2015"/>
      <c r="E353" s="2015"/>
      <c r="F353" s="2015"/>
      <c r="G353" s="2015"/>
      <c r="H353" s="2015"/>
      <c r="I353" s="2015"/>
      <c r="J353" s="2015"/>
      <c r="K353" s="2015"/>
      <c r="L353" s="2015"/>
      <c r="M353" s="2015"/>
      <c r="N353" s="2015"/>
      <c r="O353" s="2015"/>
      <c r="P353" s="2015"/>
      <c r="Q353" s="2015"/>
      <c r="R353" s="2015"/>
      <c r="S353" s="2015"/>
      <c r="T353" s="2015"/>
      <c r="U353" s="2015"/>
      <c r="V353" s="2015"/>
      <c r="W353" s="2015"/>
      <c r="X353" s="2015"/>
      <c r="Y353" s="2015"/>
      <c r="Z353" s="2015"/>
      <c r="AA353" s="2015"/>
      <c r="AB353" s="2015"/>
      <c r="AC353" s="2015"/>
      <c r="AD353" s="2015"/>
      <c r="AE353" s="2015"/>
      <c r="AF353" s="2015"/>
      <c r="AG353" s="2015"/>
      <c r="AH353" s="2015"/>
      <c r="AI353" s="2015"/>
      <c r="AJ353" s="2015"/>
      <c r="AK353" s="637"/>
      <c r="AL353" s="637"/>
      <c r="AM353" s="637"/>
      <c r="AN353" s="631"/>
      <c r="AO353" s="729" t="s">
        <v>593</v>
      </c>
      <c r="AP353" s="730">
        <f>IF(C410="Yes",5,0)</f>
        <v>5</v>
      </c>
    </row>
    <row r="354" spans="1:81" s="584" customFormat="1" ht="11.85" customHeight="1">
      <c r="A354" s="637"/>
      <c r="B354" s="645"/>
      <c r="C354" s="2015"/>
      <c r="D354" s="2015"/>
      <c r="E354" s="2015"/>
      <c r="F354" s="2015"/>
      <c r="G354" s="2015"/>
      <c r="H354" s="2015"/>
      <c r="I354" s="2015"/>
      <c r="J354" s="2015"/>
      <c r="K354" s="2015"/>
      <c r="L354" s="2015"/>
      <c r="M354" s="2015"/>
      <c r="N354" s="2015"/>
      <c r="O354" s="2015"/>
      <c r="P354" s="2015"/>
      <c r="Q354" s="2015"/>
      <c r="R354" s="2015"/>
      <c r="S354" s="2015"/>
      <c r="T354" s="2015"/>
      <c r="U354" s="2015"/>
      <c r="V354" s="2015"/>
      <c r="W354" s="2015"/>
      <c r="X354" s="2015"/>
      <c r="Y354" s="2015"/>
      <c r="Z354" s="2015"/>
      <c r="AA354" s="2015"/>
      <c r="AB354" s="2015"/>
      <c r="AC354" s="2015"/>
      <c r="AD354" s="2015"/>
      <c r="AE354" s="2015"/>
      <c r="AF354" s="2015"/>
      <c r="AG354" s="2015"/>
      <c r="AH354" s="2015"/>
      <c r="AI354" s="2015"/>
      <c r="AJ354" s="2015"/>
      <c r="AK354" s="637"/>
      <c r="AL354" s="637"/>
      <c r="AM354" s="637"/>
      <c r="AN354" s="631"/>
      <c r="AO354" s="731"/>
      <c r="AP354" s="732">
        <f>IF(C412="Yes",3,0)</f>
        <v>0</v>
      </c>
    </row>
    <row r="355" spans="1:81" s="584" customFormat="1" ht="12.4" customHeight="1">
      <c r="A355" s="637"/>
      <c r="B355" s="645"/>
      <c r="C355" s="2015"/>
      <c r="D355" s="2015"/>
      <c r="E355" s="2015"/>
      <c r="F355" s="2015"/>
      <c r="G355" s="2015"/>
      <c r="H355" s="2015"/>
      <c r="I355" s="2015"/>
      <c r="J355" s="2015"/>
      <c r="K355" s="2015"/>
      <c r="L355" s="2015"/>
      <c r="M355" s="2015"/>
      <c r="N355" s="2015"/>
      <c r="O355" s="2015"/>
      <c r="P355" s="2015"/>
      <c r="Q355" s="2015"/>
      <c r="R355" s="2015"/>
      <c r="S355" s="2015"/>
      <c r="T355" s="2015"/>
      <c r="U355" s="2015"/>
      <c r="V355" s="2015"/>
      <c r="W355" s="2015"/>
      <c r="X355" s="2015"/>
      <c r="Y355" s="2015"/>
      <c r="Z355" s="2015"/>
      <c r="AA355" s="2015"/>
      <c r="AB355" s="2015"/>
      <c r="AC355" s="2015"/>
      <c r="AD355" s="2015"/>
      <c r="AE355" s="2015"/>
      <c r="AF355" s="2015"/>
      <c r="AG355" s="2015"/>
      <c r="AH355" s="2015"/>
      <c r="AI355" s="2015"/>
      <c r="AJ355" s="2015"/>
      <c r="AK355" s="637"/>
      <c r="AL355" s="637"/>
      <c r="AM355" s="637"/>
      <c r="AN355" s="631"/>
      <c r="AO355" s="733" t="s">
        <v>228</v>
      </c>
      <c r="AP355" s="734">
        <f>SUM(AP346:AP354)</f>
        <v>10</v>
      </c>
      <c r="AQ355" s="1924">
        <f>IF(AP355&gt;0,AP355,0)</f>
        <v>10</v>
      </c>
      <c r="AR355" s="1924"/>
    </row>
    <row r="356" spans="1:81" s="584" customFormat="1" ht="12.75" customHeight="1">
      <c r="A356" s="637"/>
      <c r="B356" s="645"/>
      <c r="C356" s="2015"/>
      <c r="D356" s="2015"/>
      <c r="E356" s="2015"/>
      <c r="F356" s="2015"/>
      <c r="G356" s="2015"/>
      <c r="H356" s="2015"/>
      <c r="I356" s="2015"/>
      <c r="J356" s="2015"/>
      <c r="K356" s="2015"/>
      <c r="L356" s="2015"/>
      <c r="M356" s="2015"/>
      <c r="N356" s="2015"/>
      <c r="O356" s="2015"/>
      <c r="P356" s="2015"/>
      <c r="Q356" s="2015"/>
      <c r="R356" s="2015"/>
      <c r="S356" s="2015"/>
      <c r="T356" s="2015"/>
      <c r="U356" s="2015"/>
      <c r="V356" s="2015"/>
      <c r="W356" s="2015"/>
      <c r="X356" s="2015"/>
      <c r="Y356" s="2015"/>
      <c r="Z356" s="2015"/>
      <c r="AA356" s="2015"/>
      <c r="AB356" s="2015"/>
      <c r="AC356" s="2015"/>
      <c r="AD356" s="2015"/>
      <c r="AE356" s="2015"/>
      <c r="AF356" s="2015"/>
      <c r="AG356" s="2015"/>
      <c r="AH356" s="2015"/>
      <c r="AI356" s="2015"/>
      <c r="AJ356" s="201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1" t="s">
        <v>1569</v>
      </c>
      <c r="D358" s="1921"/>
      <c r="E358" s="1921"/>
      <c r="F358" s="1921"/>
      <c r="G358" s="1921"/>
      <c r="H358" s="1921"/>
      <c r="I358" s="1921"/>
      <c r="J358" s="1921"/>
      <c r="K358" s="1921"/>
      <c r="L358" s="1921"/>
      <c r="M358" s="1921"/>
      <c r="N358" s="1921"/>
      <c r="O358" s="1921"/>
      <c r="P358" s="1921"/>
      <c r="Q358" s="1921"/>
      <c r="R358" s="1921"/>
      <c r="S358" s="1921"/>
      <c r="T358" s="1921"/>
      <c r="U358" s="1921"/>
      <c r="V358" s="1921"/>
      <c r="W358" s="1921"/>
      <c r="X358" s="1921"/>
      <c r="Y358" s="1921"/>
      <c r="Z358" s="1921"/>
      <c r="AA358" s="1921"/>
      <c r="AB358" s="1921"/>
      <c r="AC358" s="1921"/>
      <c r="AD358" s="1921"/>
      <c r="AE358" s="1921"/>
      <c r="AF358" s="1921"/>
      <c r="AG358" s="1921"/>
      <c r="AH358" s="1921"/>
      <c r="AI358" s="1921"/>
      <c r="AJ358" s="1921"/>
      <c r="AK358" s="637"/>
      <c r="AL358" s="637"/>
      <c r="AM358" s="637"/>
      <c r="AN358" s="631"/>
      <c r="AO358" s="729" t="s">
        <v>465</v>
      </c>
      <c r="AP358" s="730">
        <f>IF(C431="Yes",5,0)</f>
        <v>0</v>
      </c>
    </row>
    <row r="359" spans="1:81" s="584" customFormat="1" ht="12.75" customHeight="1">
      <c r="A359" s="637"/>
      <c r="B359" s="645"/>
      <c r="C359" s="1921"/>
      <c r="D359" s="1921"/>
      <c r="E359" s="1921"/>
      <c r="F359" s="1921"/>
      <c r="G359" s="1921"/>
      <c r="H359" s="1921"/>
      <c r="I359" s="1921"/>
      <c r="J359" s="1921"/>
      <c r="K359" s="1921"/>
      <c r="L359" s="1921"/>
      <c r="M359" s="1921"/>
      <c r="N359" s="1921"/>
      <c r="O359" s="1921"/>
      <c r="P359" s="1921"/>
      <c r="Q359" s="1921"/>
      <c r="R359" s="1921"/>
      <c r="S359" s="1921"/>
      <c r="T359" s="1921"/>
      <c r="U359" s="1921"/>
      <c r="V359" s="1921"/>
      <c r="W359" s="1921"/>
      <c r="X359" s="1921"/>
      <c r="Y359" s="1921"/>
      <c r="Z359" s="1921"/>
      <c r="AA359" s="1921"/>
      <c r="AB359" s="1921"/>
      <c r="AC359" s="1921"/>
      <c r="AD359" s="1921"/>
      <c r="AE359" s="1921"/>
      <c r="AF359" s="1921"/>
      <c r="AG359" s="1921"/>
      <c r="AH359" s="1921"/>
      <c r="AI359" s="1921"/>
      <c r="AJ359" s="1921"/>
      <c r="AK359" s="637"/>
      <c r="AL359" s="637"/>
      <c r="AM359" s="637"/>
      <c r="AN359" s="631"/>
      <c r="AO359" s="729" t="s">
        <v>470</v>
      </c>
      <c r="AP359" s="730">
        <f>IF(C438="Yes",5,0)</f>
        <v>0</v>
      </c>
    </row>
    <row r="360" spans="1:81" s="584" customFormat="1" ht="68.099999999999994" customHeight="1">
      <c r="A360" s="637"/>
      <c r="B360" s="645"/>
      <c r="C360" s="1921"/>
      <c r="D360" s="1921"/>
      <c r="E360" s="1921"/>
      <c r="F360" s="1921"/>
      <c r="G360" s="1921"/>
      <c r="H360" s="1921"/>
      <c r="I360" s="1921"/>
      <c r="J360" s="1921"/>
      <c r="K360" s="1921"/>
      <c r="L360" s="1921"/>
      <c r="M360" s="1921"/>
      <c r="N360" s="1921"/>
      <c r="O360" s="1921"/>
      <c r="P360" s="1921"/>
      <c r="Q360" s="1921"/>
      <c r="R360" s="1921"/>
      <c r="S360" s="1921"/>
      <c r="T360" s="1921"/>
      <c r="U360" s="1921"/>
      <c r="V360" s="1921"/>
      <c r="W360" s="1921"/>
      <c r="X360" s="1921"/>
      <c r="Y360" s="1921"/>
      <c r="Z360" s="1921"/>
      <c r="AA360" s="1921"/>
      <c r="AB360" s="1921"/>
      <c r="AC360" s="1921"/>
      <c r="AD360" s="1921"/>
      <c r="AE360" s="1921"/>
      <c r="AF360" s="1921"/>
      <c r="AG360" s="1921"/>
      <c r="AH360" s="1921"/>
      <c r="AI360" s="1921"/>
      <c r="AJ360" s="1921"/>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2">
        <f>Application!CS660-U363</f>
        <v>240</v>
      </c>
      <c r="V362" s="1922"/>
      <c r="W362" s="1922"/>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3">
        <f>IF(Application!D211="SRO",Application!CS634,Application!AG756)</f>
        <v>0</v>
      </c>
      <c r="V363" s="1923"/>
      <c r="W363" s="192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4">
        <f>IF(AP364&gt;0,AP364,0)</f>
        <v>0</v>
      </c>
      <c r="AR364" s="1924"/>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15" t="s">
        <v>1571</v>
      </c>
      <c r="G366" s="1915"/>
      <c r="H366" s="1915"/>
      <c r="I366" s="1915"/>
      <c r="J366" s="1915"/>
      <c r="K366" s="1915"/>
      <c r="L366" s="1915"/>
      <c r="M366" s="1915"/>
      <c r="N366" s="1915"/>
      <c r="O366" s="1915"/>
      <c r="P366" s="1915"/>
      <c r="Q366" s="1915"/>
      <c r="R366" s="1915"/>
      <c r="S366" s="1915"/>
      <c r="T366" s="1915"/>
      <c r="U366" s="1915"/>
      <c r="V366" s="1915"/>
      <c r="W366" s="1915"/>
      <c r="X366" s="1915"/>
      <c r="Y366" s="1915"/>
      <c r="Z366" s="1915"/>
      <c r="AA366" s="1915"/>
      <c r="AB366" s="1915"/>
      <c r="AC366" s="1915"/>
      <c r="AD366" s="1915"/>
      <c r="AE366" s="1915"/>
      <c r="AF366" s="1915"/>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16"/>
      <c r="G367" s="1916"/>
      <c r="H367" s="1916"/>
      <c r="I367" s="1916"/>
      <c r="J367" s="1916"/>
      <c r="K367" s="1916"/>
      <c r="L367" s="1916"/>
      <c r="M367" s="1916"/>
      <c r="N367" s="1916"/>
      <c r="O367" s="1916"/>
      <c r="P367" s="1916"/>
      <c r="Q367" s="1916"/>
      <c r="R367" s="1916"/>
      <c r="S367" s="1916"/>
      <c r="T367" s="1916"/>
      <c r="U367" s="1916"/>
      <c r="V367" s="1916"/>
      <c r="W367" s="1916"/>
      <c r="X367" s="1916"/>
      <c r="Y367" s="1916"/>
      <c r="Z367" s="1916"/>
      <c r="AA367" s="1916"/>
      <c r="AB367" s="1916"/>
      <c r="AC367" s="1916"/>
      <c r="AD367" s="1916"/>
      <c r="AE367" s="1916"/>
      <c r="AF367" s="1916"/>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16"/>
      <c r="G368" s="1916"/>
      <c r="H368" s="1916"/>
      <c r="I368" s="1916"/>
      <c r="J368" s="1916"/>
      <c r="K368" s="1916"/>
      <c r="L368" s="1916"/>
      <c r="M368" s="1916"/>
      <c r="N368" s="1916"/>
      <c r="O368" s="1916"/>
      <c r="P368" s="1916"/>
      <c r="Q368" s="1916"/>
      <c r="R368" s="1916"/>
      <c r="S368" s="1916"/>
      <c r="T368" s="1916"/>
      <c r="U368" s="1916"/>
      <c r="V368" s="1916"/>
      <c r="W368" s="1916"/>
      <c r="X368" s="1916"/>
      <c r="Y368" s="1916"/>
      <c r="Z368" s="1916"/>
      <c r="AA368" s="1916"/>
      <c r="AB368" s="1916"/>
      <c r="AC368" s="1916"/>
      <c r="AD368" s="1916"/>
      <c r="AE368" s="1916"/>
      <c r="AF368" s="1916"/>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16"/>
      <c r="G369" s="1916"/>
      <c r="H369" s="1916"/>
      <c r="I369" s="1916"/>
      <c r="J369" s="1916"/>
      <c r="K369" s="1916"/>
      <c r="L369" s="1916"/>
      <c r="M369" s="1916"/>
      <c r="N369" s="1916"/>
      <c r="O369" s="1916"/>
      <c r="P369" s="1916"/>
      <c r="Q369" s="1916"/>
      <c r="R369" s="1916"/>
      <c r="S369" s="1916"/>
      <c r="T369" s="1916"/>
      <c r="U369" s="1916"/>
      <c r="V369" s="1916"/>
      <c r="W369" s="1916"/>
      <c r="X369" s="1916"/>
      <c r="Y369" s="1916"/>
      <c r="Z369" s="1916"/>
      <c r="AA369" s="1916"/>
      <c r="AB369" s="1916"/>
      <c r="AC369" s="1916"/>
      <c r="AD369" s="1916"/>
      <c r="AE369" s="1916"/>
      <c r="AF369" s="1916"/>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5" t="s">
        <v>600</v>
      </c>
      <c r="D370" s="1926"/>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4" t="s">
        <v>1573</v>
      </c>
      <c r="AG370" s="1914"/>
      <c r="AH370" s="1914"/>
      <c r="AI370" s="1914"/>
      <c r="AJ370" s="1914"/>
      <c r="AK370" s="1914"/>
      <c r="AL370" s="1927"/>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15" t="s">
        <v>1574</v>
      </c>
      <c r="G373" s="1915"/>
      <c r="H373" s="1915"/>
      <c r="I373" s="1915"/>
      <c r="J373" s="1915"/>
      <c r="K373" s="1915"/>
      <c r="L373" s="1915"/>
      <c r="M373" s="1915"/>
      <c r="N373" s="1915"/>
      <c r="O373" s="1915"/>
      <c r="P373" s="1915"/>
      <c r="Q373" s="1915"/>
      <c r="R373" s="1915"/>
      <c r="S373" s="1915"/>
      <c r="T373" s="1915"/>
      <c r="U373" s="1915"/>
      <c r="V373" s="1915"/>
      <c r="W373" s="1915"/>
      <c r="X373" s="1915"/>
      <c r="Y373" s="1915"/>
      <c r="Z373" s="1915"/>
      <c r="AA373" s="1915"/>
      <c r="AB373" s="1915"/>
      <c r="AC373" s="1915"/>
      <c r="AD373" s="1915"/>
      <c r="AE373" s="1915"/>
      <c r="AF373" s="1915"/>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16"/>
      <c r="G374" s="1916"/>
      <c r="H374" s="1916"/>
      <c r="I374" s="1916"/>
      <c r="J374" s="1916"/>
      <c r="K374" s="1916"/>
      <c r="L374" s="1916"/>
      <c r="M374" s="1916"/>
      <c r="N374" s="1916"/>
      <c r="O374" s="1916"/>
      <c r="P374" s="1916"/>
      <c r="Q374" s="1916"/>
      <c r="R374" s="1916"/>
      <c r="S374" s="1916"/>
      <c r="T374" s="1916"/>
      <c r="U374" s="1916"/>
      <c r="V374" s="1916"/>
      <c r="W374" s="1916"/>
      <c r="X374" s="1916"/>
      <c r="Y374" s="1916"/>
      <c r="Z374" s="1916"/>
      <c r="AA374" s="1916"/>
      <c r="AB374" s="1916"/>
      <c r="AC374" s="1916"/>
      <c r="AD374" s="1916"/>
      <c r="AE374" s="1916"/>
      <c r="AF374" s="1916"/>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16"/>
      <c r="G375" s="1916"/>
      <c r="H375" s="1916"/>
      <c r="I375" s="1916"/>
      <c r="J375" s="1916"/>
      <c r="K375" s="1916"/>
      <c r="L375" s="1916"/>
      <c r="M375" s="1916"/>
      <c r="N375" s="1916"/>
      <c r="O375" s="1916"/>
      <c r="P375" s="1916"/>
      <c r="Q375" s="1916"/>
      <c r="R375" s="1916"/>
      <c r="S375" s="1916"/>
      <c r="T375" s="1916"/>
      <c r="U375" s="1916"/>
      <c r="V375" s="1916"/>
      <c r="W375" s="1916"/>
      <c r="X375" s="1916"/>
      <c r="Y375" s="1916"/>
      <c r="Z375" s="1916"/>
      <c r="AA375" s="1916"/>
      <c r="AB375" s="1916"/>
      <c r="AC375" s="1916"/>
      <c r="AD375" s="1916"/>
      <c r="AE375" s="1916"/>
      <c r="AF375" s="1916"/>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16"/>
      <c r="G376" s="1916"/>
      <c r="H376" s="1916"/>
      <c r="I376" s="1916"/>
      <c r="J376" s="1916"/>
      <c r="K376" s="1916"/>
      <c r="L376" s="1916"/>
      <c r="M376" s="1916"/>
      <c r="N376" s="1916"/>
      <c r="O376" s="1916"/>
      <c r="P376" s="1916"/>
      <c r="Q376" s="1916"/>
      <c r="R376" s="1916"/>
      <c r="S376" s="1916"/>
      <c r="T376" s="1916"/>
      <c r="U376" s="1916"/>
      <c r="V376" s="1916"/>
      <c r="W376" s="1916"/>
      <c r="X376" s="1916"/>
      <c r="Y376" s="1916"/>
      <c r="Z376" s="1916"/>
      <c r="AA376" s="1916"/>
      <c r="AB376" s="1916"/>
      <c r="AC376" s="1916"/>
      <c r="AD376" s="1916"/>
      <c r="AE376" s="1916"/>
      <c r="AF376" s="1916"/>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16"/>
      <c r="G377" s="1916"/>
      <c r="H377" s="1916"/>
      <c r="I377" s="1916"/>
      <c r="J377" s="1916"/>
      <c r="K377" s="1916"/>
      <c r="L377" s="1916"/>
      <c r="M377" s="1916"/>
      <c r="N377" s="1916"/>
      <c r="O377" s="1916"/>
      <c r="P377" s="1916"/>
      <c r="Q377" s="1916"/>
      <c r="R377" s="1916"/>
      <c r="S377" s="1916"/>
      <c r="T377" s="1916"/>
      <c r="U377" s="1916"/>
      <c r="V377" s="1916"/>
      <c r="W377" s="1916"/>
      <c r="X377" s="1916"/>
      <c r="Y377" s="1916"/>
      <c r="Z377" s="1916"/>
      <c r="AA377" s="1916"/>
      <c r="AB377" s="1916"/>
      <c r="AC377" s="1916"/>
      <c r="AD377" s="1916"/>
      <c r="AE377" s="1916"/>
      <c r="AF377" s="1916"/>
      <c r="AL377" s="766"/>
      <c r="AN377" s="631"/>
      <c r="BS377" s="30"/>
      <c r="BT377" s="30"/>
      <c r="BU377" s="14"/>
      <c r="BV377" s="14"/>
      <c r="BW377" s="14"/>
      <c r="BX377" s="14"/>
      <c r="BY377" s="14"/>
      <c r="BZ377" s="14"/>
      <c r="CA377" s="14"/>
      <c r="CB377" s="14"/>
      <c r="CC377" s="14"/>
    </row>
    <row r="378" spans="1:81" s="584" customFormat="1" ht="12.75" customHeight="1">
      <c r="A378" s="570"/>
      <c r="B378" s="14"/>
      <c r="C378" s="1925" t="s">
        <v>600</v>
      </c>
      <c r="D378" s="1926"/>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4" t="s">
        <v>1573</v>
      </c>
      <c r="AG378" s="1914"/>
      <c r="AH378" s="1914"/>
      <c r="AI378" s="1914"/>
      <c r="AJ378" s="1914"/>
      <c r="AK378" s="1914"/>
      <c r="AL378" s="1927"/>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15" t="s">
        <v>1576</v>
      </c>
      <c r="G381" s="1915"/>
      <c r="H381" s="1915"/>
      <c r="I381" s="1915"/>
      <c r="J381" s="1915"/>
      <c r="K381" s="1915"/>
      <c r="L381" s="1915"/>
      <c r="M381" s="1915"/>
      <c r="N381" s="1915"/>
      <c r="O381" s="1915"/>
      <c r="P381" s="1915"/>
      <c r="Q381" s="1915"/>
      <c r="R381" s="1915"/>
      <c r="S381" s="1915"/>
      <c r="T381" s="1915"/>
      <c r="U381" s="1915"/>
      <c r="V381" s="1915"/>
      <c r="W381" s="1915"/>
      <c r="X381" s="1915"/>
      <c r="Y381" s="1915"/>
      <c r="Z381" s="1915"/>
      <c r="AA381" s="1915"/>
      <c r="AB381" s="1915"/>
      <c r="AC381" s="1915"/>
      <c r="AD381" s="1915"/>
      <c r="AE381" s="1915"/>
      <c r="AF381" s="1915"/>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16"/>
      <c r="G382" s="1916"/>
      <c r="H382" s="1916"/>
      <c r="I382" s="1916"/>
      <c r="J382" s="1916"/>
      <c r="K382" s="1916"/>
      <c r="L382" s="1916"/>
      <c r="M382" s="1916"/>
      <c r="N382" s="1916"/>
      <c r="O382" s="1916"/>
      <c r="P382" s="1916"/>
      <c r="Q382" s="1916"/>
      <c r="R382" s="1916"/>
      <c r="S382" s="1916"/>
      <c r="T382" s="1916"/>
      <c r="U382" s="1916"/>
      <c r="V382" s="1916"/>
      <c r="W382" s="1916"/>
      <c r="X382" s="1916"/>
      <c r="Y382" s="1916"/>
      <c r="Z382" s="1916"/>
      <c r="AA382" s="1916"/>
      <c r="AB382" s="1916"/>
      <c r="AC382" s="1916"/>
      <c r="AD382" s="1916"/>
      <c r="AE382" s="1916"/>
      <c r="AF382" s="1916"/>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16"/>
      <c r="G383" s="1916"/>
      <c r="H383" s="1916"/>
      <c r="I383" s="1916"/>
      <c r="J383" s="1916"/>
      <c r="K383" s="1916"/>
      <c r="L383" s="1916"/>
      <c r="M383" s="1916"/>
      <c r="N383" s="1916"/>
      <c r="O383" s="1916"/>
      <c r="P383" s="1916"/>
      <c r="Q383" s="1916"/>
      <c r="R383" s="1916"/>
      <c r="S383" s="1916"/>
      <c r="T383" s="1916"/>
      <c r="U383" s="1916"/>
      <c r="V383" s="1916"/>
      <c r="W383" s="1916"/>
      <c r="X383" s="1916"/>
      <c r="Y383" s="1916"/>
      <c r="Z383" s="1916"/>
      <c r="AA383" s="1916"/>
      <c r="AB383" s="1916"/>
      <c r="AC383" s="1916"/>
      <c r="AD383" s="1916"/>
      <c r="AE383" s="1916"/>
      <c r="AF383" s="1916"/>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16"/>
      <c r="G384" s="1916"/>
      <c r="H384" s="1916"/>
      <c r="I384" s="1916"/>
      <c r="J384" s="1916"/>
      <c r="K384" s="1916"/>
      <c r="L384" s="1916"/>
      <c r="M384" s="1916"/>
      <c r="N384" s="1916"/>
      <c r="O384" s="1916"/>
      <c r="P384" s="1916"/>
      <c r="Q384" s="1916"/>
      <c r="R384" s="1916"/>
      <c r="S384" s="1916"/>
      <c r="T384" s="1916"/>
      <c r="U384" s="1916"/>
      <c r="V384" s="1916"/>
      <c r="W384" s="1916"/>
      <c r="X384" s="1916"/>
      <c r="Y384" s="1916"/>
      <c r="Z384" s="1916"/>
      <c r="AA384" s="1916"/>
      <c r="AB384" s="1916"/>
      <c r="AC384" s="1916"/>
      <c r="AD384" s="1916"/>
      <c r="AE384" s="1916"/>
      <c r="AF384" s="1916"/>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16"/>
      <c r="G385" s="1916"/>
      <c r="H385" s="1916"/>
      <c r="I385" s="1916"/>
      <c r="J385" s="1916"/>
      <c r="K385" s="1916"/>
      <c r="L385" s="1916"/>
      <c r="M385" s="1916"/>
      <c r="N385" s="1916"/>
      <c r="O385" s="1916"/>
      <c r="P385" s="1916"/>
      <c r="Q385" s="1916"/>
      <c r="R385" s="1916"/>
      <c r="S385" s="1916"/>
      <c r="T385" s="1916"/>
      <c r="U385" s="1916"/>
      <c r="V385" s="1916"/>
      <c r="W385" s="1916"/>
      <c r="X385" s="1916"/>
      <c r="Y385" s="1916"/>
      <c r="Z385" s="1916"/>
      <c r="AA385" s="1916"/>
      <c r="AB385" s="1916"/>
      <c r="AC385" s="1916"/>
      <c r="AD385" s="1916"/>
      <c r="AE385" s="1916"/>
      <c r="AF385" s="1916"/>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5" t="s">
        <v>600</v>
      </c>
      <c r="D386" s="1926"/>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4" t="s">
        <v>1578</v>
      </c>
      <c r="AG386" s="1914"/>
      <c r="AH386" s="1914"/>
      <c r="AI386" s="1914"/>
      <c r="AJ386" s="1914"/>
      <c r="AK386" s="1914"/>
      <c r="AL386" s="1927"/>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5" t="s">
        <v>554</v>
      </c>
      <c r="D388" s="1926"/>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4" t="s">
        <v>1573</v>
      </c>
      <c r="AG388" s="1914"/>
      <c r="AH388" s="1914"/>
      <c r="AI388" s="1914"/>
      <c r="AJ388" s="1914"/>
      <c r="AK388" s="1914"/>
      <c r="AL388" s="1927"/>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15" t="s">
        <v>1582</v>
      </c>
      <c r="G392" s="1915"/>
      <c r="H392" s="1915"/>
      <c r="I392" s="1915"/>
      <c r="J392" s="1915"/>
      <c r="K392" s="1915"/>
      <c r="L392" s="1915"/>
      <c r="M392" s="1915"/>
      <c r="N392" s="1915"/>
      <c r="O392" s="1915"/>
      <c r="P392" s="1915"/>
      <c r="Q392" s="1915"/>
      <c r="R392" s="1915"/>
      <c r="S392" s="1915"/>
      <c r="T392" s="1915"/>
      <c r="U392" s="1915"/>
      <c r="V392" s="1915"/>
      <c r="W392" s="1915"/>
      <c r="X392" s="1915"/>
      <c r="Y392" s="1915"/>
      <c r="Z392" s="1915"/>
      <c r="AA392" s="1915"/>
      <c r="AB392" s="1915"/>
      <c r="AC392" s="1915"/>
      <c r="AD392" s="1915"/>
      <c r="AE392" s="1915"/>
      <c r="AF392" s="1915"/>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16"/>
      <c r="G393" s="1916"/>
      <c r="H393" s="1916"/>
      <c r="I393" s="1916"/>
      <c r="J393" s="1916"/>
      <c r="K393" s="1916"/>
      <c r="L393" s="1916"/>
      <c r="M393" s="1916"/>
      <c r="N393" s="1916"/>
      <c r="O393" s="1916"/>
      <c r="P393" s="1916"/>
      <c r="Q393" s="1916"/>
      <c r="R393" s="1916"/>
      <c r="S393" s="1916"/>
      <c r="T393" s="1916"/>
      <c r="U393" s="1916"/>
      <c r="V393" s="1916"/>
      <c r="W393" s="1916"/>
      <c r="X393" s="1916"/>
      <c r="Y393" s="1916"/>
      <c r="Z393" s="1916"/>
      <c r="AA393" s="1916"/>
      <c r="AB393" s="1916"/>
      <c r="AC393" s="1916"/>
      <c r="AD393" s="1916"/>
      <c r="AE393" s="1916"/>
      <c r="AF393" s="1916"/>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16"/>
      <c r="G394" s="1916"/>
      <c r="H394" s="1916"/>
      <c r="I394" s="1916"/>
      <c r="J394" s="1916"/>
      <c r="K394" s="1916"/>
      <c r="L394" s="1916"/>
      <c r="M394" s="1916"/>
      <c r="N394" s="1916"/>
      <c r="O394" s="1916"/>
      <c r="P394" s="1916"/>
      <c r="Q394" s="1916"/>
      <c r="R394" s="1916"/>
      <c r="S394" s="1916"/>
      <c r="T394" s="1916"/>
      <c r="U394" s="1916"/>
      <c r="V394" s="1916"/>
      <c r="W394" s="1916"/>
      <c r="X394" s="1916"/>
      <c r="Y394" s="1916"/>
      <c r="Z394" s="1916"/>
      <c r="AA394" s="1916"/>
      <c r="AB394" s="1916"/>
      <c r="AC394" s="1916"/>
      <c r="AD394" s="1916"/>
      <c r="AE394" s="1916"/>
      <c r="AF394" s="1916"/>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16"/>
      <c r="G395" s="1916"/>
      <c r="H395" s="1916"/>
      <c r="I395" s="1916"/>
      <c r="J395" s="1916"/>
      <c r="K395" s="1916"/>
      <c r="L395" s="1916"/>
      <c r="M395" s="1916"/>
      <c r="N395" s="1916"/>
      <c r="O395" s="1916"/>
      <c r="P395" s="1916"/>
      <c r="Q395" s="1916"/>
      <c r="R395" s="1916"/>
      <c r="S395" s="1916"/>
      <c r="T395" s="1916"/>
      <c r="U395" s="1916"/>
      <c r="V395" s="1916"/>
      <c r="W395" s="1916"/>
      <c r="X395" s="1916"/>
      <c r="Y395" s="1916"/>
      <c r="Z395" s="1916"/>
      <c r="AA395" s="1916"/>
      <c r="AB395" s="1916"/>
      <c r="AC395" s="1916"/>
      <c r="AD395" s="1916"/>
      <c r="AE395" s="1916"/>
      <c r="AF395" s="1916"/>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5" t="s">
        <v>600</v>
      </c>
      <c r="D396" s="1926"/>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4" t="s">
        <v>1573</v>
      </c>
      <c r="AG396" s="1914"/>
      <c r="AH396" s="1914"/>
      <c r="AI396" s="1914"/>
      <c r="AJ396" s="1914"/>
      <c r="AK396" s="1914"/>
      <c r="AL396" s="1927"/>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5" t="s">
        <v>600</v>
      </c>
      <c r="D398" s="1926"/>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4" t="s">
        <v>1585</v>
      </c>
      <c r="AG398" s="1914"/>
      <c r="AH398" s="1914"/>
      <c r="AI398" s="1914"/>
      <c r="AJ398" s="1914"/>
      <c r="AK398" s="1914"/>
      <c r="AL398" s="1927"/>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5" t="s">
        <v>600</v>
      </c>
      <c r="D401" s="1926"/>
      <c r="E401" s="749" t="s">
        <v>1586</v>
      </c>
      <c r="F401" s="1915" t="s">
        <v>1587</v>
      </c>
      <c r="G401" s="1915"/>
      <c r="H401" s="1915"/>
      <c r="I401" s="1915"/>
      <c r="J401" s="1915"/>
      <c r="K401" s="1915"/>
      <c r="L401" s="1915"/>
      <c r="M401" s="1915"/>
      <c r="N401" s="1915"/>
      <c r="O401" s="1915"/>
      <c r="P401" s="1915"/>
      <c r="Q401" s="1915"/>
      <c r="R401" s="1915"/>
      <c r="S401" s="1915"/>
      <c r="T401" s="1915"/>
      <c r="U401" s="1915"/>
      <c r="V401" s="1915"/>
      <c r="W401" s="1915"/>
      <c r="X401" s="1915"/>
      <c r="Y401" s="1915"/>
      <c r="Z401" s="1915"/>
      <c r="AA401" s="1915"/>
      <c r="AB401" s="1915"/>
      <c r="AC401" s="1915"/>
      <c r="AD401" s="1915"/>
      <c r="AE401" s="1915"/>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16"/>
      <c r="G402" s="1916"/>
      <c r="H402" s="1916"/>
      <c r="I402" s="1916"/>
      <c r="J402" s="1916"/>
      <c r="K402" s="1916"/>
      <c r="L402" s="1916"/>
      <c r="M402" s="1916"/>
      <c r="N402" s="1916"/>
      <c r="O402" s="1916"/>
      <c r="P402" s="1916"/>
      <c r="Q402" s="1916"/>
      <c r="R402" s="1916"/>
      <c r="S402" s="1916"/>
      <c r="T402" s="1916"/>
      <c r="U402" s="1916"/>
      <c r="V402" s="1916"/>
      <c r="W402" s="1916"/>
      <c r="X402" s="1916"/>
      <c r="Y402" s="1916"/>
      <c r="Z402" s="1916"/>
      <c r="AA402" s="1916"/>
      <c r="AB402" s="1916"/>
      <c r="AC402" s="1916"/>
      <c r="AD402" s="1916"/>
      <c r="AE402" s="1916"/>
      <c r="AF402" s="1984" t="s">
        <v>1573</v>
      </c>
      <c r="AG402" s="1984"/>
      <c r="AH402" s="1984"/>
      <c r="AI402" s="1984"/>
      <c r="AJ402" s="1984"/>
      <c r="AK402" s="1984"/>
      <c r="AL402" s="2014"/>
      <c r="AM402" s="604"/>
      <c r="AN402" s="631"/>
      <c r="BS402" s="604"/>
      <c r="BT402" s="604"/>
      <c r="BY402" s="604"/>
      <c r="BZ402" s="604"/>
      <c r="CA402" s="604"/>
      <c r="CB402" s="604"/>
      <c r="CC402" s="604"/>
    </row>
    <row r="403" spans="1:81" s="584" customFormat="1" ht="12.75" customHeight="1">
      <c r="A403" s="570"/>
      <c r="B403" s="14"/>
      <c r="C403" s="765"/>
      <c r="D403" s="14"/>
      <c r="E403" s="725"/>
      <c r="F403" s="1916"/>
      <c r="G403" s="1916"/>
      <c r="H403" s="1916"/>
      <c r="I403" s="1916"/>
      <c r="J403" s="1916"/>
      <c r="K403" s="1916"/>
      <c r="L403" s="1916"/>
      <c r="M403" s="1916"/>
      <c r="N403" s="1916"/>
      <c r="O403" s="1916"/>
      <c r="P403" s="1916"/>
      <c r="Q403" s="1916"/>
      <c r="R403" s="1916"/>
      <c r="S403" s="1916"/>
      <c r="T403" s="1916"/>
      <c r="U403" s="1916"/>
      <c r="V403" s="1916"/>
      <c r="W403" s="1916"/>
      <c r="X403" s="1916"/>
      <c r="Y403" s="1916"/>
      <c r="Z403" s="1916"/>
      <c r="AA403" s="1916"/>
      <c r="AB403" s="1916"/>
      <c r="AC403" s="1916"/>
      <c r="AD403" s="1916"/>
      <c r="AE403" s="1916"/>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1998"/>
      <c r="G404" s="1998"/>
      <c r="H404" s="1998"/>
      <c r="I404" s="1998"/>
      <c r="J404" s="1998"/>
      <c r="K404" s="1998"/>
      <c r="L404" s="1998"/>
      <c r="M404" s="1998"/>
      <c r="N404" s="1998"/>
      <c r="O404" s="1998"/>
      <c r="P404" s="1998"/>
      <c r="Q404" s="1998"/>
      <c r="R404" s="1998"/>
      <c r="S404" s="1998"/>
      <c r="T404" s="1998"/>
      <c r="U404" s="1998"/>
      <c r="V404" s="1998"/>
      <c r="W404" s="1998"/>
      <c r="X404" s="1998"/>
      <c r="Y404" s="1998"/>
      <c r="Z404" s="1998"/>
      <c r="AA404" s="1998"/>
      <c r="AB404" s="1998"/>
      <c r="AC404" s="1998"/>
      <c r="AD404" s="1998"/>
      <c r="AE404" s="199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15" t="s">
        <v>1589</v>
      </c>
      <c r="G406" s="1915"/>
      <c r="H406" s="1915"/>
      <c r="I406" s="1915"/>
      <c r="J406" s="1915"/>
      <c r="K406" s="1915"/>
      <c r="L406" s="1915"/>
      <c r="M406" s="1915"/>
      <c r="N406" s="1915"/>
      <c r="O406" s="1915"/>
      <c r="P406" s="1915"/>
      <c r="Q406" s="1915"/>
      <c r="R406" s="1915"/>
      <c r="S406" s="1915"/>
      <c r="T406" s="1915"/>
      <c r="U406" s="1915"/>
      <c r="V406" s="1915"/>
      <c r="W406" s="1915"/>
      <c r="X406" s="1915"/>
      <c r="Y406" s="1915"/>
      <c r="Z406" s="1915"/>
      <c r="AA406" s="1915"/>
      <c r="AB406" s="1915"/>
      <c r="AC406" s="1915"/>
      <c r="AD406" s="1915"/>
      <c r="AE406" s="1915"/>
      <c r="AF406" s="781"/>
      <c r="AG406" s="781"/>
      <c r="AH406" s="781"/>
      <c r="AI406" s="781"/>
      <c r="AJ406" s="781"/>
      <c r="AK406" s="781"/>
      <c r="AL406" s="782"/>
      <c r="AM406" s="604"/>
    </row>
    <row r="407" spans="1:81">
      <c r="A407" s="570"/>
      <c r="C407" s="765"/>
      <c r="E407" s="725"/>
      <c r="F407" s="1916"/>
      <c r="G407" s="1916"/>
      <c r="H407" s="1916"/>
      <c r="I407" s="1916"/>
      <c r="J407" s="1916"/>
      <c r="K407" s="1916"/>
      <c r="L407" s="1916"/>
      <c r="M407" s="1916"/>
      <c r="N407" s="1916"/>
      <c r="O407" s="1916"/>
      <c r="P407" s="1916"/>
      <c r="Q407" s="1916"/>
      <c r="R407" s="1916"/>
      <c r="S407" s="1916"/>
      <c r="T407" s="1916"/>
      <c r="U407" s="1916"/>
      <c r="V407" s="1916"/>
      <c r="W407" s="1916"/>
      <c r="X407" s="1916"/>
      <c r="Y407" s="1916"/>
      <c r="Z407" s="1916"/>
      <c r="AA407" s="1916"/>
      <c r="AB407" s="1916"/>
      <c r="AC407" s="1916"/>
      <c r="AD407" s="1916"/>
      <c r="AE407" s="1916"/>
      <c r="AF407" s="573"/>
      <c r="AG407" s="570"/>
      <c r="AH407" s="584"/>
      <c r="AI407" s="584"/>
      <c r="AJ407" s="584"/>
      <c r="AK407" s="584"/>
      <c r="AL407" s="766"/>
      <c r="AM407" s="604"/>
    </row>
    <row r="408" spans="1:81" s="584" customFormat="1" ht="12.75" customHeight="1">
      <c r="A408" s="570"/>
      <c r="B408" s="14"/>
      <c r="C408" s="765"/>
      <c r="D408" s="14"/>
      <c r="E408" s="725"/>
      <c r="F408" s="1916"/>
      <c r="G408" s="1916"/>
      <c r="H408" s="1916"/>
      <c r="I408" s="1916"/>
      <c r="J408" s="1916"/>
      <c r="K408" s="1916"/>
      <c r="L408" s="1916"/>
      <c r="M408" s="1916"/>
      <c r="N408" s="1916"/>
      <c r="O408" s="1916"/>
      <c r="P408" s="1916"/>
      <c r="Q408" s="1916"/>
      <c r="R408" s="1916"/>
      <c r="S408" s="1916"/>
      <c r="T408" s="1916"/>
      <c r="U408" s="1916"/>
      <c r="V408" s="1916"/>
      <c r="W408" s="1916"/>
      <c r="X408" s="1916"/>
      <c r="Y408" s="1916"/>
      <c r="Z408" s="1916"/>
      <c r="AA408" s="1916"/>
      <c r="AB408" s="1916"/>
      <c r="AC408" s="1916"/>
      <c r="AD408" s="1916"/>
      <c r="AE408" s="1916"/>
      <c r="AL408" s="766"/>
      <c r="AM408" s="604"/>
      <c r="AN408" s="631"/>
    </row>
    <row r="409" spans="1:81" s="584" customFormat="1" ht="12.75" customHeight="1">
      <c r="A409" s="570"/>
      <c r="B409" s="14"/>
      <c r="C409" s="773"/>
      <c r="F409" s="1916"/>
      <c r="G409" s="1916"/>
      <c r="H409" s="1916"/>
      <c r="I409" s="1916"/>
      <c r="J409" s="1916"/>
      <c r="K409" s="1916"/>
      <c r="L409" s="1916"/>
      <c r="M409" s="1916"/>
      <c r="N409" s="1916"/>
      <c r="O409" s="1916"/>
      <c r="P409" s="1916"/>
      <c r="Q409" s="1916"/>
      <c r="R409" s="1916"/>
      <c r="S409" s="1916"/>
      <c r="T409" s="1916"/>
      <c r="U409" s="1916"/>
      <c r="V409" s="1916"/>
      <c r="W409" s="1916"/>
      <c r="X409" s="1916"/>
      <c r="Y409" s="1916"/>
      <c r="Z409" s="1916"/>
      <c r="AA409" s="1916"/>
      <c r="AB409" s="1916"/>
      <c r="AC409" s="1916"/>
      <c r="AD409" s="1916"/>
      <c r="AE409" s="1916"/>
      <c r="AL409" s="766"/>
      <c r="AM409" s="604"/>
      <c r="AN409" s="631"/>
    </row>
    <row r="410" spans="1:81" s="584" customFormat="1" ht="12.75" customHeight="1">
      <c r="A410" s="570"/>
      <c r="B410" s="14"/>
      <c r="C410" s="1925" t="s">
        <v>554</v>
      </c>
      <c r="D410" s="1926"/>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4" t="s">
        <v>1573</v>
      </c>
      <c r="AG410" s="1984"/>
      <c r="AH410" s="1984"/>
      <c r="AI410" s="1984"/>
      <c r="AJ410" s="1984"/>
      <c r="AK410" s="1984"/>
      <c r="AL410" s="2014"/>
      <c r="AM410" s="604"/>
      <c r="AN410" s="631"/>
    </row>
    <row r="411" spans="1:81" s="584" customFormat="1" ht="12.75" customHeight="1">
      <c r="A411" s="570"/>
      <c r="B411" s="14"/>
      <c r="C411" s="773"/>
      <c r="AL411" s="766"/>
      <c r="AM411" s="604"/>
      <c r="AN411" s="631"/>
    </row>
    <row r="412" spans="1:81" s="584" customFormat="1" ht="12.75" customHeight="1">
      <c r="A412" s="570"/>
      <c r="B412" s="14"/>
      <c r="C412" s="1925" t="s">
        <v>600</v>
      </c>
      <c r="D412" s="1926"/>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4" t="s">
        <v>1585</v>
      </c>
      <c r="AG412" s="1984"/>
      <c r="AH412" s="1984"/>
      <c r="AI412" s="1984"/>
      <c r="AJ412" s="1984"/>
      <c r="AK412" s="1984"/>
      <c r="AL412" s="2014"/>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15" t="s">
        <v>1593</v>
      </c>
      <c r="G416" s="1915"/>
      <c r="H416" s="1915"/>
      <c r="I416" s="1915"/>
      <c r="J416" s="1915"/>
      <c r="K416" s="1915"/>
      <c r="L416" s="1915"/>
      <c r="M416" s="1915"/>
      <c r="N416" s="1915"/>
      <c r="O416" s="1915"/>
      <c r="P416" s="1915"/>
      <c r="Q416" s="1915"/>
      <c r="R416" s="1915"/>
      <c r="S416" s="1915"/>
      <c r="T416" s="1915"/>
      <c r="U416" s="1915"/>
      <c r="V416" s="1915"/>
      <c r="W416" s="1915"/>
      <c r="X416" s="1915"/>
      <c r="Y416" s="1915"/>
      <c r="Z416" s="1915"/>
      <c r="AA416" s="1915"/>
      <c r="AB416" s="1915"/>
      <c r="AC416" s="1915"/>
      <c r="AD416" s="1915"/>
      <c r="AE416" s="1915"/>
      <c r="AF416" s="748"/>
      <c r="AG416" s="748"/>
      <c r="AH416" s="748"/>
      <c r="AI416" s="748"/>
      <c r="AJ416" s="748"/>
      <c r="AK416" s="748"/>
      <c r="AL416" s="779"/>
      <c r="AM416" s="604"/>
      <c r="AN416" s="631"/>
    </row>
    <row r="417" spans="1:60" s="584" customFormat="1" ht="12.75" customHeight="1">
      <c r="A417" s="570"/>
      <c r="B417" s="14"/>
      <c r="C417" s="765"/>
      <c r="D417" s="14"/>
      <c r="E417" s="725"/>
      <c r="F417" s="1916"/>
      <c r="G417" s="1916"/>
      <c r="H417" s="1916"/>
      <c r="I417" s="1916"/>
      <c r="J417" s="1916"/>
      <c r="K417" s="1916"/>
      <c r="L417" s="1916"/>
      <c r="M417" s="1916"/>
      <c r="N417" s="1916"/>
      <c r="O417" s="1916"/>
      <c r="P417" s="1916"/>
      <c r="Q417" s="1916"/>
      <c r="R417" s="1916"/>
      <c r="S417" s="1916"/>
      <c r="T417" s="1916"/>
      <c r="U417" s="1916"/>
      <c r="V417" s="1916"/>
      <c r="W417" s="1916"/>
      <c r="X417" s="1916"/>
      <c r="Y417" s="1916"/>
      <c r="Z417" s="1916"/>
      <c r="AA417" s="1916"/>
      <c r="AB417" s="1916"/>
      <c r="AC417" s="1916"/>
      <c r="AD417" s="1916"/>
      <c r="AE417" s="1916"/>
      <c r="AF417" s="573"/>
      <c r="AG417" s="570"/>
      <c r="AL417" s="766"/>
      <c r="AM417" s="604"/>
      <c r="AN417" s="631"/>
    </row>
    <row r="418" spans="1:60" s="584" customFormat="1" ht="12.4" customHeight="1">
      <c r="A418" s="570"/>
      <c r="B418" s="14"/>
      <c r="C418" s="765"/>
      <c r="D418" s="14"/>
      <c r="E418" s="725"/>
      <c r="F418" s="1916"/>
      <c r="G418" s="1916"/>
      <c r="H418" s="1916"/>
      <c r="I418" s="1916"/>
      <c r="J418" s="1916"/>
      <c r="K418" s="1916"/>
      <c r="L418" s="1916"/>
      <c r="M418" s="1916"/>
      <c r="N418" s="1916"/>
      <c r="O418" s="1916"/>
      <c r="P418" s="1916"/>
      <c r="Q418" s="1916"/>
      <c r="R418" s="1916"/>
      <c r="S418" s="1916"/>
      <c r="T418" s="1916"/>
      <c r="U418" s="1916"/>
      <c r="V418" s="1916"/>
      <c r="W418" s="1916"/>
      <c r="X418" s="1916"/>
      <c r="Y418" s="1916"/>
      <c r="Z418" s="1916"/>
      <c r="AA418" s="1916"/>
      <c r="AB418" s="1916"/>
      <c r="AC418" s="1916"/>
      <c r="AD418" s="1916"/>
      <c r="AE418" s="1916"/>
      <c r="AL418" s="766"/>
      <c r="AM418" s="604"/>
      <c r="AN418" s="631"/>
    </row>
    <row r="419" spans="1:60" s="584" customFormat="1" ht="12.75" customHeight="1">
      <c r="A419" s="570"/>
      <c r="B419" s="14"/>
      <c r="C419" s="1925" t="s">
        <v>600</v>
      </c>
      <c r="D419" s="1926"/>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4" t="s">
        <v>1573</v>
      </c>
      <c r="AG419" s="1984"/>
      <c r="AH419" s="1984"/>
      <c r="AI419" s="1984"/>
      <c r="AJ419" s="1984"/>
      <c r="AK419" s="1984"/>
      <c r="AL419" s="2014"/>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1915" t="s">
        <v>1596</v>
      </c>
      <c r="G422" s="1915"/>
      <c r="H422" s="1915"/>
      <c r="I422" s="1915"/>
      <c r="J422" s="1915"/>
      <c r="K422" s="1915"/>
      <c r="L422" s="1915"/>
      <c r="M422" s="1915"/>
      <c r="N422" s="1915"/>
      <c r="O422" s="1915"/>
      <c r="P422" s="1915"/>
      <c r="Q422" s="1915"/>
      <c r="R422" s="1915"/>
      <c r="S422" s="1915"/>
      <c r="T422" s="1915"/>
      <c r="U422" s="1915"/>
      <c r="V422" s="1915"/>
      <c r="W422" s="1915"/>
      <c r="X422" s="1915"/>
      <c r="Y422" s="1915"/>
      <c r="Z422" s="1915"/>
      <c r="AA422" s="1915"/>
      <c r="AB422" s="1915"/>
      <c r="AC422" s="1915"/>
      <c r="AD422" s="1915"/>
      <c r="AE422" s="1915"/>
      <c r="AF422" s="781"/>
      <c r="AG422" s="781"/>
      <c r="AH422" s="781"/>
      <c r="AI422" s="781"/>
      <c r="AJ422" s="781"/>
      <c r="AK422" s="781"/>
      <c r="AL422" s="782"/>
      <c r="AM422" s="604"/>
      <c r="AO422" s="584"/>
      <c r="AP422" s="584"/>
      <c r="BD422" s="14"/>
      <c r="BE422" s="14"/>
      <c r="BF422" s="14"/>
      <c r="BG422" s="14"/>
      <c r="BH422" s="14"/>
    </row>
    <row r="423" spans="1:60">
      <c r="A423" s="570"/>
      <c r="C423" s="765"/>
      <c r="E423" s="725"/>
      <c r="F423" s="1916"/>
      <c r="G423" s="1916"/>
      <c r="H423" s="1916"/>
      <c r="I423" s="1916"/>
      <c r="J423" s="1916"/>
      <c r="K423" s="1916"/>
      <c r="L423" s="1916"/>
      <c r="M423" s="1916"/>
      <c r="N423" s="1916"/>
      <c r="O423" s="1916"/>
      <c r="P423" s="1916"/>
      <c r="Q423" s="1916"/>
      <c r="R423" s="1916"/>
      <c r="S423" s="1916"/>
      <c r="T423" s="1916"/>
      <c r="U423" s="1916"/>
      <c r="V423" s="1916"/>
      <c r="W423" s="1916"/>
      <c r="X423" s="1916"/>
      <c r="Y423" s="1916"/>
      <c r="Z423" s="1916"/>
      <c r="AA423" s="1916"/>
      <c r="AB423" s="1916"/>
      <c r="AC423" s="1916"/>
      <c r="AD423" s="1916"/>
      <c r="AE423" s="1916"/>
      <c r="AF423" s="628"/>
      <c r="AG423" s="628"/>
      <c r="AH423" s="628"/>
      <c r="AI423" s="628"/>
      <c r="AJ423" s="628"/>
      <c r="AK423" s="628"/>
      <c r="AL423" s="784"/>
      <c r="AM423" s="604"/>
      <c r="AO423" s="584"/>
      <c r="AP423" s="584"/>
    </row>
    <row r="424" spans="1:60" s="584" customFormat="1" ht="12.75" customHeight="1">
      <c r="A424" s="570"/>
      <c r="B424" s="14"/>
      <c r="C424" s="765"/>
      <c r="D424" s="14"/>
      <c r="E424" s="725"/>
      <c r="F424" s="1916"/>
      <c r="G424" s="1916"/>
      <c r="H424" s="1916"/>
      <c r="I424" s="1916"/>
      <c r="J424" s="1916"/>
      <c r="K424" s="1916"/>
      <c r="L424" s="1916"/>
      <c r="M424" s="1916"/>
      <c r="N424" s="1916"/>
      <c r="O424" s="1916"/>
      <c r="P424" s="1916"/>
      <c r="Q424" s="1916"/>
      <c r="R424" s="1916"/>
      <c r="S424" s="1916"/>
      <c r="T424" s="1916"/>
      <c r="U424" s="1916"/>
      <c r="V424" s="1916"/>
      <c r="W424" s="1916"/>
      <c r="X424" s="1916"/>
      <c r="Y424" s="1916"/>
      <c r="Z424" s="1916"/>
      <c r="AA424" s="1916"/>
      <c r="AB424" s="1916"/>
      <c r="AC424" s="1916"/>
      <c r="AD424" s="1916"/>
      <c r="AE424" s="1916"/>
      <c r="AF424" s="628"/>
      <c r="AG424" s="628"/>
      <c r="AH424" s="628"/>
      <c r="AI424" s="628"/>
      <c r="AJ424" s="628"/>
      <c r="AK424" s="628"/>
      <c r="AL424" s="784"/>
      <c r="AM424" s="604"/>
      <c r="AN424" s="631"/>
    </row>
    <row r="425" spans="1:60" s="584" customFormat="1" ht="12.75" customHeight="1">
      <c r="A425" s="570"/>
      <c r="B425" s="14"/>
      <c r="C425" s="785"/>
      <c r="D425" s="764"/>
      <c r="E425" s="753"/>
      <c r="F425" s="1916"/>
      <c r="G425" s="1916"/>
      <c r="H425" s="1916"/>
      <c r="I425" s="1916"/>
      <c r="J425" s="1916"/>
      <c r="K425" s="1916"/>
      <c r="L425" s="1916"/>
      <c r="M425" s="1916"/>
      <c r="N425" s="1916"/>
      <c r="O425" s="1916"/>
      <c r="P425" s="1916"/>
      <c r="Q425" s="1916"/>
      <c r="R425" s="1916"/>
      <c r="S425" s="1916"/>
      <c r="T425" s="1916"/>
      <c r="U425" s="1916"/>
      <c r="V425" s="1916"/>
      <c r="W425" s="1916"/>
      <c r="X425" s="1916"/>
      <c r="Y425" s="1916"/>
      <c r="Z425" s="1916"/>
      <c r="AA425" s="1916"/>
      <c r="AB425" s="1916"/>
      <c r="AC425" s="1916"/>
      <c r="AD425" s="1916"/>
      <c r="AE425" s="1916"/>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16"/>
      <c r="G426" s="1916"/>
      <c r="H426" s="1916"/>
      <c r="I426" s="1916"/>
      <c r="J426" s="1916"/>
      <c r="K426" s="1916"/>
      <c r="L426" s="1916"/>
      <c r="M426" s="1916"/>
      <c r="N426" s="1916"/>
      <c r="O426" s="1916"/>
      <c r="P426" s="1916"/>
      <c r="Q426" s="1916"/>
      <c r="R426" s="1916"/>
      <c r="S426" s="1916"/>
      <c r="T426" s="1916"/>
      <c r="U426" s="1916"/>
      <c r="V426" s="1916"/>
      <c r="W426" s="1916"/>
      <c r="X426" s="1916"/>
      <c r="Y426" s="1916"/>
      <c r="Z426" s="1916"/>
      <c r="AA426" s="1916"/>
      <c r="AB426" s="1916"/>
      <c r="AC426" s="1916"/>
      <c r="AD426" s="1916"/>
      <c r="AE426" s="1916"/>
      <c r="AF426" s="628"/>
      <c r="AG426" s="628"/>
      <c r="AH426" s="628"/>
      <c r="AI426" s="628"/>
      <c r="AJ426" s="628"/>
      <c r="AK426" s="628"/>
      <c r="AL426" s="784"/>
      <c r="AM426" s="604"/>
      <c r="AN426" s="631"/>
    </row>
    <row r="427" spans="1:60" s="584" customFormat="1" ht="12.75" customHeight="1">
      <c r="A427" s="570"/>
      <c r="B427" s="14"/>
      <c r="C427" s="785"/>
      <c r="D427" s="764"/>
      <c r="E427" s="753"/>
      <c r="F427" s="1916"/>
      <c r="G427" s="1916"/>
      <c r="H427" s="1916"/>
      <c r="I427" s="1916"/>
      <c r="J427" s="1916"/>
      <c r="K427" s="1916"/>
      <c r="L427" s="1916"/>
      <c r="M427" s="1916"/>
      <c r="N427" s="1916"/>
      <c r="O427" s="1916"/>
      <c r="P427" s="1916"/>
      <c r="Q427" s="1916"/>
      <c r="R427" s="1916"/>
      <c r="S427" s="1916"/>
      <c r="T427" s="1916"/>
      <c r="U427" s="1916"/>
      <c r="V427" s="1916"/>
      <c r="W427" s="1916"/>
      <c r="X427" s="1916"/>
      <c r="Y427" s="1916"/>
      <c r="Z427" s="1916"/>
      <c r="AA427" s="1916"/>
      <c r="AB427" s="1916"/>
      <c r="AC427" s="1916"/>
      <c r="AD427" s="1916"/>
      <c r="AE427" s="1916"/>
      <c r="AF427" s="628"/>
      <c r="AG427" s="628"/>
      <c r="AH427" s="628"/>
      <c r="AI427" s="628"/>
      <c r="AJ427" s="628"/>
      <c r="AK427" s="628"/>
      <c r="AL427" s="784"/>
      <c r="AM427" s="604"/>
      <c r="AN427" s="631"/>
    </row>
    <row r="428" spans="1:60" s="584" customFormat="1" ht="12.75" customHeight="1">
      <c r="A428" s="570"/>
      <c r="B428" s="14"/>
      <c r="C428" s="785"/>
      <c r="D428" s="764"/>
      <c r="E428" s="753"/>
      <c r="F428" s="1916"/>
      <c r="G428" s="1916"/>
      <c r="H428" s="1916"/>
      <c r="I428" s="1916"/>
      <c r="J428" s="1916"/>
      <c r="K428" s="1916"/>
      <c r="L428" s="1916"/>
      <c r="M428" s="1916"/>
      <c r="N428" s="1916"/>
      <c r="O428" s="1916"/>
      <c r="P428" s="1916"/>
      <c r="Q428" s="1916"/>
      <c r="R428" s="1916"/>
      <c r="S428" s="1916"/>
      <c r="T428" s="1916"/>
      <c r="U428" s="1916"/>
      <c r="V428" s="1916"/>
      <c r="W428" s="1916"/>
      <c r="X428" s="1916"/>
      <c r="Y428" s="1916"/>
      <c r="Z428" s="1916"/>
      <c r="AA428" s="1916"/>
      <c r="AB428" s="1916"/>
      <c r="AC428" s="1916"/>
      <c r="AD428" s="1916"/>
      <c r="AE428" s="1916"/>
      <c r="AF428" s="628"/>
      <c r="AG428" s="628"/>
      <c r="AH428" s="628"/>
      <c r="AI428" s="628"/>
      <c r="AJ428" s="628"/>
      <c r="AK428" s="628"/>
      <c r="AL428" s="784"/>
      <c r="AM428" s="604"/>
      <c r="AN428" s="631"/>
    </row>
    <row r="429" spans="1:60" s="584" customFormat="1" ht="12.75" customHeight="1">
      <c r="A429" s="570"/>
      <c r="B429" s="14"/>
      <c r="C429" s="785"/>
      <c r="D429" s="764"/>
      <c r="E429" s="753"/>
      <c r="F429" s="1916"/>
      <c r="G429" s="1916"/>
      <c r="H429" s="1916"/>
      <c r="I429" s="1916"/>
      <c r="J429" s="1916"/>
      <c r="K429" s="1916"/>
      <c r="L429" s="1916"/>
      <c r="M429" s="1916"/>
      <c r="N429" s="1916"/>
      <c r="O429" s="1916"/>
      <c r="P429" s="1916"/>
      <c r="Q429" s="1916"/>
      <c r="R429" s="1916"/>
      <c r="S429" s="1916"/>
      <c r="T429" s="1916"/>
      <c r="U429" s="1916"/>
      <c r="V429" s="1916"/>
      <c r="W429" s="1916"/>
      <c r="X429" s="1916"/>
      <c r="Y429" s="1916"/>
      <c r="Z429" s="1916"/>
      <c r="AA429" s="1916"/>
      <c r="AB429" s="1916"/>
      <c r="AC429" s="1916"/>
      <c r="AD429" s="1916"/>
      <c r="AE429" s="1916"/>
      <c r="AF429" s="628"/>
      <c r="AG429" s="628"/>
      <c r="AH429" s="628"/>
      <c r="AI429" s="628"/>
      <c r="AJ429" s="628"/>
      <c r="AK429" s="628"/>
      <c r="AL429" s="784"/>
      <c r="AM429" s="604"/>
      <c r="AN429" s="631"/>
    </row>
    <row r="430" spans="1:60" s="584" customFormat="1" ht="17.25" customHeight="1">
      <c r="A430" s="570"/>
      <c r="B430" s="14"/>
      <c r="C430" s="785"/>
      <c r="D430" s="764"/>
      <c r="E430" s="753"/>
      <c r="F430" s="1916"/>
      <c r="G430" s="1916"/>
      <c r="H430" s="1916"/>
      <c r="I430" s="1916"/>
      <c r="J430" s="1916"/>
      <c r="K430" s="1916"/>
      <c r="L430" s="1916"/>
      <c r="M430" s="1916"/>
      <c r="N430" s="1916"/>
      <c r="O430" s="1916"/>
      <c r="P430" s="1916"/>
      <c r="Q430" s="1916"/>
      <c r="R430" s="1916"/>
      <c r="S430" s="1916"/>
      <c r="T430" s="1916"/>
      <c r="U430" s="1916"/>
      <c r="V430" s="1916"/>
      <c r="W430" s="1916"/>
      <c r="X430" s="1916"/>
      <c r="Y430" s="1916"/>
      <c r="Z430" s="1916"/>
      <c r="AA430" s="1916"/>
      <c r="AB430" s="1916"/>
      <c r="AC430" s="1916"/>
      <c r="AD430" s="1916"/>
      <c r="AE430" s="1916"/>
      <c r="AL430" s="766"/>
      <c r="AM430" s="604"/>
      <c r="AN430" s="631"/>
    </row>
    <row r="431" spans="1:60" s="584" customFormat="1" ht="12.75" customHeight="1">
      <c r="A431" s="570"/>
      <c r="B431" s="14"/>
      <c r="C431" s="1925" t="s">
        <v>600</v>
      </c>
      <c r="D431" s="1926"/>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4" t="s">
        <v>1573</v>
      </c>
      <c r="AG431" s="1984"/>
      <c r="AH431" s="1984"/>
      <c r="AI431" s="1984"/>
      <c r="AJ431" s="1984"/>
      <c r="AK431" s="1984"/>
      <c r="AL431" s="2014"/>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15" t="s">
        <v>1599</v>
      </c>
      <c r="G434" s="1915"/>
      <c r="H434" s="1915"/>
      <c r="I434" s="1915"/>
      <c r="J434" s="1915"/>
      <c r="K434" s="1915"/>
      <c r="L434" s="1915"/>
      <c r="M434" s="1915"/>
      <c r="N434" s="1915"/>
      <c r="O434" s="1915"/>
      <c r="P434" s="1915"/>
      <c r="Q434" s="1915"/>
      <c r="R434" s="1915"/>
      <c r="S434" s="1915"/>
      <c r="T434" s="1915"/>
      <c r="U434" s="1915"/>
      <c r="V434" s="1915"/>
      <c r="W434" s="1915"/>
      <c r="X434" s="1915"/>
      <c r="Y434" s="1915"/>
      <c r="Z434" s="1915"/>
      <c r="AA434" s="1915"/>
      <c r="AB434" s="1915"/>
      <c r="AC434" s="1915"/>
      <c r="AD434" s="1915"/>
      <c r="AE434" s="1915"/>
      <c r="AF434" s="748"/>
      <c r="AG434" s="748"/>
      <c r="AH434" s="748"/>
      <c r="AI434" s="748"/>
      <c r="AJ434" s="748"/>
      <c r="AK434" s="748"/>
      <c r="AL434" s="779"/>
      <c r="AM434" s="604"/>
      <c r="AN434" s="631"/>
    </row>
    <row r="435" spans="1:40" s="584" customFormat="1" ht="12.75" customHeight="1">
      <c r="A435" s="570"/>
      <c r="B435" s="14"/>
      <c r="C435" s="785"/>
      <c r="D435" s="764"/>
      <c r="E435" s="753"/>
      <c r="F435" s="1916"/>
      <c r="G435" s="1916"/>
      <c r="H435" s="1916"/>
      <c r="I435" s="1916"/>
      <c r="J435" s="1916"/>
      <c r="K435" s="1916"/>
      <c r="L435" s="1916"/>
      <c r="M435" s="1916"/>
      <c r="N435" s="1916"/>
      <c r="O435" s="1916"/>
      <c r="P435" s="1916"/>
      <c r="Q435" s="1916"/>
      <c r="R435" s="1916"/>
      <c r="S435" s="1916"/>
      <c r="T435" s="1916"/>
      <c r="U435" s="1916"/>
      <c r="V435" s="1916"/>
      <c r="W435" s="1916"/>
      <c r="X435" s="1916"/>
      <c r="Y435" s="1916"/>
      <c r="Z435" s="1916"/>
      <c r="AA435" s="1916"/>
      <c r="AB435" s="1916"/>
      <c r="AC435" s="1916"/>
      <c r="AD435" s="1916"/>
      <c r="AE435" s="1916"/>
      <c r="AF435" s="625"/>
      <c r="AG435" s="625"/>
      <c r="AH435" s="625"/>
      <c r="AI435" s="625"/>
      <c r="AJ435" s="625"/>
      <c r="AK435" s="625"/>
      <c r="AL435" s="754"/>
      <c r="AM435" s="604"/>
      <c r="AN435" s="631"/>
    </row>
    <row r="436" spans="1:40" s="584" customFormat="1" ht="12.75" customHeight="1">
      <c r="A436" s="570"/>
      <c r="B436" s="14"/>
      <c r="C436" s="785"/>
      <c r="D436" s="764"/>
      <c r="E436" s="753"/>
      <c r="F436" s="1916"/>
      <c r="G436" s="1916"/>
      <c r="H436" s="1916"/>
      <c r="I436" s="1916"/>
      <c r="J436" s="1916"/>
      <c r="K436" s="1916"/>
      <c r="L436" s="1916"/>
      <c r="M436" s="1916"/>
      <c r="N436" s="1916"/>
      <c r="O436" s="1916"/>
      <c r="P436" s="1916"/>
      <c r="Q436" s="1916"/>
      <c r="R436" s="1916"/>
      <c r="S436" s="1916"/>
      <c r="T436" s="1916"/>
      <c r="U436" s="1916"/>
      <c r="V436" s="1916"/>
      <c r="W436" s="1916"/>
      <c r="X436" s="1916"/>
      <c r="Y436" s="1916"/>
      <c r="Z436" s="1916"/>
      <c r="AA436" s="1916"/>
      <c r="AB436" s="1916"/>
      <c r="AC436" s="1916"/>
      <c r="AD436" s="1916"/>
      <c r="AE436" s="1916"/>
      <c r="AF436" s="625"/>
      <c r="AG436" s="625"/>
      <c r="AH436" s="625"/>
      <c r="AI436" s="625"/>
      <c r="AJ436" s="625"/>
      <c r="AK436" s="625"/>
      <c r="AL436" s="754"/>
      <c r="AM436" s="604"/>
      <c r="AN436" s="631"/>
    </row>
    <row r="437" spans="1:40" s="584" customFormat="1" ht="12.75" customHeight="1">
      <c r="A437" s="570"/>
      <c r="B437" s="14"/>
      <c r="C437" s="785"/>
      <c r="D437" s="764"/>
      <c r="E437" s="753"/>
      <c r="F437" s="1916"/>
      <c r="G437" s="1916"/>
      <c r="H437" s="1916"/>
      <c r="I437" s="1916"/>
      <c r="J437" s="1916"/>
      <c r="K437" s="1916"/>
      <c r="L437" s="1916"/>
      <c r="M437" s="1916"/>
      <c r="N437" s="1916"/>
      <c r="O437" s="1916"/>
      <c r="P437" s="1916"/>
      <c r="Q437" s="1916"/>
      <c r="R437" s="1916"/>
      <c r="S437" s="1916"/>
      <c r="T437" s="1916"/>
      <c r="U437" s="1916"/>
      <c r="V437" s="1916"/>
      <c r="W437" s="1916"/>
      <c r="X437" s="1916"/>
      <c r="Y437" s="1916"/>
      <c r="Z437" s="1916"/>
      <c r="AA437" s="1916"/>
      <c r="AB437" s="1916"/>
      <c r="AC437" s="1916"/>
      <c r="AD437" s="1916"/>
      <c r="AE437" s="1916"/>
      <c r="AL437" s="766"/>
      <c r="AM437" s="604"/>
      <c r="AN437" s="631"/>
    </row>
    <row r="438" spans="1:40" s="584" customFormat="1" ht="12.75" customHeight="1">
      <c r="A438" s="570"/>
      <c r="B438" s="14"/>
      <c r="C438" s="1925" t="s">
        <v>600</v>
      </c>
      <c r="D438" s="1926"/>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4" t="s">
        <v>1573</v>
      </c>
      <c r="AG438" s="1984"/>
      <c r="AH438" s="1984"/>
      <c r="AI438" s="1984"/>
      <c r="AJ438" s="1984"/>
      <c r="AK438" s="1984"/>
      <c r="AL438" s="2014"/>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3" t="s">
        <v>600</v>
      </c>
      <c r="D442" s="2044"/>
      <c r="E442" s="749" t="s">
        <v>1608</v>
      </c>
      <c r="F442" s="1915" t="s">
        <v>1609</v>
      </c>
      <c r="G442" s="1915"/>
      <c r="H442" s="1915"/>
      <c r="I442" s="1915"/>
      <c r="J442" s="1915"/>
      <c r="K442" s="1915"/>
      <c r="L442" s="1915"/>
      <c r="M442" s="1915"/>
      <c r="N442" s="1915"/>
      <c r="O442" s="1915"/>
      <c r="P442" s="1915"/>
      <c r="Q442" s="1915"/>
      <c r="R442" s="1915"/>
      <c r="S442" s="1915"/>
      <c r="T442" s="1915"/>
      <c r="U442" s="1915"/>
      <c r="V442" s="1915"/>
      <c r="W442" s="1915"/>
      <c r="X442" s="1915"/>
      <c r="Y442" s="1915"/>
      <c r="Z442" s="1915"/>
      <c r="AA442" s="1915"/>
      <c r="AB442" s="1915"/>
      <c r="AC442" s="1915"/>
      <c r="AD442" s="1915"/>
      <c r="AE442" s="1915"/>
      <c r="AF442" s="2010" t="s">
        <v>1573</v>
      </c>
      <c r="AG442" s="2010"/>
      <c r="AH442" s="2010"/>
      <c r="AI442" s="2010"/>
      <c r="AJ442" s="2010"/>
      <c r="AK442" s="2010"/>
      <c r="AL442" s="2011"/>
      <c r="AM442" s="604"/>
      <c r="AN442" s="787"/>
    </row>
    <row r="443" spans="1:40" s="584" customFormat="1" ht="12.75" customHeight="1">
      <c r="A443" s="570"/>
      <c r="B443" s="14"/>
      <c r="C443" s="785"/>
      <c r="D443" s="764"/>
      <c r="E443" s="753"/>
      <c r="F443" s="1916"/>
      <c r="G443" s="1916"/>
      <c r="H443" s="1916"/>
      <c r="I443" s="1916"/>
      <c r="J443" s="1916"/>
      <c r="K443" s="1916"/>
      <c r="L443" s="1916"/>
      <c r="M443" s="1916"/>
      <c r="N443" s="1916"/>
      <c r="O443" s="1916"/>
      <c r="P443" s="1916"/>
      <c r="Q443" s="1916"/>
      <c r="R443" s="1916"/>
      <c r="S443" s="1916"/>
      <c r="T443" s="1916"/>
      <c r="U443" s="1916"/>
      <c r="V443" s="1916"/>
      <c r="W443" s="1916"/>
      <c r="X443" s="1916"/>
      <c r="Y443" s="1916"/>
      <c r="Z443" s="1916"/>
      <c r="AA443" s="1916"/>
      <c r="AB443" s="1916"/>
      <c r="AC443" s="1916"/>
      <c r="AD443" s="1916"/>
      <c r="AE443" s="1916"/>
      <c r="AF443" s="625"/>
      <c r="AG443" s="625"/>
      <c r="AH443" s="625"/>
      <c r="AI443" s="625"/>
      <c r="AJ443" s="625"/>
      <c r="AK443" s="625"/>
      <c r="AL443" s="754"/>
      <c r="AM443" s="604"/>
      <c r="AN443" s="788"/>
    </row>
    <row r="444" spans="1:40" s="584" customFormat="1" ht="17.649999999999999" customHeight="1">
      <c r="A444" s="570"/>
      <c r="B444" s="14"/>
      <c r="C444" s="790"/>
      <c r="D444" s="757"/>
      <c r="E444" s="758"/>
      <c r="F444" s="1998"/>
      <c r="G444" s="1998"/>
      <c r="H444" s="1998"/>
      <c r="I444" s="1998"/>
      <c r="J444" s="1998"/>
      <c r="K444" s="1998"/>
      <c r="L444" s="1998"/>
      <c r="M444" s="1998"/>
      <c r="N444" s="1998"/>
      <c r="O444" s="1998"/>
      <c r="P444" s="1998"/>
      <c r="Q444" s="1998"/>
      <c r="R444" s="1998"/>
      <c r="S444" s="1998"/>
      <c r="T444" s="1998"/>
      <c r="U444" s="1998"/>
      <c r="V444" s="1998"/>
      <c r="W444" s="1998"/>
      <c r="X444" s="1998"/>
      <c r="Y444" s="1998"/>
      <c r="Z444" s="1998"/>
      <c r="AA444" s="1998"/>
      <c r="AB444" s="1998"/>
      <c r="AC444" s="1998"/>
      <c r="AD444" s="1998"/>
      <c r="AE444" s="1998"/>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5" t="s">
        <v>600</v>
      </c>
      <c r="D446" s="1926"/>
      <c r="E446" s="749" t="s">
        <v>1614</v>
      </c>
      <c r="F446" s="1915" t="s">
        <v>1615</v>
      </c>
      <c r="G446" s="1915"/>
      <c r="H446" s="1915"/>
      <c r="I446" s="1915"/>
      <c r="J446" s="1915"/>
      <c r="K446" s="1915"/>
      <c r="L446" s="1915"/>
      <c r="M446" s="1915"/>
      <c r="N446" s="1915"/>
      <c r="O446" s="1915"/>
      <c r="P446" s="1915"/>
      <c r="Q446" s="1915"/>
      <c r="R446" s="1915"/>
      <c r="S446" s="1915"/>
      <c r="T446" s="1915"/>
      <c r="U446" s="1915"/>
      <c r="V446" s="1915"/>
      <c r="W446" s="1915"/>
      <c r="X446" s="1915"/>
      <c r="Y446" s="1915"/>
      <c r="Z446" s="1915"/>
      <c r="AA446" s="1915"/>
      <c r="AB446" s="1915"/>
      <c r="AC446" s="1915"/>
      <c r="AD446" s="1915"/>
      <c r="AE446" s="1915"/>
      <c r="AF446" s="2010" t="s">
        <v>1573</v>
      </c>
      <c r="AG446" s="2010"/>
      <c r="AH446" s="2010"/>
      <c r="AI446" s="2010"/>
      <c r="AJ446" s="2010"/>
      <c r="AK446" s="2010"/>
      <c r="AL446" s="2011"/>
      <c r="AM446" s="604"/>
      <c r="AN446" s="569"/>
    </row>
    <row r="447" spans="1:40" s="584" customFormat="1" ht="12.75" customHeight="1">
      <c r="A447" s="570"/>
      <c r="B447" s="14"/>
      <c r="C447" s="765"/>
      <c r="D447" s="14"/>
      <c r="E447" s="725"/>
      <c r="F447" s="1916"/>
      <c r="G447" s="1916"/>
      <c r="H447" s="1916"/>
      <c r="I447" s="1916"/>
      <c r="J447" s="1916"/>
      <c r="K447" s="1916"/>
      <c r="L447" s="1916"/>
      <c r="M447" s="1916"/>
      <c r="N447" s="1916"/>
      <c r="O447" s="1916"/>
      <c r="P447" s="1916"/>
      <c r="Q447" s="1916"/>
      <c r="R447" s="1916"/>
      <c r="S447" s="1916"/>
      <c r="T447" s="1916"/>
      <c r="U447" s="1916"/>
      <c r="V447" s="1916"/>
      <c r="W447" s="1916"/>
      <c r="X447" s="1916"/>
      <c r="Y447" s="1916"/>
      <c r="Z447" s="1916"/>
      <c r="AA447" s="1916"/>
      <c r="AB447" s="1916"/>
      <c r="AC447" s="1916"/>
      <c r="AD447" s="1916"/>
      <c r="AE447" s="1916"/>
      <c r="AF447" s="573"/>
      <c r="AG447" s="570"/>
      <c r="AL447" s="766"/>
      <c r="AM447" s="604"/>
      <c r="AN447" s="569"/>
    </row>
    <row r="448" spans="1:40" s="584" customFormat="1" ht="12.75" customHeight="1">
      <c r="A448" s="570"/>
      <c r="B448" s="14"/>
      <c r="C448" s="765"/>
      <c r="D448" s="14"/>
      <c r="E448" s="725"/>
      <c r="F448" s="1916"/>
      <c r="G448" s="1916"/>
      <c r="H448" s="1916"/>
      <c r="I448" s="1916"/>
      <c r="J448" s="1916"/>
      <c r="K448" s="1916"/>
      <c r="L448" s="1916"/>
      <c r="M448" s="1916"/>
      <c r="N448" s="1916"/>
      <c r="O448" s="1916"/>
      <c r="P448" s="1916"/>
      <c r="Q448" s="1916"/>
      <c r="R448" s="1916"/>
      <c r="S448" s="1916"/>
      <c r="T448" s="1916"/>
      <c r="U448" s="1916"/>
      <c r="V448" s="1916"/>
      <c r="W448" s="1916"/>
      <c r="X448" s="1916"/>
      <c r="Y448" s="1916"/>
      <c r="Z448" s="1916"/>
      <c r="AA448" s="1916"/>
      <c r="AB448" s="1916"/>
      <c r="AC448" s="1916"/>
      <c r="AD448" s="1916"/>
      <c r="AE448" s="1916"/>
      <c r="AF448" s="573"/>
      <c r="AG448" s="570"/>
      <c r="AL448" s="766"/>
      <c r="AM448" s="604"/>
      <c r="AN448" s="569"/>
    </row>
    <row r="449" spans="1:48" s="584" customFormat="1" ht="12.75" customHeight="1">
      <c r="A449" s="570"/>
      <c r="B449" s="14"/>
      <c r="C449" s="790"/>
      <c r="D449" s="757"/>
      <c r="E449" s="758"/>
      <c r="F449" s="1998"/>
      <c r="G449" s="1998"/>
      <c r="H449" s="1998"/>
      <c r="I449" s="1998"/>
      <c r="J449" s="1998"/>
      <c r="K449" s="1998"/>
      <c r="L449" s="1998"/>
      <c r="M449" s="1998"/>
      <c r="N449" s="1998"/>
      <c r="O449" s="1998"/>
      <c r="P449" s="1998"/>
      <c r="Q449" s="1998"/>
      <c r="R449" s="1998"/>
      <c r="S449" s="1998"/>
      <c r="T449" s="1998"/>
      <c r="U449" s="1998"/>
      <c r="V449" s="1998"/>
      <c r="W449" s="1998"/>
      <c r="X449" s="1998"/>
      <c r="Y449" s="1998"/>
      <c r="Z449" s="1998"/>
      <c r="AA449" s="1998"/>
      <c r="AB449" s="1998"/>
      <c r="AC449" s="1998"/>
      <c r="AD449" s="1998"/>
      <c r="AE449" s="1998"/>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15" t="s">
        <v>1618</v>
      </c>
      <c r="G451" s="1915"/>
      <c r="H451" s="1915"/>
      <c r="I451" s="1915"/>
      <c r="J451" s="1915"/>
      <c r="K451" s="1915"/>
      <c r="L451" s="1915"/>
      <c r="M451" s="1915"/>
      <c r="N451" s="1915"/>
      <c r="O451" s="1915"/>
      <c r="P451" s="1915"/>
      <c r="Q451" s="1915"/>
      <c r="R451" s="1915"/>
      <c r="S451" s="1915"/>
      <c r="T451" s="1915"/>
      <c r="U451" s="1915"/>
      <c r="V451" s="1915"/>
      <c r="W451" s="1915"/>
      <c r="X451" s="1915"/>
      <c r="Y451" s="1915"/>
      <c r="Z451" s="1915"/>
      <c r="AA451" s="1915"/>
      <c r="AB451" s="1915"/>
      <c r="AC451" s="1915"/>
      <c r="AD451" s="1915"/>
      <c r="AE451" s="1915"/>
      <c r="AF451" s="1915"/>
      <c r="AG451" s="778"/>
      <c r="AH451" s="748"/>
      <c r="AI451" s="748"/>
      <c r="AJ451" s="748"/>
      <c r="AK451" s="748"/>
      <c r="AL451" s="779"/>
      <c r="AM451" s="604"/>
      <c r="AN451" s="631"/>
    </row>
    <row r="452" spans="1:48" s="584" customFormat="1" ht="12.75" customHeight="1">
      <c r="A452" s="570"/>
      <c r="B452" s="14"/>
      <c r="C452" s="765"/>
      <c r="D452" s="14"/>
      <c r="E452" s="725"/>
      <c r="F452" s="1916"/>
      <c r="G452" s="1916"/>
      <c r="H452" s="1916"/>
      <c r="I452" s="1916"/>
      <c r="J452" s="1916"/>
      <c r="K452" s="1916"/>
      <c r="L452" s="1916"/>
      <c r="M452" s="1916"/>
      <c r="N452" s="1916"/>
      <c r="O452" s="1916"/>
      <c r="P452" s="1916"/>
      <c r="Q452" s="1916"/>
      <c r="R452" s="1916"/>
      <c r="S452" s="1916"/>
      <c r="T452" s="1916"/>
      <c r="U452" s="1916"/>
      <c r="V452" s="1916"/>
      <c r="W452" s="1916"/>
      <c r="X452" s="1916"/>
      <c r="Y452" s="1916"/>
      <c r="Z452" s="1916"/>
      <c r="AA452" s="1916"/>
      <c r="AB452" s="1916"/>
      <c r="AC452" s="1916"/>
      <c r="AD452" s="1916"/>
      <c r="AE452" s="1916"/>
      <c r="AF452" s="1916"/>
      <c r="AL452" s="766"/>
      <c r="AM452" s="604"/>
      <c r="AN452" s="631"/>
    </row>
    <row r="453" spans="1:48" s="584" customFormat="1" ht="12.75" customHeight="1">
      <c r="A453" s="570"/>
      <c r="B453" s="14"/>
      <c r="C453" s="773"/>
      <c r="F453" s="1916"/>
      <c r="G453" s="1916"/>
      <c r="H453" s="1916"/>
      <c r="I453" s="1916"/>
      <c r="J453" s="1916"/>
      <c r="K453" s="1916"/>
      <c r="L453" s="1916"/>
      <c r="M453" s="1916"/>
      <c r="N453" s="1916"/>
      <c r="O453" s="1916"/>
      <c r="P453" s="1916"/>
      <c r="Q453" s="1916"/>
      <c r="R453" s="1916"/>
      <c r="S453" s="1916"/>
      <c r="T453" s="1916"/>
      <c r="U453" s="1916"/>
      <c r="V453" s="1916"/>
      <c r="W453" s="1916"/>
      <c r="X453" s="1916"/>
      <c r="Y453" s="1916"/>
      <c r="Z453" s="1916"/>
      <c r="AA453" s="1916"/>
      <c r="AB453" s="1916"/>
      <c r="AC453" s="1916"/>
      <c r="AD453" s="1916"/>
      <c r="AE453" s="1916"/>
      <c r="AF453" s="1916"/>
      <c r="AL453" s="766"/>
      <c r="AM453" s="604"/>
      <c r="AN453" s="631"/>
    </row>
    <row r="454" spans="1:48" s="584" customFormat="1" ht="12.75" customHeight="1">
      <c r="A454" s="570"/>
      <c r="B454" s="14"/>
      <c r="C454" s="773"/>
      <c r="F454" s="1916"/>
      <c r="G454" s="1916"/>
      <c r="H454" s="1916"/>
      <c r="I454" s="1916"/>
      <c r="J454" s="1916"/>
      <c r="K454" s="1916"/>
      <c r="L454" s="1916"/>
      <c r="M454" s="1916"/>
      <c r="N454" s="1916"/>
      <c r="O454" s="1916"/>
      <c r="P454" s="1916"/>
      <c r="Q454" s="1916"/>
      <c r="R454" s="1916"/>
      <c r="S454" s="1916"/>
      <c r="T454" s="1916"/>
      <c r="U454" s="1916"/>
      <c r="V454" s="1916"/>
      <c r="W454" s="1916"/>
      <c r="X454" s="1916"/>
      <c r="Y454" s="1916"/>
      <c r="Z454" s="1916"/>
      <c r="AA454" s="1916"/>
      <c r="AB454" s="1916"/>
      <c r="AC454" s="1916"/>
      <c r="AD454" s="1916"/>
      <c r="AE454" s="1916"/>
      <c r="AF454" s="1916"/>
      <c r="AL454" s="766"/>
      <c r="AM454" s="604"/>
      <c r="AN454" s="631"/>
    </row>
    <row r="455" spans="1:48" s="584" customFormat="1" ht="12.75" customHeight="1">
      <c r="A455" s="570"/>
      <c r="B455" s="14"/>
      <c r="C455" s="1925" t="s">
        <v>600</v>
      </c>
      <c r="D455" s="1926"/>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4" t="s">
        <v>1573</v>
      </c>
      <c r="AG455" s="1914"/>
      <c r="AH455" s="1914"/>
      <c r="AI455" s="1914"/>
      <c r="AJ455" s="1914"/>
      <c r="AK455" s="1914"/>
      <c r="AL455" s="1927"/>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1">
        <f>IF(Application!D214="N/A",AS347,AS349)</f>
        <v>10</v>
      </c>
      <c r="AL458" s="1912"/>
      <c r="AM458" s="1913"/>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14" t="s">
        <v>1622</v>
      </c>
      <c r="AF461" s="1914"/>
      <c r="AG461" s="1914"/>
      <c r="AH461" s="1914"/>
      <c r="AI461" s="1914"/>
      <c r="AJ461" s="1914"/>
      <c r="AK461" s="1914"/>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1" t="s">
        <v>600</v>
      </c>
      <c r="D467" s="1992"/>
      <c r="E467" s="795" t="s">
        <v>516</v>
      </c>
      <c r="F467" s="2012" t="s">
        <v>1628</v>
      </c>
      <c r="G467" s="2012"/>
      <c r="H467" s="2012"/>
      <c r="I467" s="2012"/>
      <c r="J467" s="2012"/>
      <c r="K467" s="2012"/>
      <c r="L467" s="2012"/>
      <c r="M467" s="2012"/>
      <c r="N467" s="2012"/>
      <c r="O467" s="2012"/>
      <c r="P467" s="2012"/>
      <c r="Q467" s="2012"/>
      <c r="R467" s="2012"/>
      <c r="S467" s="2012"/>
      <c r="T467" s="2012"/>
      <c r="U467" s="2012"/>
      <c r="V467" s="2012"/>
      <c r="W467" s="2012"/>
      <c r="X467" s="2012"/>
      <c r="Y467" s="2012"/>
      <c r="Z467" s="2012"/>
      <c r="AA467" s="2012"/>
      <c r="AB467" s="2012"/>
      <c r="AC467" s="2012"/>
      <c r="AD467" s="2012"/>
      <c r="AE467" s="2012"/>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3"/>
      <c r="G468" s="2013"/>
      <c r="H468" s="2013"/>
      <c r="I468" s="2013"/>
      <c r="J468" s="2013"/>
      <c r="K468" s="2013"/>
      <c r="L468" s="2013"/>
      <c r="M468" s="2013"/>
      <c r="N468" s="2013"/>
      <c r="O468" s="2013"/>
      <c r="P468" s="2013"/>
      <c r="Q468" s="2013"/>
      <c r="R468" s="2013"/>
      <c r="S468" s="2013"/>
      <c r="T468" s="2013"/>
      <c r="U468" s="2013"/>
      <c r="V468" s="2013"/>
      <c r="W468" s="2013"/>
      <c r="X468" s="2013"/>
      <c r="Y468" s="2013"/>
      <c r="Z468" s="2013"/>
      <c r="AA468" s="2013"/>
      <c r="AB468" s="2013"/>
      <c r="AC468" s="2013"/>
      <c r="AD468" s="2013"/>
      <c r="AE468" s="2013"/>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07" t="s">
        <v>600</v>
      </c>
      <c r="G469" s="2007"/>
      <c r="H469" s="2007"/>
      <c r="I469" s="2007"/>
      <c r="J469" s="2007"/>
      <c r="K469" s="2007"/>
      <c r="L469" s="2007"/>
      <c r="M469" s="2007"/>
      <c r="N469" s="2007"/>
      <c r="O469" s="2007"/>
      <c r="P469" s="2007"/>
      <c r="Q469" s="2007"/>
      <c r="R469" s="2007"/>
      <c r="S469" s="2007"/>
      <c r="T469" s="2007"/>
      <c r="U469" s="2007"/>
      <c r="V469" s="2007"/>
      <c r="W469" s="2007"/>
      <c r="X469" s="2007"/>
      <c r="Y469" s="2007"/>
      <c r="Z469" s="2007"/>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08" t="s">
        <v>554</v>
      </c>
      <c r="D471" s="2009"/>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0" t="s">
        <v>600</v>
      </c>
      <c r="W474" s="1920"/>
      <c r="X474" s="1920"/>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0" t="s">
        <v>600</v>
      </c>
      <c r="W476" s="1920"/>
      <c r="X476" s="1920"/>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0" t="s">
        <v>600</v>
      </c>
      <c r="W481" s="1920"/>
      <c r="X481" s="1920"/>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1994"/>
      <c r="E484" s="1994"/>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0" t="s">
        <v>600</v>
      </c>
      <c r="W485" s="1920"/>
      <c r="X485" s="1920"/>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0" t="s">
        <v>600</v>
      </c>
      <c r="W487" s="1920"/>
      <c r="X487" s="1920"/>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1" t="s">
        <v>600</v>
      </c>
      <c r="D490" s="1992"/>
      <c r="E490" s="795" t="s">
        <v>516</v>
      </c>
      <c r="F490" s="2012" t="s">
        <v>1628</v>
      </c>
      <c r="G490" s="2012"/>
      <c r="H490" s="2012"/>
      <c r="I490" s="2012"/>
      <c r="J490" s="2012"/>
      <c r="K490" s="2012"/>
      <c r="L490" s="2012"/>
      <c r="M490" s="2012"/>
      <c r="N490" s="2012"/>
      <c r="O490" s="2012"/>
      <c r="P490" s="2012"/>
      <c r="Q490" s="2012"/>
      <c r="R490" s="2012"/>
      <c r="S490" s="2012"/>
      <c r="T490" s="2012"/>
      <c r="U490" s="2012"/>
      <c r="V490" s="2012"/>
      <c r="W490" s="2012"/>
      <c r="X490" s="2012"/>
      <c r="Y490" s="2012"/>
      <c r="Z490" s="2012"/>
      <c r="AA490" s="2012"/>
      <c r="AB490" s="2012"/>
      <c r="AC490" s="2012"/>
      <c r="AD490" s="2012"/>
      <c r="AE490" s="201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3"/>
      <c r="G491" s="2013"/>
      <c r="H491" s="2013"/>
      <c r="I491" s="2013"/>
      <c r="J491" s="2013"/>
      <c r="K491" s="2013"/>
      <c r="L491" s="2013"/>
      <c r="M491" s="2013"/>
      <c r="N491" s="2013"/>
      <c r="O491" s="2013"/>
      <c r="P491" s="2013"/>
      <c r="Q491" s="2013"/>
      <c r="R491" s="2013"/>
      <c r="S491" s="2013"/>
      <c r="T491" s="2013"/>
      <c r="U491" s="2013"/>
      <c r="V491" s="2013"/>
      <c r="W491" s="2013"/>
      <c r="X491" s="2013"/>
      <c r="Y491" s="2013"/>
      <c r="Z491" s="2013"/>
      <c r="AA491" s="2013"/>
      <c r="AB491" s="2013"/>
      <c r="AC491" s="2013"/>
      <c r="AD491" s="2013"/>
      <c r="AE491" s="201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1999" t="s">
        <v>600</v>
      </c>
      <c r="G492" s="1999"/>
      <c r="H492" s="1999"/>
      <c r="I492" s="1999"/>
      <c r="J492" s="1999"/>
      <c r="K492" s="1999"/>
      <c r="L492" s="1999"/>
      <c r="M492" s="1999"/>
      <c r="N492" s="1999"/>
      <c r="O492" s="1999"/>
      <c r="P492" s="1999"/>
      <c r="Q492" s="1999"/>
      <c r="R492" s="1999"/>
      <c r="S492" s="1999"/>
      <c r="T492" s="1999"/>
      <c r="U492" s="1999"/>
      <c r="V492" s="1999"/>
      <c r="W492" s="1999"/>
      <c r="X492" s="1999"/>
      <c r="Y492" s="1999"/>
      <c r="Z492" s="1999"/>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1" t="s">
        <v>600</v>
      </c>
      <c r="D494" s="1992"/>
      <c r="E494" s="795" t="s">
        <v>767</v>
      </c>
      <c r="F494" s="2000" t="s">
        <v>1650</v>
      </c>
      <c r="G494" s="2000"/>
      <c r="H494" s="2000"/>
      <c r="I494" s="2000"/>
      <c r="J494" s="2000"/>
      <c r="K494" s="2000"/>
      <c r="L494" s="2000"/>
      <c r="M494" s="2000"/>
      <c r="N494" s="2000"/>
      <c r="O494" s="2000"/>
      <c r="P494" s="2000"/>
      <c r="Q494" s="2000"/>
      <c r="R494" s="2000"/>
      <c r="S494" s="2000"/>
      <c r="T494" s="2000"/>
      <c r="U494" s="2000"/>
      <c r="V494" s="2000"/>
      <c r="W494" s="2000"/>
      <c r="X494" s="2000"/>
      <c r="Y494" s="2000"/>
      <c r="Z494" s="2000"/>
      <c r="AA494" s="2000"/>
      <c r="AB494" s="2000"/>
      <c r="AC494" s="2000"/>
      <c r="AD494" s="2000"/>
      <c r="AE494" s="2000"/>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1"/>
      <c r="G495" s="2001"/>
      <c r="H495" s="2001"/>
      <c r="I495" s="2001"/>
      <c r="J495" s="2001"/>
      <c r="K495" s="2001"/>
      <c r="L495" s="2001"/>
      <c r="M495" s="2001"/>
      <c r="N495" s="2001"/>
      <c r="O495" s="2001"/>
      <c r="P495" s="2001"/>
      <c r="Q495" s="2001"/>
      <c r="R495" s="2001"/>
      <c r="S495" s="2001"/>
      <c r="T495" s="2001"/>
      <c r="U495" s="2001"/>
      <c r="V495" s="2001"/>
      <c r="W495" s="2001"/>
      <c r="X495" s="2001"/>
      <c r="Y495" s="2001"/>
      <c r="Z495" s="2001"/>
      <c r="AA495" s="2001"/>
      <c r="AB495" s="2001"/>
      <c r="AC495" s="2001"/>
      <c r="AD495" s="2001"/>
      <c r="AE495" s="2001"/>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2" t="s">
        <v>600</v>
      </c>
      <c r="G497" s="2002"/>
      <c r="H497" s="2002"/>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1" t="s">
        <v>600</v>
      </c>
      <c r="D499" s="1992"/>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3"/>
      <c r="D501" s="1994"/>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5" t="s">
        <v>600</v>
      </c>
      <c r="H502" s="1995"/>
      <c r="I502" s="1995"/>
      <c r="J502" s="1995"/>
      <c r="K502" s="1995"/>
      <c r="L502" s="1995"/>
      <c r="M502" s="1995"/>
      <c r="N502" s="1995"/>
      <c r="O502" s="1995"/>
      <c r="P502" s="1995"/>
      <c r="Q502" s="1995"/>
      <c r="R502" s="1995"/>
      <c r="S502" s="1995"/>
      <c r="T502" s="1995"/>
      <c r="U502" s="1995"/>
      <c r="V502" s="1995"/>
      <c r="W502" s="1995"/>
      <c r="X502" s="1995"/>
      <c r="Y502" s="1995"/>
      <c r="Z502" s="1995"/>
      <c r="AA502" s="1995"/>
      <c r="AB502" s="1995"/>
      <c r="AC502" s="1995"/>
      <c r="AD502" s="1995"/>
      <c r="AE502" s="1995"/>
      <c r="AF502" s="199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1996" t="s">
        <v>600</v>
      </c>
      <c r="D504" s="1997"/>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1996" t="s">
        <v>600</v>
      </c>
      <c r="D508" s="1997"/>
      <c r="F508" s="829" t="s">
        <v>1658</v>
      </c>
      <c r="G508" s="1916" t="s">
        <v>1659</v>
      </c>
      <c r="H508" s="1916"/>
      <c r="I508" s="1916"/>
      <c r="J508" s="1916"/>
      <c r="K508" s="1916"/>
      <c r="L508" s="1916"/>
      <c r="M508" s="1916"/>
      <c r="N508" s="1916"/>
      <c r="O508" s="1916"/>
      <c r="P508" s="1916"/>
      <c r="Q508" s="1916"/>
      <c r="R508" s="1916"/>
      <c r="S508" s="1916"/>
      <c r="T508" s="1916"/>
      <c r="U508" s="1916"/>
      <c r="V508" s="1916"/>
      <c r="W508" s="1916"/>
      <c r="X508" s="1916"/>
      <c r="Y508" s="1916"/>
      <c r="Z508" s="1916"/>
      <c r="AA508" s="1916"/>
      <c r="AB508" s="1916"/>
      <c r="AC508" s="1916"/>
      <c r="AD508" s="1916"/>
      <c r="AE508" s="1916"/>
      <c r="AF508" s="1916"/>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1998"/>
      <c r="H509" s="1998"/>
      <c r="I509" s="1998"/>
      <c r="J509" s="1998"/>
      <c r="K509" s="1998"/>
      <c r="L509" s="1998"/>
      <c r="M509" s="1998"/>
      <c r="N509" s="1998"/>
      <c r="O509" s="1998"/>
      <c r="P509" s="1998"/>
      <c r="Q509" s="1998"/>
      <c r="R509" s="1998"/>
      <c r="S509" s="1998"/>
      <c r="T509" s="1998"/>
      <c r="U509" s="1998"/>
      <c r="V509" s="1998"/>
      <c r="W509" s="1998"/>
      <c r="X509" s="1998"/>
      <c r="Y509" s="1998"/>
      <c r="Z509" s="1998"/>
      <c r="AA509" s="1998"/>
      <c r="AB509" s="1998"/>
      <c r="AC509" s="1998"/>
      <c r="AD509" s="1998"/>
      <c r="AE509" s="1998"/>
      <c r="AF509" s="199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3" t="s">
        <v>600</v>
      </c>
      <c r="D512" s="2004"/>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5" t="s">
        <v>600</v>
      </c>
      <c r="G513" s="2005"/>
      <c r="H513" s="2005"/>
      <c r="I513" s="2005"/>
      <c r="J513" s="2005"/>
      <c r="K513" s="2005"/>
      <c r="L513" s="2005"/>
      <c r="M513" s="2005"/>
      <c r="N513" s="2005"/>
      <c r="O513" s="2005"/>
      <c r="P513" s="2005"/>
      <c r="Q513" s="2005"/>
      <c r="R513" s="2005"/>
      <c r="S513" s="2005"/>
      <c r="T513" s="2005"/>
      <c r="U513" s="2005"/>
      <c r="V513" s="2005"/>
      <c r="W513" s="2005"/>
      <c r="X513" s="2005"/>
      <c r="Y513" s="2005"/>
      <c r="Z513" s="2005"/>
      <c r="AA513" s="2005"/>
      <c r="AB513" s="2005"/>
      <c r="AC513" s="2005"/>
      <c r="AD513" s="2005"/>
      <c r="AE513" s="2005"/>
      <c r="AF513" s="200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06"/>
      <c r="G514" s="2006"/>
      <c r="H514" s="2006"/>
      <c r="I514" s="2006"/>
      <c r="J514" s="2006"/>
      <c r="K514" s="2006"/>
      <c r="L514" s="2006"/>
      <c r="M514" s="2006"/>
      <c r="N514" s="2006"/>
      <c r="O514" s="2006"/>
      <c r="P514" s="2006"/>
      <c r="Q514" s="2006"/>
      <c r="R514" s="2006"/>
      <c r="S514" s="2006"/>
      <c r="T514" s="2006"/>
      <c r="U514" s="2006"/>
      <c r="V514" s="2006"/>
      <c r="W514" s="2006"/>
      <c r="X514" s="2006"/>
      <c r="Y514" s="2006"/>
      <c r="Z514" s="2006"/>
      <c r="AA514" s="2006"/>
      <c r="AB514" s="2006"/>
      <c r="AC514" s="2006"/>
      <c r="AD514" s="2006"/>
      <c r="AE514" s="2006"/>
      <c r="AF514" s="200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1">
        <f>SUM(AG468:AG513)</f>
        <v>0</v>
      </c>
      <c r="AL524" s="1912"/>
      <c r="AM524" s="1913"/>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17" t="s">
        <v>1671</v>
      </c>
      <c r="AF527" s="1917"/>
      <c r="AG527" s="1917"/>
      <c r="AH527" s="1917"/>
      <c r="AI527" s="1917"/>
      <c r="AJ527" s="1917"/>
      <c r="AK527" s="1917"/>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26" t="s">
        <v>554</v>
      </c>
      <c r="D530" s="1926"/>
      <c r="E530" s="585"/>
      <c r="F530" s="1985" t="s">
        <v>1672</v>
      </c>
      <c r="G530" s="1986"/>
      <c r="H530" s="1986"/>
      <c r="I530" s="1986"/>
      <c r="J530" s="1986"/>
      <c r="K530" s="1986"/>
      <c r="L530" s="1986"/>
      <c r="M530" s="1986"/>
      <c r="N530" s="1986"/>
      <c r="O530" s="1986"/>
      <c r="P530" s="1986"/>
      <c r="Q530" s="1986"/>
      <c r="R530" s="1986"/>
      <c r="S530" s="1986"/>
      <c r="T530" s="1986"/>
      <c r="U530" s="1986"/>
      <c r="V530" s="1986"/>
      <c r="W530" s="1986"/>
      <c r="X530" s="1986"/>
      <c r="Y530" s="1986"/>
      <c r="Z530" s="1986"/>
      <c r="AA530" s="1986"/>
      <c r="AB530" s="1986"/>
      <c r="AC530" s="1986"/>
      <c r="AD530" s="1986"/>
      <c r="AE530" s="1986"/>
      <c r="AF530" s="1986"/>
      <c r="AG530" s="1986"/>
      <c r="AH530" s="1986"/>
      <c r="AI530" s="1986"/>
      <c r="AJ530" s="1986"/>
      <c r="AK530" s="1986"/>
      <c r="AL530" s="1987"/>
      <c r="AM530" s="629"/>
      <c r="AN530" s="631"/>
    </row>
    <row r="531" spans="1:49" s="584" customFormat="1" ht="12.75" customHeight="1">
      <c r="A531" s="573"/>
      <c r="B531" s="573"/>
      <c r="C531" s="585"/>
      <c r="D531" s="585"/>
      <c r="E531" s="585"/>
      <c r="F531" s="1988"/>
      <c r="G531" s="1989"/>
      <c r="H531" s="1989"/>
      <c r="I531" s="1989"/>
      <c r="J531" s="1989"/>
      <c r="K531" s="1989"/>
      <c r="L531" s="1989"/>
      <c r="M531" s="1989"/>
      <c r="N531" s="1989"/>
      <c r="O531" s="1989"/>
      <c r="P531" s="1989"/>
      <c r="Q531" s="1989"/>
      <c r="R531" s="1989"/>
      <c r="S531" s="1989"/>
      <c r="T531" s="1989"/>
      <c r="U531" s="1989"/>
      <c r="V531" s="1989"/>
      <c r="W531" s="1989"/>
      <c r="X531" s="1989"/>
      <c r="Y531" s="1989"/>
      <c r="Z531" s="1989"/>
      <c r="AA531" s="1989"/>
      <c r="AB531" s="1989"/>
      <c r="AC531" s="1989"/>
      <c r="AD531" s="1989"/>
      <c r="AE531" s="1989"/>
      <c r="AF531" s="1989"/>
      <c r="AG531" s="1989"/>
      <c r="AH531" s="1989"/>
      <c r="AI531" s="1989"/>
      <c r="AJ531" s="1989"/>
      <c r="AK531" s="1989"/>
      <c r="AL531" s="1990"/>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26" t="s">
        <v>600</v>
      </c>
      <c r="D533" s="1926"/>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3" t="s">
        <v>1674</v>
      </c>
      <c r="G534" s="1904"/>
      <c r="H534" s="1904"/>
      <c r="I534" s="1904"/>
      <c r="J534" s="1904"/>
      <c r="K534" s="1904"/>
      <c r="L534" s="1904"/>
      <c r="M534" s="1904"/>
      <c r="N534" s="1904"/>
      <c r="O534" s="1904"/>
      <c r="P534" s="1904"/>
      <c r="Q534" s="1904"/>
      <c r="R534" s="1904"/>
      <c r="S534" s="1904"/>
      <c r="T534" s="1904"/>
      <c r="U534" s="1904"/>
      <c r="V534" s="1904"/>
      <c r="W534" s="1904"/>
      <c r="X534" s="1904"/>
      <c r="Y534" s="1904"/>
      <c r="Z534" s="1904"/>
      <c r="AA534" s="1904"/>
      <c r="AB534" s="1904"/>
      <c r="AC534" s="1904"/>
      <c r="AD534" s="1904"/>
      <c r="AE534" s="1904"/>
      <c r="AF534" s="1904"/>
      <c r="AG534" s="1904"/>
      <c r="AH534" s="1904"/>
      <c r="AI534" s="1904"/>
      <c r="AJ534" s="1904"/>
      <c r="AK534" s="1904"/>
      <c r="AL534" s="1905"/>
      <c r="AM534" s="629"/>
      <c r="AN534" s="631"/>
      <c r="AS534" s="904"/>
      <c r="AT534" s="904"/>
      <c r="AU534" s="904"/>
      <c r="AV534" s="904"/>
      <c r="AW534" s="904"/>
    </row>
    <row r="535" spans="1:49" s="584" customFormat="1" ht="12.75" customHeight="1">
      <c r="B535" s="840"/>
      <c r="C535" s="840"/>
      <c r="D535" s="840"/>
      <c r="E535" s="840"/>
      <c r="F535" s="1903"/>
      <c r="G535" s="1904"/>
      <c r="H535" s="1904"/>
      <c r="I535" s="1904"/>
      <c r="J535" s="1904"/>
      <c r="K535" s="1904"/>
      <c r="L535" s="1904"/>
      <c r="M535" s="1904"/>
      <c r="N535" s="1904"/>
      <c r="O535" s="1904"/>
      <c r="P535" s="1904"/>
      <c r="Q535" s="1904"/>
      <c r="R535" s="1904"/>
      <c r="S535" s="1904"/>
      <c r="T535" s="1904"/>
      <c r="U535" s="1904"/>
      <c r="V535" s="1904"/>
      <c r="W535" s="1904"/>
      <c r="X535" s="1904"/>
      <c r="Y535" s="1904"/>
      <c r="Z535" s="1904"/>
      <c r="AA535" s="1904"/>
      <c r="AB535" s="1904"/>
      <c r="AC535" s="1904"/>
      <c r="AD535" s="1904"/>
      <c r="AE535" s="1904"/>
      <c r="AF535" s="1904"/>
      <c r="AG535" s="1904"/>
      <c r="AH535" s="1904"/>
      <c r="AI535" s="1904"/>
      <c r="AJ535" s="1904"/>
      <c r="AK535" s="1904"/>
      <c r="AL535" s="1905"/>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3" t="s">
        <v>1675</v>
      </c>
      <c r="G537" s="1904"/>
      <c r="H537" s="1904"/>
      <c r="I537" s="1904"/>
      <c r="J537" s="1904"/>
      <c r="K537" s="1904"/>
      <c r="L537" s="1904"/>
      <c r="M537" s="1904"/>
      <c r="N537" s="1904"/>
      <c r="O537" s="1904"/>
      <c r="P537" s="1904"/>
      <c r="Q537" s="1904"/>
      <c r="R537" s="1904"/>
      <c r="S537" s="1904"/>
      <c r="T537" s="1904"/>
      <c r="U537" s="1904"/>
      <c r="V537" s="1904"/>
      <c r="W537" s="1904"/>
      <c r="X537" s="1904"/>
      <c r="Y537" s="1904"/>
      <c r="Z537" s="1904"/>
      <c r="AA537" s="1904"/>
      <c r="AB537" s="1904"/>
      <c r="AC537" s="1904"/>
      <c r="AD537" s="1904"/>
      <c r="AE537" s="1904"/>
      <c r="AF537" s="1904"/>
      <c r="AG537" s="1904"/>
      <c r="AH537" s="1904"/>
      <c r="AI537" s="1904"/>
      <c r="AJ537" s="1904"/>
      <c r="AK537" s="1904"/>
      <c r="AL537" s="847"/>
      <c r="AM537" s="629"/>
      <c r="AN537" s="631"/>
    </row>
    <row r="538" spans="1:49" s="584" customFormat="1" ht="12.75" customHeight="1">
      <c r="B538" s="840"/>
      <c r="C538" s="840"/>
      <c r="D538" s="840"/>
      <c r="E538" s="840"/>
      <c r="F538" s="1906"/>
      <c r="G538" s="1907"/>
      <c r="H538" s="1907"/>
      <c r="I538" s="1907"/>
      <c r="J538" s="1907"/>
      <c r="K538" s="1907"/>
      <c r="L538" s="1907"/>
      <c r="M538" s="1907"/>
      <c r="N538" s="1907"/>
      <c r="O538" s="1907"/>
      <c r="P538" s="1907"/>
      <c r="Q538" s="1907"/>
      <c r="R538" s="1907"/>
      <c r="S538" s="1907"/>
      <c r="T538" s="1907"/>
      <c r="U538" s="1907"/>
      <c r="V538" s="1907"/>
      <c r="W538" s="1907"/>
      <c r="X538" s="1907"/>
      <c r="Y538" s="1907"/>
      <c r="Z538" s="1907"/>
      <c r="AA538" s="1907"/>
      <c r="AB538" s="1907"/>
      <c r="AC538" s="1907"/>
      <c r="AD538" s="1907"/>
      <c r="AE538" s="1907"/>
      <c r="AF538" s="1907"/>
      <c r="AG538" s="1907"/>
      <c r="AH538" s="1907"/>
      <c r="AI538" s="1907"/>
      <c r="AJ538" s="1907"/>
      <c r="AK538" s="190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898">
        <f>Application!AJ991</f>
        <v>53213240</v>
      </c>
      <c r="AQ539" s="1898"/>
      <c r="AR539" s="1898"/>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08">
        <f>'Sources and Uses Budget'!S107+'Sources and Uses Budget'!T107</f>
        <v>42227496.5</v>
      </c>
      <c r="AG540" s="1908"/>
      <c r="AH540" s="1908"/>
      <c r="AI540" s="1908"/>
      <c r="AJ540" s="1908"/>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09">
        <f>IFERROR(AP548,0)</f>
        <v>68645079.599999994</v>
      </c>
      <c r="AG541" s="1909"/>
      <c r="AH541" s="1909"/>
      <c r="AI541" s="1909"/>
      <c r="AJ541" s="1909"/>
      <c r="AK541" s="629"/>
      <c r="AL541" s="629"/>
      <c r="AM541" s="629"/>
      <c r="AN541" s="631"/>
      <c r="AP541" s="1898">
        <f>Application!AJ1044</f>
        <v>4789191.5999999996</v>
      </c>
      <c r="AQ541" s="1898"/>
      <c r="AR541" s="1898"/>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0">
        <f>IFERROR(ROUNDDOWN(IF(C533="YES",((1-(AF540/AF541))*2),(1-(AF540/AF541))),2),0)</f>
        <v>0.38</v>
      </c>
      <c r="AG542" s="1910"/>
      <c r="AH542" s="1910"/>
      <c r="AI542" s="1910"/>
      <c r="AJ542" s="1910"/>
      <c r="AK542" s="629"/>
      <c r="AL542" s="629"/>
      <c r="AM542" s="629"/>
      <c r="AN542" s="631"/>
      <c r="AP542" s="1899">
        <f>Application!AJ1048</f>
        <v>10642648</v>
      </c>
      <c r="AQ542" s="1899"/>
      <c r="AR542" s="1899"/>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18">
        <f>IF(((AP541+AP542)/AP539)&gt;0.8,0.8,((AP541+AP542)/AP539))</f>
        <v>0.28999999999999998</v>
      </c>
      <c r="AQ543" s="1918"/>
      <c r="AR543" s="1918"/>
      <c r="AS543" s="584" t="s">
        <v>2533</v>
      </c>
    </row>
    <row r="544" spans="1:49" s="584" customFormat="1" ht="12.75" customHeight="1">
      <c r="A544" s="658"/>
      <c r="B544" s="1964" t="s">
        <v>2345</v>
      </c>
      <c r="C544" s="1965"/>
      <c r="D544" s="1965"/>
      <c r="E544" s="1965"/>
      <c r="F544" s="1965"/>
      <c r="G544" s="1965"/>
      <c r="H544" s="1965"/>
      <c r="I544" s="1965"/>
      <c r="J544" s="1965"/>
      <c r="K544" s="1965"/>
      <c r="L544" s="1965"/>
      <c r="M544" s="1965"/>
      <c r="N544" s="1965"/>
      <c r="O544" s="1965"/>
      <c r="P544" s="1965"/>
      <c r="Q544" s="1965"/>
      <c r="R544" s="1965"/>
      <c r="S544" s="1965"/>
      <c r="T544" s="1965"/>
      <c r="U544" s="1965"/>
      <c r="V544" s="1965"/>
      <c r="W544" s="1965"/>
      <c r="X544" s="1965"/>
      <c r="Y544" s="1965"/>
      <c r="Z544" s="1965"/>
      <c r="AA544" s="1965"/>
      <c r="AB544" s="1965"/>
      <c r="AC544" s="1965"/>
      <c r="AD544" s="1965"/>
      <c r="AE544" s="1965"/>
      <c r="AF544" s="1965"/>
      <c r="AG544" s="1965"/>
      <c r="AH544" s="1965"/>
      <c r="AI544" s="1965"/>
      <c r="AJ544" s="1966"/>
      <c r="AK544" s="629"/>
      <c r="AL544" s="629"/>
      <c r="AM544" s="629"/>
      <c r="AN544" s="631"/>
    </row>
    <row r="545" spans="1:45" s="584" customFormat="1" ht="12.75" customHeight="1">
      <c r="A545" s="658"/>
      <c r="B545" s="1967"/>
      <c r="C545" s="1968"/>
      <c r="D545" s="1968"/>
      <c r="E545" s="1968"/>
      <c r="F545" s="1968"/>
      <c r="G545" s="1968"/>
      <c r="H545" s="1968"/>
      <c r="I545" s="1968"/>
      <c r="J545" s="1968"/>
      <c r="K545" s="1968"/>
      <c r="L545" s="1968"/>
      <c r="M545" s="1968"/>
      <c r="N545" s="1968"/>
      <c r="O545" s="1968"/>
      <c r="P545" s="1968"/>
      <c r="Q545" s="1968"/>
      <c r="R545" s="1968"/>
      <c r="S545" s="1968"/>
      <c r="T545" s="1968"/>
      <c r="U545" s="1968"/>
      <c r="V545" s="1968"/>
      <c r="W545" s="1968"/>
      <c r="X545" s="1968"/>
      <c r="Y545" s="1968"/>
      <c r="Z545" s="1968"/>
      <c r="AA545" s="1968"/>
      <c r="AB545" s="1968"/>
      <c r="AC545" s="1968"/>
      <c r="AD545" s="1968"/>
      <c r="AE545" s="1968"/>
      <c r="AF545" s="1968"/>
      <c r="AG545" s="1968"/>
      <c r="AH545" s="1968"/>
      <c r="AI545" s="1968"/>
      <c r="AJ545" s="1969"/>
      <c r="AK545" s="629"/>
      <c r="AL545" s="629"/>
      <c r="AM545" s="629"/>
      <c r="AN545" s="631"/>
      <c r="AP545" s="1898">
        <f>AP546-AP541-AP542</f>
        <v>53213239.999999993</v>
      </c>
      <c r="AQ545" s="1919"/>
      <c r="AR545" s="1919"/>
      <c r="AS545" s="584" t="s">
        <v>2535</v>
      </c>
    </row>
    <row r="546" spans="1:45" s="584" customFormat="1" ht="12.75" customHeight="1">
      <c r="A546" s="658"/>
      <c r="B546" s="1970"/>
      <c r="C546" s="1971"/>
      <c r="D546" s="1971"/>
      <c r="E546" s="1971"/>
      <c r="F546" s="1971"/>
      <c r="G546" s="1971"/>
      <c r="H546" s="1971"/>
      <c r="I546" s="1971"/>
      <c r="J546" s="1971"/>
      <c r="K546" s="1971"/>
      <c r="L546" s="1971"/>
      <c r="M546" s="1971"/>
      <c r="N546" s="1971"/>
      <c r="O546" s="1971"/>
      <c r="P546" s="1971"/>
      <c r="Q546" s="1971"/>
      <c r="R546" s="1971"/>
      <c r="S546" s="1971"/>
      <c r="T546" s="1971"/>
      <c r="U546" s="1971"/>
      <c r="V546" s="1971"/>
      <c r="W546" s="1971"/>
      <c r="X546" s="1971"/>
      <c r="Y546" s="1971"/>
      <c r="Z546" s="1971"/>
      <c r="AA546" s="1971"/>
      <c r="AB546" s="1971"/>
      <c r="AC546" s="1971"/>
      <c r="AD546" s="1971"/>
      <c r="AE546" s="1971"/>
      <c r="AF546" s="1971"/>
      <c r="AG546" s="1971"/>
      <c r="AH546" s="1971"/>
      <c r="AI546" s="1971"/>
      <c r="AJ546" s="1972"/>
      <c r="AK546" s="629"/>
      <c r="AL546" s="629"/>
      <c r="AM546" s="629"/>
      <c r="AN546" s="631"/>
      <c r="AP546" s="1898">
        <f>Application!AJ1052</f>
        <v>68645079.599999994</v>
      </c>
      <c r="AQ546" s="1898"/>
      <c r="AR546" s="1898"/>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3">
        <f>IFERROR(IF(AND(C530="N/A",C533="N/A"),0,IF(AF542=0,0,IF((AF542*100)&gt;12,12,(AF542*100)))),0)</f>
        <v>12</v>
      </c>
      <c r="AL548" s="1973"/>
      <c r="AM548" s="1974"/>
      <c r="AN548" s="631"/>
      <c r="AP548" s="1887">
        <f>AP545+(AP539*AP543)</f>
        <v>68645079.599999994</v>
      </c>
      <c r="AQ548" s="1888"/>
      <c r="AR548" s="188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17" t="s">
        <v>1424</v>
      </c>
      <c r="AF551" s="1917"/>
      <c r="AG551" s="1917"/>
      <c r="AH551" s="1917"/>
      <c r="AI551" s="1917"/>
      <c r="AJ551" s="1917"/>
      <c r="AK551" s="1917"/>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4" t="s">
        <v>2336</v>
      </c>
      <c r="C553" s="1904"/>
      <c r="D553" s="1904"/>
      <c r="E553" s="1904"/>
      <c r="F553" s="1904"/>
      <c r="G553" s="1904"/>
      <c r="H553" s="1904"/>
      <c r="I553" s="1904"/>
      <c r="J553" s="1904"/>
      <c r="K553" s="1904"/>
      <c r="L553" s="1904"/>
      <c r="M553" s="1904"/>
      <c r="N553" s="1904"/>
      <c r="O553" s="1904"/>
      <c r="P553" s="1904"/>
      <c r="Q553" s="1904"/>
      <c r="R553" s="1904"/>
      <c r="S553" s="1904"/>
      <c r="T553" s="1904"/>
      <c r="U553" s="1904"/>
      <c r="V553" s="1904"/>
      <c r="W553" s="1904"/>
      <c r="X553" s="1904"/>
      <c r="Y553" s="1904"/>
      <c r="Z553" s="1904"/>
      <c r="AA553" s="1904"/>
      <c r="AB553" s="1904"/>
      <c r="AC553" s="1904"/>
      <c r="AD553" s="1904"/>
      <c r="AE553" s="1904"/>
      <c r="AF553" s="1904"/>
      <c r="AG553" s="1904"/>
      <c r="AH553" s="1904"/>
      <c r="AI553" s="1904"/>
      <c r="AJ553" s="1904"/>
      <c r="AK553" s="676"/>
      <c r="AL553" s="607"/>
      <c r="AM553" s="637"/>
      <c r="AN553" s="631"/>
    </row>
    <row r="554" spans="1:45" s="584" customFormat="1" ht="12.75" customHeight="1">
      <c r="A554" s="637"/>
      <c r="B554" s="1904"/>
      <c r="C554" s="1904"/>
      <c r="D554" s="1904"/>
      <c r="E554" s="1904"/>
      <c r="F554" s="1904"/>
      <c r="G554" s="1904"/>
      <c r="H554" s="1904"/>
      <c r="I554" s="1904"/>
      <c r="J554" s="1904"/>
      <c r="K554" s="1904"/>
      <c r="L554" s="1904"/>
      <c r="M554" s="1904"/>
      <c r="N554" s="1904"/>
      <c r="O554" s="1904"/>
      <c r="P554" s="1904"/>
      <c r="Q554" s="1904"/>
      <c r="R554" s="1904"/>
      <c r="S554" s="1904"/>
      <c r="T554" s="1904"/>
      <c r="U554" s="1904"/>
      <c r="V554" s="1904"/>
      <c r="W554" s="1904"/>
      <c r="X554" s="1904"/>
      <c r="Y554" s="1904"/>
      <c r="Z554" s="1904"/>
      <c r="AA554" s="1904"/>
      <c r="AB554" s="1904"/>
      <c r="AC554" s="1904"/>
      <c r="AD554" s="1904"/>
      <c r="AE554" s="1904"/>
      <c r="AF554" s="1904"/>
      <c r="AG554" s="1904"/>
      <c r="AH554" s="1904"/>
      <c r="AI554" s="1904"/>
      <c r="AJ554" s="1904"/>
      <c r="AK554" s="676"/>
      <c r="AL554" s="607"/>
      <c r="AM554" s="637"/>
      <c r="AN554" s="631"/>
    </row>
    <row r="555" spans="1:45" s="584" customFormat="1" ht="12.75" customHeight="1">
      <c r="A555" s="637"/>
      <c r="B555" s="1904"/>
      <c r="C555" s="1904"/>
      <c r="D555" s="1904"/>
      <c r="E555" s="1904"/>
      <c r="F555" s="1904"/>
      <c r="G555" s="1904"/>
      <c r="H555" s="1904"/>
      <c r="I555" s="1904"/>
      <c r="J555" s="1904"/>
      <c r="K555" s="1904"/>
      <c r="L555" s="1904"/>
      <c r="M555" s="1904"/>
      <c r="N555" s="1904"/>
      <c r="O555" s="1904"/>
      <c r="P555" s="1904"/>
      <c r="Q555" s="1904"/>
      <c r="R555" s="1904"/>
      <c r="S555" s="1904"/>
      <c r="T555" s="1904"/>
      <c r="U555" s="1904"/>
      <c r="V555" s="1904"/>
      <c r="W555" s="1904"/>
      <c r="X555" s="1904"/>
      <c r="Y555" s="1904"/>
      <c r="Z555" s="1904"/>
      <c r="AA555" s="1904"/>
      <c r="AB555" s="1904"/>
      <c r="AC555" s="1904"/>
      <c r="AD555" s="1904"/>
      <c r="AE555" s="1904"/>
      <c r="AF555" s="1904"/>
      <c r="AG555" s="1904"/>
      <c r="AH555" s="1904"/>
      <c r="AI555" s="1904"/>
      <c r="AJ555" s="1904"/>
      <c r="AK555" s="676"/>
      <c r="AL555" s="607"/>
      <c r="AM555" s="637"/>
      <c r="AN555" s="631"/>
    </row>
    <row r="556" spans="1:45" s="584" customFormat="1" ht="12.75" customHeight="1">
      <c r="A556" s="637"/>
      <c r="B556" s="1904"/>
      <c r="C556" s="1904"/>
      <c r="D556" s="1904"/>
      <c r="E556" s="1904"/>
      <c r="F556" s="1904"/>
      <c r="G556" s="1904"/>
      <c r="H556" s="1904"/>
      <c r="I556" s="1904"/>
      <c r="J556" s="1904"/>
      <c r="K556" s="1904"/>
      <c r="L556" s="1904"/>
      <c r="M556" s="1904"/>
      <c r="N556" s="1904"/>
      <c r="O556" s="1904"/>
      <c r="P556" s="1904"/>
      <c r="Q556" s="1904"/>
      <c r="R556" s="1904"/>
      <c r="S556" s="1904"/>
      <c r="T556" s="1904"/>
      <c r="U556" s="1904"/>
      <c r="V556" s="1904"/>
      <c r="W556" s="1904"/>
      <c r="X556" s="1904"/>
      <c r="Y556" s="1904"/>
      <c r="Z556" s="1904"/>
      <c r="AA556" s="1904"/>
      <c r="AB556" s="1904"/>
      <c r="AC556" s="1904"/>
      <c r="AD556" s="1904"/>
      <c r="AE556" s="1904"/>
      <c r="AF556" s="1904"/>
      <c r="AG556" s="1904"/>
      <c r="AH556" s="1904"/>
      <c r="AI556" s="1904"/>
      <c r="AJ556" s="1904"/>
      <c r="AK556" s="676"/>
      <c r="AL556" s="607"/>
      <c r="AM556" s="637"/>
      <c r="AN556" s="631"/>
    </row>
    <row r="557" spans="1:45" s="584" customFormat="1" ht="12.75" customHeight="1">
      <c r="A557" s="637"/>
      <c r="B557" s="1904"/>
      <c r="C557" s="1904"/>
      <c r="D557" s="1904"/>
      <c r="E557" s="1904"/>
      <c r="F557" s="1904"/>
      <c r="G557" s="1904"/>
      <c r="H557" s="1904"/>
      <c r="I557" s="1904"/>
      <c r="J557" s="1904"/>
      <c r="K557" s="1904"/>
      <c r="L557" s="1904"/>
      <c r="M557" s="1904"/>
      <c r="N557" s="1904"/>
      <c r="O557" s="1904"/>
      <c r="P557" s="1904"/>
      <c r="Q557" s="1904"/>
      <c r="R557" s="1904"/>
      <c r="S557" s="1904"/>
      <c r="T557" s="1904"/>
      <c r="U557" s="1904"/>
      <c r="V557" s="1904"/>
      <c r="W557" s="1904"/>
      <c r="X557" s="1904"/>
      <c r="Y557" s="1904"/>
      <c r="Z557" s="1904"/>
      <c r="AA557" s="1904"/>
      <c r="AB557" s="1904"/>
      <c r="AC557" s="1904"/>
      <c r="AD557" s="1904"/>
      <c r="AE557" s="1904"/>
      <c r="AF557" s="1904"/>
      <c r="AG557" s="1904"/>
      <c r="AH557" s="1904"/>
      <c r="AI557" s="1904"/>
      <c r="AJ557" s="1904"/>
      <c r="AK557" s="676"/>
      <c r="AL557" s="607"/>
      <c r="AM557" s="637"/>
      <c r="AN557" s="631"/>
    </row>
    <row r="558" spans="1:45" s="584" customFormat="1" ht="12.75" customHeight="1">
      <c r="A558" s="637"/>
      <c r="B558" s="1904"/>
      <c r="C558" s="1904"/>
      <c r="D558" s="1904"/>
      <c r="E558" s="1904"/>
      <c r="F558" s="1904"/>
      <c r="G558" s="1904"/>
      <c r="H558" s="1904"/>
      <c r="I558" s="1904"/>
      <c r="J558" s="1904"/>
      <c r="K558" s="1904"/>
      <c r="L558" s="1904"/>
      <c r="M558" s="1904"/>
      <c r="N558" s="1904"/>
      <c r="O558" s="1904"/>
      <c r="P558" s="1904"/>
      <c r="Q558" s="1904"/>
      <c r="R558" s="1904"/>
      <c r="S558" s="1904"/>
      <c r="T558" s="1904"/>
      <c r="U558" s="1904"/>
      <c r="V558" s="1904"/>
      <c r="W558" s="1904"/>
      <c r="X558" s="1904"/>
      <c r="Y558" s="1904"/>
      <c r="Z558" s="1904"/>
      <c r="AA558" s="1904"/>
      <c r="AB558" s="1904"/>
      <c r="AC558" s="1904"/>
      <c r="AD558" s="1904"/>
      <c r="AE558" s="1904"/>
      <c r="AF558" s="1904"/>
      <c r="AG558" s="1904"/>
      <c r="AH558" s="1904"/>
      <c r="AI558" s="1904"/>
      <c r="AJ558" s="1904"/>
      <c r="AK558" s="676"/>
      <c r="AL558" s="607"/>
      <c r="AM558" s="637"/>
      <c r="AN558" s="631"/>
    </row>
    <row r="559" spans="1:45" s="584" customFormat="1" ht="12.75" customHeight="1">
      <c r="A559" s="637"/>
      <c r="B559" s="1904"/>
      <c r="C559" s="1904"/>
      <c r="D559" s="1904"/>
      <c r="E559" s="1904"/>
      <c r="F559" s="1904"/>
      <c r="G559" s="1904"/>
      <c r="H559" s="1904"/>
      <c r="I559" s="1904"/>
      <c r="J559" s="1904"/>
      <c r="K559" s="1904"/>
      <c r="L559" s="1904"/>
      <c r="M559" s="1904"/>
      <c r="N559" s="1904"/>
      <c r="O559" s="1904"/>
      <c r="P559" s="1904"/>
      <c r="Q559" s="1904"/>
      <c r="R559" s="1904"/>
      <c r="S559" s="1904"/>
      <c r="T559" s="1904"/>
      <c r="U559" s="1904"/>
      <c r="V559" s="1904"/>
      <c r="W559" s="1904"/>
      <c r="X559" s="1904"/>
      <c r="Y559" s="1904"/>
      <c r="Z559" s="1904"/>
      <c r="AA559" s="1904"/>
      <c r="AB559" s="1904"/>
      <c r="AC559" s="1904"/>
      <c r="AD559" s="1904"/>
      <c r="AE559" s="1904"/>
      <c r="AF559" s="1904"/>
      <c r="AG559" s="1904"/>
      <c r="AH559" s="1904"/>
      <c r="AI559" s="1904"/>
      <c r="AJ559" s="1904"/>
      <c r="AK559" s="676"/>
      <c r="AL559" s="607"/>
      <c r="AM559" s="637"/>
      <c r="AN559" s="631"/>
    </row>
    <row r="560" spans="1:45" ht="12.75" customHeight="1">
      <c r="A560" s="637"/>
      <c r="B560" s="1904"/>
      <c r="C560" s="1904"/>
      <c r="D560" s="1904"/>
      <c r="E560" s="1904"/>
      <c r="F560" s="1904"/>
      <c r="G560" s="1904"/>
      <c r="H560" s="1904"/>
      <c r="I560" s="1904"/>
      <c r="J560" s="1904"/>
      <c r="K560" s="1904"/>
      <c r="L560" s="1904"/>
      <c r="M560" s="1904"/>
      <c r="N560" s="1904"/>
      <c r="O560" s="1904"/>
      <c r="P560" s="1904"/>
      <c r="Q560" s="1904"/>
      <c r="R560" s="1904"/>
      <c r="S560" s="1904"/>
      <c r="T560" s="1904"/>
      <c r="U560" s="1904"/>
      <c r="V560" s="1904"/>
      <c r="W560" s="1904"/>
      <c r="X560" s="1904"/>
      <c r="Y560" s="1904"/>
      <c r="Z560" s="1904"/>
      <c r="AA560" s="1904"/>
      <c r="AB560" s="1904"/>
      <c r="AC560" s="1904"/>
      <c r="AD560" s="1904"/>
      <c r="AE560" s="1904"/>
      <c r="AF560" s="1904"/>
      <c r="AG560" s="1904"/>
      <c r="AH560" s="1904"/>
      <c r="AI560" s="1904"/>
      <c r="AJ560" s="1904"/>
      <c r="AK560" s="676"/>
      <c r="AL560" s="607"/>
      <c r="AM560" s="637"/>
    </row>
    <row r="561" spans="1:42" s="584" customFormat="1" ht="12.75" customHeight="1">
      <c r="B561" s="1904"/>
      <c r="C561" s="1904"/>
      <c r="D561" s="1904"/>
      <c r="E561" s="1904"/>
      <c r="F561" s="1904"/>
      <c r="G561" s="1904"/>
      <c r="H561" s="1904"/>
      <c r="I561" s="1904"/>
      <c r="J561" s="1904"/>
      <c r="K561" s="1904"/>
      <c r="L561" s="1904"/>
      <c r="M561" s="1904"/>
      <c r="N561" s="1904"/>
      <c r="O561" s="1904"/>
      <c r="P561" s="1904"/>
      <c r="Q561" s="1904"/>
      <c r="R561" s="1904"/>
      <c r="S561" s="1904"/>
      <c r="T561" s="1904"/>
      <c r="U561" s="1904"/>
      <c r="V561" s="1904"/>
      <c r="W561" s="1904"/>
      <c r="X561" s="1904"/>
      <c r="Y561" s="1904"/>
      <c r="Z561" s="1904"/>
      <c r="AA561" s="1904"/>
      <c r="AB561" s="1904"/>
      <c r="AC561" s="1904"/>
      <c r="AD561" s="1904"/>
      <c r="AE561" s="1904"/>
      <c r="AF561" s="1904"/>
      <c r="AG561" s="1904"/>
      <c r="AH561" s="1904"/>
      <c r="AI561" s="1904"/>
      <c r="AJ561" s="190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4" t="s">
        <v>1448</v>
      </c>
      <c r="AG567" s="1984"/>
      <c r="AH567" s="1984"/>
      <c r="AI567" s="1984"/>
      <c r="AJ567" s="1984"/>
      <c r="AK567" s="1984"/>
      <c r="AL567" s="1984"/>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4" t="s">
        <v>1506</v>
      </c>
      <c r="AG574" s="1984"/>
      <c r="AH574" s="1984"/>
      <c r="AI574" s="1984"/>
      <c r="AJ574" s="1984"/>
      <c r="AK574" s="1984"/>
      <c r="AL574" s="1984"/>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4" t="s">
        <v>1488</v>
      </c>
      <c r="AG580" s="1984"/>
      <c r="AH580" s="1984"/>
      <c r="AI580" s="1984"/>
      <c r="AJ580" s="1984"/>
      <c r="AK580" s="1984"/>
      <c r="AL580" s="1984"/>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4" t="s">
        <v>1509</v>
      </c>
      <c r="AG586" s="1984"/>
      <c r="AH586" s="1984"/>
      <c r="AI586" s="1984"/>
      <c r="AJ586" s="1984"/>
      <c r="AK586" s="1984"/>
      <c r="AL586" s="1984"/>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3" t="s">
        <v>1291</v>
      </c>
      <c r="P590" s="2023"/>
      <c r="Q590" s="2023"/>
      <c r="R590" s="2023"/>
      <c r="S590" s="2023"/>
      <c r="T590" s="2023"/>
      <c r="U590" s="2023"/>
      <c r="V590" s="2023"/>
      <c r="W590" s="2023"/>
      <c r="X590" s="2023"/>
      <c r="Y590" s="2023"/>
      <c r="Z590" s="2023"/>
      <c r="AA590" s="2023"/>
      <c r="AB590" s="2023"/>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4" t="s">
        <v>1462</v>
      </c>
      <c r="AG592" s="1984"/>
      <c r="AH592" s="1984"/>
      <c r="AI592" s="1984"/>
      <c r="AJ592" s="1984"/>
      <c r="AK592" s="1984"/>
      <c r="AL592" s="1984"/>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28" t="s">
        <v>518</v>
      </c>
      <c r="I595" s="1928"/>
      <c r="J595" s="971"/>
      <c r="K595" s="971"/>
      <c r="L595" s="971"/>
      <c r="N595" s="22"/>
      <c r="O595" s="22"/>
      <c r="P595" s="22"/>
      <c r="Q595" s="1195" t="s">
        <v>2538</v>
      </c>
      <c r="R595" s="2024"/>
      <c r="S595" s="2024"/>
      <c r="T595" s="2024"/>
      <c r="U595" s="2024"/>
      <c r="V595" s="2024"/>
      <c r="W595" s="2024"/>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5" t="str">
        <f>IF(AND(H595="(i)",NOT(AP571)),AO588,IF(AND(H595="(iv)",OR(R595=AO584,R595=AO583),NOT(AP572)),AO589,""))</f>
        <v/>
      </c>
      <c r="Z596" s="2025"/>
      <c r="AA596" s="2025"/>
      <c r="AB596" s="2025"/>
      <c r="AC596" s="2025"/>
      <c r="AD596" s="2025"/>
      <c r="AE596" s="2025"/>
      <c r="AF596" s="2025"/>
      <c r="AG596" s="2025"/>
      <c r="AH596" s="2025"/>
      <c r="AI596" s="2025"/>
      <c r="AJ596" s="2025"/>
      <c r="AK596" s="2025"/>
      <c r="AL596" s="2025"/>
      <c r="AM596" s="2026"/>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5"/>
      <c r="Z597" s="2025"/>
      <c r="AA597" s="2025"/>
      <c r="AB597" s="2025"/>
      <c r="AC597" s="2025"/>
      <c r="AD597" s="2025"/>
      <c r="AE597" s="2025"/>
      <c r="AF597" s="2025"/>
      <c r="AG597" s="2025"/>
      <c r="AH597" s="2025"/>
      <c r="AI597" s="2025"/>
      <c r="AJ597" s="2025"/>
      <c r="AK597" s="2025"/>
      <c r="AL597" s="2025"/>
      <c r="AM597" s="2026"/>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2" t="s">
        <v>600</v>
      </c>
      <c r="J603" s="2022"/>
      <c r="K603" s="2022"/>
      <c r="L603" s="2022"/>
      <c r="M603" s="2022"/>
      <c r="N603" s="2022"/>
      <c r="O603" s="2022"/>
      <c r="P603" s="2022"/>
      <c r="Q603" s="2022"/>
      <c r="R603" s="2022"/>
      <c r="S603" s="2022"/>
      <c r="T603" s="2022"/>
      <c r="U603" s="2022"/>
      <c r="V603" s="2022"/>
      <c r="W603" s="2022"/>
      <c r="X603" s="2022"/>
      <c r="Y603" s="2022"/>
      <c r="Z603" s="2022"/>
      <c r="AA603" s="2022"/>
      <c r="AB603" s="2022"/>
      <c r="AC603" s="2022"/>
      <c r="AD603" s="2022"/>
      <c r="AE603" s="2022"/>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0" t="s">
        <v>600</v>
      </c>
      <c r="C605" s="2020"/>
      <c r="D605" s="676"/>
      <c r="E605" s="1904" t="s">
        <v>1513</v>
      </c>
      <c r="F605" s="1904"/>
      <c r="G605" s="1904"/>
      <c r="H605" s="1904"/>
      <c r="I605" s="1904"/>
      <c r="J605" s="1904"/>
      <c r="K605" s="1904"/>
      <c r="L605" s="1904"/>
      <c r="M605" s="1904"/>
      <c r="N605" s="1904"/>
      <c r="O605" s="1904"/>
      <c r="P605" s="1904"/>
      <c r="Q605" s="1904"/>
      <c r="R605" s="1904"/>
      <c r="S605" s="1904"/>
      <c r="T605" s="1904"/>
      <c r="U605" s="1904"/>
      <c r="V605" s="1904"/>
      <c r="W605" s="1904"/>
      <c r="X605" s="1904"/>
      <c r="Y605" s="1904"/>
      <c r="Z605" s="1904"/>
      <c r="AA605" s="1904"/>
      <c r="AB605" s="1904"/>
      <c r="AC605" s="1904"/>
      <c r="AD605" s="1904"/>
      <c r="AE605" s="1904"/>
      <c r="AF605" s="1904"/>
      <c r="AG605" s="1904"/>
      <c r="AH605" s="676"/>
      <c r="AI605" s="676"/>
      <c r="AJ605" s="676"/>
      <c r="AK605" s="676"/>
      <c r="AL605" s="676"/>
      <c r="AN605" s="631"/>
    </row>
    <row r="606" spans="2:47" s="584" customFormat="1" ht="12.75" customHeight="1">
      <c r="B606" s="570"/>
      <c r="C606" s="968"/>
      <c r="D606" s="676"/>
      <c r="E606" s="1904"/>
      <c r="F606" s="1904"/>
      <c r="G606" s="1904"/>
      <c r="H606" s="1904"/>
      <c r="I606" s="1904"/>
      <c r="J606" s="1904"/>
      <c r="K606" s="1904"/>
      <c r="L606" s="1904"/>
      <c r="M606" s="1904"/>
      <c r="N606" s="1904"/>
      <c r="O606" s="1904"/>
      <c r="P606" s="1904"/>
      <c r="Q606" s="1904"/>
      <c r="R606" s="1904"/>
      <c r="S606" s="1904"/>
      <c r="T606" s="1904"/>
      <c r="U606" s="1904"/>
      <c r="V606" s="1904"/>
      <c r="W606" s="1904"/>
      <c r="X606" s="1904"/>
      <c r="Y606" s="1904"/>
      <c r="Z606" s="1904"/>
      <c r="AA606" s="1904"/>
      <c r="AB606" s="1904"/>
      <c r="AC606" s="1904"/>
      <c r="AD606" s="1904"/>
      <c r="AE606" s="1904"/>
      <c r="AF606" s="1904"/>
      <c r="AG606" s="1904"/>
      <c r="AH606" s="676"/>
      <c r="AI606" s="676"/>
      <c r="AJ606" s="676"/>
      <c r="AK606" s="676"/>
      <c r="AL606" s="676"/>
      <c r="AN606" s="631"/>
    </row>
    <row r="607" spans="2:47" s="584" customFormat="1" ht="12.75" customHeight="1">
      <c r="B607" s="570"/>
      <c r="C607" s="968"/>
      <c r="D607" s="676"/>
      <c r="E607" s="1904"/>
      <c r="F607" s="1904"/>
      <c r="G607" s="1904"/>
      <c r="H607" s="1904"/>
      <c r="I607" s="1904"/>
      <c r="J607" s="1904"/>
      <c r="K607" s="1904"/>
      <c r="L607" s="1904"/>
      <c r="M607" s="1904"/>
      <c r="N607" s="1904"/>
      <c r="O607" s="1904"/>
      <c r="P607" s="1904"/>
      <c r="Q607" s="1904"/>
      <c r="R607" s="1904"/>
      <c r="S607" s="1904"/>
      <c r="T607" s="1904"/>
      <c r="U607" s="1904"/>
      <c r="V607" s="1904"/>
      <c r="W607" s="1904"/>
      <c r="X607" s="1904"/>
      <c r="Y607" s="1904"/>
      <c r="Z607" s="1904"/>
      <c r="AA607" s="1904"/>
      <c r="AB607" s="1904"/>
      <c r="AC607" s="1904"/>
      <c r="AD607" s="1904"/>
      <c r="AE607" s="1904"/>
      <c r="AF607" s="1904"/>
      <c r="AG607" s="1904"/>
      <c r="AH607" s="676"/>
      <c r="AI607" s="676"/>
      <c r="AJ607" s="676"/>
      <c r="AK607" s="676"/>
      <c r="AL607" s="676"/>
      <c r="AN607" s="631"/>
    </row>
    <row r="608" spans="2:47" s="584" customFormat="1" ht="12.75" customHeight="1">
      <c r="B608" s="570"/>
      <c r="C608" s="968"/>
      <c r="D608" s="676"/>
      <c r="E608" s="1904"/>
      <c r="F608" s="1904"/>
      <c r="G608" s="1904"/>
      <c r="H608" s="1904"/>
      <c r="I608" s="1904"/>
      <c r="J608" s="1904"/>
      <c r="K608" s="1904"/>
      <c r="L608" s="1904"/>
      <c r="M608" s="1904"/>
      <c r="N608" s="1904"/>
      <c r="O608" s="1904"/>
      <c r="P608" s="1904"/>
      <c r="Q608" s="1904"/>
      <c r="R608" s="1904"/>
      <c r="S608" s="1904"/>
      <c r="T608" s="1904"/>
      <c r="U608" s="1904"/>
      <c r="V608" s="1904"/>
      <c r="W608" s="1904"/>
      <c r="X608" s="1904"/>
      <c r="Y608" s="1904"/>
      <c r="Z608" s="1904"/>
      <c r="AA608" s="1904"/>
      <c r="AB608" s="1904"/>
      <c r="AC608" s="1904"/>
      <c r="AD608" s="1904"/>
      <c r="AE608" s="1904"/>
      <c r="AF608" s="1904"/>
      <c r="AG608" s="190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1">
        <f>VLOOKUP($H$595,$AO$575:$AP$580,2,FALSE)+IF(R595=AO583,0,VLOOKUP($I$603,$AO$602:$AP$604,2,FALSE))</f>
        <v>6</v>
      </c>
      <c r="AK610" s="1913"/>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1" t="s">
        <v>1883</v>
      </c>
      <c r="F614" s="2021"/>
      <c r="G614" s="2021"/>
      <c r="H614" s="2021"/>
      <c r="I614" s="2021"/>
      <c r="J614" s="2021"/>
      <c r="K614" s="2021"/>
      <c r="L614" s="2021"/>
      <c r="M614" s="2021"/>
      <c r="N614" s="2021"/>
      <c r="O614" s="2021"/>
      <c r="P614" s="2021"/>
      <c r="Q614" s="2021"/>
      <c r="R614" s="2021"/>
      <c r="S614" s="2021"/>
      <c r="T614" s="2021"/>
      <c r="U614" s="2021"/>
      <c r="V614" s="2021"/>
      <c r="W614" s="2021"/>
      <c r="X614" s="2021"/>
      <c r="Y614" s="2021"/>
      <c r="Z614" s="2021"/>
      <c r="AA614" s="2021"/>
      <c r="AB614" s="2021"/>
      <c r="AC614" s="2021"/>
      <c r="AD614" s="2021"/>
      <c r="AE614" s="573"/>
      <c r="AF614" s="1984" t="s">
        <v>1462</v>
      </c>
      <c r="AG614" s="1984"/>
      <c r="AH614" s="1984"/>
      <c r="AI614" s="1984"/>
      <c r="AJ614" s="1984"/>
      <c r="AK614" s="1984"/>
      <c r="AL614" s="1984"/>
      <c r="AM614" s="584"/>
      <c r="AN614" s="712"/>
    </row>
    <row r="615" spans="1:42" s="584" customFormat="1" ht="12.75" customHeight="1">
      <c r="A615" s="713"/>
      <c r="B615" s="570"/>
      <c r="C615" s="968"/>
      <c r="D615" s="697"/>
      <c r="E615" s="2021"/>
      <c r="F615" s="2021"/>
      <c r="G615" s="2021"/>
      <c r="H615" s="2021"/>
      <c r="I615" s="2021"/>
      <c r="J615" s="2021"/>
      <c r="K615" s="2021"/>
      <c r="L615" s="2021"/>
      <c r="M615" s="2021"/>
      <c r="N615" s="2021"/>
      <c r="O615" s="2021"/>
      <c r="P615" s="2021"/>
      <c r="Q615" s="2021"/>
      <c r="R615" s="2021"/>
      <c r="S615" s="2021"/>
      <c r="T615" s="2021"/>
      <c r="U615" s="2021"/>
      <c r="V615" s="2021"/>
      <c r="W615" s="2021"/>
      <c r="X615" s="2021"/>
      <c r="Y615" s="2021"/>
      <c r="Z615" s="2021"/>
      <c r="AA615" s="2021"/>
      <c r="AB615" s="2021"/>
      <c r="AC615" s="2021"/>
      <c r="AD615" s="2021"/>
      <c r="AE615" s="570"/>
      <c r="AF615" s="570"/>
      <c r="AG615" s="570"/>
      <c r="AH615" s="570"/>
      <c r="AI615" s="570"/>
      <c r="AJ615" s="570"/>
      <c r="AK615" s="570"/>
      <c r="AL615" s="570"/>
      <c r="AN615" s="631"/>
    </row>
    <row r="616" spans="1:42" s="584" customFormat="1" ht="12.75" customHeight="1">
      <c r="B616" s="570"/>
      <c r="C616" s="966"/>
      <c r="D616" s="697"/>
      <c r="E616" s="2021"/>
      <c r="F616" s="2021"/>
      <c r="G616" s="2021"/>
      <c r="H616" s="2021"/>
      <c r="I616" s="2021"/>
      <c r="J616" s="2021"/>
      <c r="K616" s="2021"/>
      <c r="L616" s="2021"/>
      <c r="M616" s="2021"/>
      <c r="N616" s="2021"/>
      <c r="O616" s="2021"/>
      <c r="P616" s="2021"/>
      <c r="Q616" s="2021"/>
      <c r="R616" s="2021"/>
      <c r="S616" s="2021"/>
      <c r="T616" s="2021"/>
      <c r="U616" s="2021"/>
      <c r="V616" s="2021"/>
      <c r="W616" s="2021"/>
      <c r="X616" s="2021"/>
      <c r="Y616" s="2021"/>
      <c r="Z616" s="2021"/>
      <c r="AA616" s="2021"/>
      <c r="AB616" s="2021"/>
      <c r="AC616" s="2021"/>
      <c r="AD616" s="2021"/>
      <c r="AE616" s="570"/>
      <c r="AF616" s="570"/>
      <c r="AG616" s="570"/>
      <c r="AH616" s="570"/>
      <c r="AI616" s="570"/>
      <c r="AJ616" s="570"/>
      <c r="AK616" s="570"/>
      <c r="AL616" s="570"/>
      <c r="AN616" s="631"/>
    </row>
    <row r="617" spans="1:42" s="584" customFormat="1" ht="12.75" customHeight="1">
      <c r="B617" s="570"/>
      <c r="C617" s="966"/>
      <c r="D617" s="697"/>
      <c r="E617" s="2021"/>
      <c r="F617" s="2021"/>
      <c r="G617" s="2021"/>
      <c r="H617" s="2021"/>
      <c r="I617" s="2021"/>
      <c r="J617" s="2021"/>
      <c r="K617" s="2021"/>
      <c r="L617" s="2021"/>
      <c r="M617" s="2021"/>
      <c r="N617" s="2021"/>
      <c r="O617" s="2021"/>
      <c r="P617" s="2021"/>
      <c r="Q617" s="2021"/>
      <c r="R617" s="2021"/>
      <c r="S617" s="2021"/>
      <c r="T617" s="2021"/>
      <c r="U617" s="2021"/>
      <c r="V617" s="2021"/>
      <c r="W617" s="2021"/>
      <c r="X617" s="2021"/>
      <c r="Y617" s="2021"/>
      <c r="Z617" s="2021"/>
      <c r="AA617" s="2021"/>
      <c r="AB617" s="2021"/>
      <c r="AC617" s="2021"/>
      <c r="AD617" s="2021"/>
      <c r="AE617" s="570"/>
      <c r="AF617" s="570"/>
      <c r="AG617" s="570"/>
      <c r="AH617" s="570"/>
      <c r="AI617" s="570"/>
      <c r="AJ617" s="570"/>
      <c r="AK617" s="570"/>
      <c r="AL617" s="570"/>
      <c r="AN617" s="631"/>
    </row>
    <row r="618" spans="1:42" s="584" customFormat="1" ht="12.75" customHeight="1">
      <c r="B618" s="570"/>
      <c r="C618" s="966"/>
      <c r="D618" s="697"/>
      <c r="E618" s="2021"/>
      <c r="F618" s="2021"/>
      <c r="G618" s="2021"/>
      <c r="H618" s="2021"/>
      <c r="I618" s="2021"/>
      <c r="J618" s="2021"/>
      <c r="K618" s="2021"/>
      <c r="L618" s="2021"/>
      <c r="M618" s="2021"/>
      <c r="N618" s="2021"/>
      <c r="O618" s="2021"/>
      <c r="P618" s="2021"/>
      <c r="Q618" s="2021"/>
      <c r="R618" s="2021"/>
      <c r="S618" s="2021"/>
      <c r="T618" s="2021"/>
      <c r="U618" s="2021"/>
      <c r="V618" s="2021"/>
      <c r="W618" s="2021"/>
      <c r="X618" s="2021"/>
      <c r="Y618" s="2021"/>
      <c r="Z618" s="2021"/>
      <c r="AA618" s="2021"/>
      <c r="AB618" s="2021"/>
      <c r="AC618" s="2021"/>
      <c r="AD618" s="2021"/>
      <c r="AE618" s="570"/>
      <c r="AF618" s="570"/>
      <c r="AG618" s="570"/>
      <c r="AH618" s="570"/>
      <c r="AI618" s="570"/>
      <c r="AJ618" s="570"/>
      <c r="AK618" s="570"/>
      <c r="AL618" s="570"/>
      <c r="AN618" s="631"/>
    </row>
    <row r="619" spans="1:42" s="584" customFormat="1" ht="12.75" customHeight="1">
      <c r="B619" s="570"/>
      <c r="C619" s="966"/>
      <c r="D619" s="697"/>
      <c r="E619" s="2021"/>
      <c r="F619" s="2021"/>
      <c r="G619" s="2021"/>
      <c r="H619" s="2021"/>
      <c r="I619" s="2021"/>
      <c r="J619" s="2021"/>
      <c r="K619" s="2021"/>
      <c r="L619" s="2021"/>
      <c r="M619" s="2021"/>
      <c r="N619" s="2021"/>
      <c r="O619" s="2021"/>
      <c r="P619" s="2021"/>
      <c r="Q619" s="2021"/>
      <c r="R619" s="2021"/>
      <c r="S619" s="2021"/>
      <c r="T619" s="2021"/>
      <c r="U619" s="2021"/>
      <c r="V619" s="2021"/>
      <c r="W619" s="2021"/>
      <c r="X619" s="2021"/>
      <c r="Y619" s="2021"/>
      <c r="Z619" s="2021"/>
      <c r="AA619" s="2021"/>
      <c r="AB619" s="2021"/>
      <c r="AC619" s="2021"/>
      <c r="AD619" s="2021"/>
      <c r="AE619" s="570"/>
      <c r="AF619" s="570"/>
      <c r="AG619" s="570"/>
      <c r="AH619" s="570"/>
      <c r="AI619" s="570"/>
      <c r="AJ619" s="570"/>
      <c r="AK619" s="570"/>
      <c r="AL619" s="570"/>
      <c r="AN619" s="631"/>
    </row>
    <row r="620" spans="1:42" s="584" customFormat="1" ht="12.75" customHeight="1">
      <c r="A620" s="671"/>
      <c r="B620" s="650"/>
      <c r="C620" s="975"/>
      <c r="D620" s="697"/>
      <c r="E620" s="2021"/>
      <c r="F620" s="2021"/>
      <c r="G620" s="2021"/>
      <c r="H620" s="2021"/>
      <c r="I620" s="2021"/>
      <c r="J620" s="2021"/>
      <c r="K620" s="2021"/>
      <c r="L620" s="2021"/>
      <c r="M620" s="2021"/>
      <c r="N620" s="2021"/>
      <c r="O620" s="2021"/>
      <c r="P620" s="2021"/>
      <c r="Q620" s="2021"/>
      <c r="R620" s="2021"/>
      <c r="S620" s="2021"/>
      <c r="T620" s="2021"/>
      <c r="U620" s="2021"/>
      <c r="V620" s="2021"/>
      <c r="W620" s="2021"/>
      <c r="X620" s="2021"/>
      <c r="Y620" s="2021"/>
      <c r="Z620" s="2021"/>
      <c r="AA620" s="2021"/>
      <c r="AB620" s="2021"/>
      <c r="AC620" s="2021"/>
      <c r="AD620" s="2021"/>
      <c r="AE620" s="650"/>
      <c r="AF620" s="650"/>
      <c r="AG620" s="650"/>
      <c r="AH620" s="650"/>
      <c r="AI620" s="650"/>
      <c r="AJ620" s="650"/>
      <c r="AK620" s="570"/>
      <c r="AL620" s="570"/>
      <c r="AN620" s="631"/>
    </row>
    <row r="621" spans="1:42" s="584" customFormat="1" ht="12.75" customHeight="1">
      <c r="B621" s="650"/>
      <c r="C621" s="975"/>
      <c r="D621" s="697"/>
      <c r="E621" s="2021"/>
      <c r="F621" s="2021"/>
      <c r="G621" s="2021"/>
      <c r="H621" s="2021"/>
      <c r="I621" s="2021"/>
      <c r="J621" s="2021"/>
      <c r="K621" s="2021"/>
      <c r="L621" s="2021"/>
      <c r="M621" s="2021"/>
      <c r="N621" s="2021"/>
      <c r="O621" s="2021"/>
      <c r="P621" s="2021"/>
      <c r="Q621" s="2021"/>
      <c r="R621" s="2021"/>
      <c r="S621" s="2021"/>
      <c r="T621" s="2021"/>
      <c r="U621" s="2021"/>
      <c r="V621" s="2021"/>
      <c r="W621" s="2021"/>
      <c r="X621" s="2021"/>
      <c r="Y621" s="2021"/>
      <c r="Z621" s="2021"/>
      <c r="AA621" s="2021"/>
      <c r="AB621" s="2021"/>
      <c r="AC621" s="2021"/>
      <c r="AD621" s="2021"/>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0" t="s">
        <v>600</v>
      </c>
      <c r="Y623" s="2020"/>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4" t="s">
        <v>1518</v>
      </c>
      <c r="AG625" s="1984"/>
      <c r="AH625" s="1984"/>
      <c r="AI625" s="1984"/>
      <c r="AJ625" s="1984"/>
      <c r="AK625" s="1984"/>
      <c r="AL625" s="1984"/>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28" t="s">
        <v>518</v>
      </c>
      <c r="I627" s="1928"/>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1">
        <f>VLOOKUP($H$627,$AO$594:$AP$596,2,FALSE)</f>
        <v>2</v>
      </c>
      <c r="AK629" s="1913"/>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04" t="s">
        <v>2415</v>
      </c>
      <c r="F633" s="1904"/>
      <c r="G633" s="1904"/>
      <c r="H633" s="1904"/>
      <c r="I633" s="1904"/>
      <c r="J633" s="1904"/>
      <c r="K633" s="1904"/>
      <c r="L633" s="1904"/>
      <c r="M633" s="1904"/>
      <c r="N633" s="1904"/>
      <c r="O633" s="1904"/>
      <c r="P633" s="1904"/>
      <c r="Q633" s="1904"/>
      <c r="R633" s="1904"/>
      <c r="S633" s="1904"/>
      <c r="T633" s="1904"/>
      <c r="U633" s="1904"/>
      <c r="V633" s="1904"/>
      <c r="W633" s="1904"/>
      <c r="X633" s="1904"/>
      <c r="Y633" s="1904"/>
      <c r="Z633" s="1904"/>
      <c r="AA633" s="1904"/>
      <c r="AB633" s="1904"/>
      <c r="AC633" s="1904"/>
      <c r="AD633" s="1904"/>
      <c r="AE633" s="570"/>
      <c r="AF633" s="1984" t="s">
        <v>1462</v>
      </c>
      <c r="AG633" s="1984"/>
      <c r="AH633" s="1984"/>
      <c r="AI633" s="1984"/>
      <c r="AJ633" s="1984"/>
      <c r="AK633" s="1984"/>
      <c r="AL633" s="1984"/>
      <c r="AN633" s="631"/>
    </row>
    <row r="634" spans="1:42" s="584" customFormat="1" ht="12.75" customHeight="1">
      <c r="B634" s="570"/>
      <c r="C634" s="570"/>
      <c r="D634" s="697"/>
      <c r="E634" s="1904"/>
      <c r="F634" s="1904"/>
      <c r="G634" s="1904"/>
      <c r="H634" s="1904"/>
      <c r="I634" s="1904"/>
      <c r="J634" s="1904"/>
      <c r="K634" s="1904"/>
      <c r="L634" s="1904"/>
      <c r="M634" s="1904"/>
      <c r="N634" s="1904"/>
      <c r="O634" s="1904"/>
      <c r="P634" s="1904"/>
      <c r="Q634" s="1904"/>
      <c r="R634" s="1904"/>
      <c r="S634" s="1904"/>
      <c r="T634" s="1904"/>
      <c r="U634" s="1904"/>
      <c r="V634" s="1904"/>
      <c r="W634" s="1904"/>
      <c r="X634" s="1904"/>
      <c r="Y634" s="1904"/>
      <c r="Z634" s="1904"/>
      <c r="AA634" s="1904"/>
      <c r="AB634" s="1904"/>
      <c r="AC634" s="1904"/>
      <c r="AD634" s="190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4" t="s">
        <v>1518</v>
      </c>
      <c r="AG636" s="1984"/>
      <c r="AH636" s="1984"/>
      <c r="AI636" s="1984"/>
      <c r="AJ636" s="1984"/>
      <c r="AK636" s="1984"/>
      <c r="AL636" s="1984"/>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28" t="s">
        <v>518</v>
      </c>
      <c r="I639" s="1928"/>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1">
        <f>VLOOKUP(H639,AT594:AU596,2,FALSE)</f>
        <v>2</v>
      </c>
      <c r="AK641" s="1913"/>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04" t="s">
        <v>1528</v>
      </c>
      <c r="F646" s="1904"/>
      <c r="G646" s="1904"/>
      <c r="H646" s="1904"/>
      <c r="I646" s="1904"/>
      <c r="J646" s="1904"/>
      <c r="K646" s="1904"/>
      <c r="L646" s="1904"/>
      <c r="M646" s="1904"/>
      <c r="N646" s="1904"/>
      <c r="O646" s="1904"/>
      <c r="P646" s="1904"/>
      <c r="Q646" s="1904"/>
      <c r="R646" s="1904"/>
      <c r="S646" s="1904"/>
      <c r="T646" s="1904"/>
      <c r="U646" s="1904"/>
      <c r="V646" s="1904"/>
      <c r="W646" s="1904"/>
      <c r="X646" s="1904"/>
      <c r="Y646" s="1904"/>
      <c r="Z646" s="1904"/>
      <c r="AA646" s="1904"/>
      <c r="AB646" s="1904"/>
      <c r="AC646" s="1904"/>
      <c r="AD646" s="570"/>
      <c r="AE646" s="570"/>
      <c r="AF646" s="1984" t="s">
        <v>1488</v>
      </c>
      <c r="AG646" s="1984"/>
      <c r="AH646" s="1984"/>
      <c r="AI646" s="1984"/>
      <c r="AJ646" s="1984"/>
      <c r="AK646" s="1984"/>
      <c r="AL646" s="1984"/>
      <c r="AN646" s="631"/>
    </row>
    <row r="647" spans="1:42" s="584" customFormat="1" ht="12.75" customHeight="1">
      <c r="B647" s="570"/>
      <c r="C647" s="573"/>
      <c r="D647" s="570"/>
      <c r="E647" s="1904"/>
      <c r="F647" s="1904"/>
      <c r="G647" s="1904"/>
      <c r="H647" s="1904"/>
      <c r="I647" s="1904"/>
      <c r="J647" s="1904"/>
      <c r="K647" s="1904"/>
      <c r="L647" s="1904"/>
      <c r="M647" s="1904"/>
      <c r="N647" s="1904"/>
      <c r="O647" s="1904"/>
      <c r="P647" s="1904"/>
      <c r="Q647" s="1904"/>
      <c r="R647" s="1904"/>
      <c r="S647" s="1904"/>
      <c r="T647" s="1904"/>
      <c r="U647" s="1904"/>
      <c r="V647" s="1904"/>
      <c r="W647" s="1904"/>
      <c r="X647" s="1904"/>
      <c r="Y647" s="1904"/>
      <c r="Z647" s="1904"/>
      <c r="AA647" s="1904"/>
      <c r="AB647" s="1904"/>
      <c r="AC647" s="1904"/>
      <c r="AD647" s="570"/>
      <c r="AE647" s="570"/>
      <c r="AF647" s="570"/>
      <c r="AG647" s="570"/>
      <c r="AH647" s="570"/>
      <c r="AI647" s="570"/>
      <c r="AJ647" s="570"/>
      <c r="AK647" s="570"/>
      <c r="AL647" s="570"/>
      <c r="AN647" s="631"/>
    </row>
    <row r="648" spans="1:42" s="584" customFormat="1" ht="12.75" customHeight="1">
      <c r="B648" s="570"/>
      <c r="C648" s="573"/>
      <c r="D648" s="697"/>
      <c r="E648" s="1904"/>
      <c r="F648" s="1904"/>
      <c r="G648" s="1904"/>
      <c r="H648" s="1904"/>
      <c r="I648" s="1904"/>
      <c r="J648" s="1904"/>
      <c r="K648" s="1904"/>
      <c r="L648" s="1904"/>
      <c r="M648" s="1904"/>
      <c r="N648" s="1904"/>
      <c r="O648" s="1904"/>
      <c r="P648" s="1904"/>
      <c r="Q648" s="1904"/>
      <c r="R648" s="1904"/>
      <c r="S648" s="1904"/>
      <c r="T648" s="1904"/>
      <c r="U648" s="1904"/>
      <c r="V648" s="1904"/>
      <c r="W648" s="1904"/>
      <c r="X648" s="1904"/>
      <c r="Y648" s="1904"/>
      <c r="Z648" s="1904"/>
      <c r="AA648" s="1904"/>
      <c r="AB648" s="1904"/>
      <c r="AC648" s="190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04" t="s">
        <v>1529</v>
      </c>
      <c r="F650" s="1904"/>
      <c r="G650" s="1904"/>
      <c r="H650" s="1904"/>
      <c r="I650" s="1904"/>
      <c r="J650" s="1904"/>
      <c r="K650" s="1904"/>
      <c r="L650" s="1904"/>
      <c r="M650" s="1904"/>
      <c r="N650" s="1904"/>
      <c r="O650" s="1904"/>
      <c r="P650" s="1904"/>
      <c r="Q650" s="1904"/>
      <c r="R650" s="1904"/>
      <c r="S650" s="1904"/>
      <c r="T650" s="1904"/>
      <c r="U650" s="1904"/>
      <c r="V650" s="1904"/>
      <c r="W650" s="1904"/>
      <c r="X650" s="1904"/>
      <c r="Y650" s="1904"/>
      <c r="Z650" s="1904"/>
      <c r="AA650" s="1904"/>
      <c r="AB650" s="1904"/>
      <c r="AC650" s="1904"/>
      <c r="AD650" s="570"/>
      <c r="AE650" s="570"/>
      <c r="AF650" s="1984" t="s">
        <v>1509</v>
      </c>
      <c r="AG650" s="1984"/>
      <c r="AH650" s="1984"/>
      <c r="AI650" s="1984"/>
      <c r="AJ650" s="1984"/>
      <c r="AK650" s="1984"/>
      <c r="AL650" s="1984"/>
      <c r="AN650" s="631"/>
    </row>
    <row r="651" spans="1:42" s="584" customFormat="1" ht="12.75" customHeight="1">
      <c r="B651" s="570"/>
      <c r="C651" s="573"/>
      <c r="D651" s="570"/>
      <c r="E651" s="1904"/>
      <c r="F651" s="1904"/>
      <c r="G651" s="1904"/>
      <c r="H651" s="1904"/>
      <c r="I651" s="1904"/>
      <c r="J651" s="1904"/>
      <c r="K651" s="1904"/>
      <c r="L651" s="1904"/>
      <c r="M651" s="1904"/>
      <c r="N651" s="1904"/>
      <c r="O651" s="1904"/>
      <c r="P651" s="1904"/>
      <c r="Q651" s="1904"/>
      <c r="R651" s="1904"/>
      <c r="S651" s="1904"/>
      <c r="T651" s="1904"/>
      <c r="U651" s="1904"/>
      <c r="V651" s="1904"/>
      <c r="W651" s="1904"/>
      <c r="X651" s="1904"/>
      <c r="Y651" s="1904"/>
      <c r="Z651" s="1904"/>
      <c r="AA651" s="1904"/>
      <c r="AB651" s="1904"/>
      <c r="AC651" s="1904"/>
      <c r="AD651" s="570"/>
      <c r="AE651" s="570"/>
      <c r="AF651" s="570"/>
      <c r="AG651" s="570"/>
      <c r="AH651" s="570"/>
      <c r="AI651" s="570"/>
      <c r="AJ651" s="570"/>
      <c r="AK651" s="570"/>
      <c r="AL651" s="570"/>
      <c r="AN651" s="631"/>
    </row>
    <row r="652" spans="1:42" s="584" customFormat="1" ht="15" customHeight="1">
      <c r="B652" s="570"/>
      <c r="C652" s="573"/>
      <c r="D652" s="697"/>
      <c r="E652" s="1904"/>
      <c r="F652" s="1904"/>
      <c r="G652" s="1904"/>
      <c r="H652" s="1904"/>
      <c r="I652" s="1904"/>
      <c r="J652" s="1904"/>
      <c r="K652" s="1904"/>
      <c r="L652" s="1904"/>
      <c r="M652" s="1904"/>
      <c r="N652" s="1904"/>
      <c r="O652" s="1904"/>
      <c r="P652" s="1904"/>
      <c r="Q652" s="1904"/>
      <c r="R652" s="1904"/>
      <c r="S652" s="1904"/>
      <c r="T652" s="1904"/>
      <c r="U652" s="1904"/>
      <c r="V652" s="1904"/>
      <c r="W652" s="1904"/>
      <c r="X652" s="1904"/>
      <c r="Y652" s="1904"/>
      <c r="Z652" s="1904"/>
      <c r="AA652" s="1904"/>
      <c r="AB652" s="1904"/>
      <c r="AC652" s="190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4" t="s">
        <v>1530</v>
      </c>
      <c r="F654" s="1904"/>
      <c r="G654" s="1904"/>
      <c r="H654" s="1904"/>
      <c r="I654" s="1904"/>
      <c r="J654" s="1904"/>
      <c r="K654" s="1904"/>
      <c r="L654" s="1904"/>
      <c r="M654" s="1904"/>
      <c r="N654" s="1904"/>
      <c r="O654" s="1904"/>
      <c r="P654" s="1904"/>
      <c r="Q654" s="1904"/>
      <c r="R654" s="1904"/>
      <c r="S654" s="1904"/>
      <c r="T654" s="1904"/>
      <c r="U654" s="1904"/>
      <c r="V654" s="1904"/>
      <c r="W654" s="1904"/>
      <c r="X654" s="1904"/>
      <c r="Y654" s="1904"/>
      <c r="Z654" s="1904"/>
      <c r="AA654" s="1904"/>
      <c r="AB654" s="1904"/>
      <c r="AC654" s="1904"/>
      <c r="AD654" s="570"/>
      <c r="AE654" s="570"/>
      <c r="AF654" s="1984" t="s">
        <v>1462</v>
      </c>
      <c r="AG654" s="1984"/>
      <c r="AH654" s="1984"/>
      <c r="AI654" s="1984"/>
      <c r="AJ654" s="1984"/>
      <c r="AK654" s="1984"/>
      <c r="AL654" s="1984"/>
      <c r="AN654" s="631"/>
    </row>
    <row r="655" spans="1:42" s="584" customFormat="1" ht="12.75" customHeight="1">
      <c r="B655" s="570"/>
      <c r="C655" s="966"/>
      <c r="D655" s="570"/>
      <c r="E655" s="1904"/>
      <c r="F655" s="1904"/>
      <c r="G655" s="1904"/>
      <c r="H655" s="1904"/>
      <c r="I655" s="1904"/>
      <c r="J655" s="1904"/>
      <c r="K655" s="1904"/>
      <c r="L655" s="1904"/>
      <c r="M655" s="1904"/>
      <c r="N655" s="1904"/>
      <c r="O655" s="1904"/>
      <c r="P655" s="1904"/>
      <c r="Q655" s="1904"/>
      <c r="R655" s="1904"/>
      <c r="S655" s="1904"/>
      <c r="T655" s="1904"/>
      <c r="U655" s="1904"/>
      <c r="V655" s="1904"/>
      <c r="W655" s="1904"/>
      <c r="X655" s="1904"/>
      <c r="Y655" s="1904"/>
      <c r="Z655" s="1904"/>
      <c r="AA655" s="1904"/>
      <c r="AB655" s="1904"/>
      <c r="AC655" s="1904"/>
      <c r="AD655" s="570"/>
      <c r="AE655" s="1984"/>
      <c r="AF655" s="1984"/>
      <c r="AG655" s="1984"/>
      <c r="AH655" s="1984"/>
      <c r="AI655" s="1984"/>
      <c r="AJ655" s="1984"/>
      <c r="AK655" s="1984"/>
      <c r="AL655" s="628"/>
      <c r="AN655" s="631"/>
      <c r="AO655" s="584" t="s">
        <v>600</v>
      </c>
      <c r="AP655" s="707">
        <v>0</v>
      </c>
    </row>
    <row r="656" spans="1:42" s="584" customFormat="1" ht="12.75" customHeight="1">
      <c r="A656" s="713"/>
      <c r="B656" s="570"/>
      <c r="C656" s="570"/>
      <c r="D656" s="697"/>
      <c r="E656" s="1904"/>
      <c r="F656" s="1904"/>
      <c r="G656" s="1904"/>
      <c r="H656" s="1904"/>
      <c r="I656" s="1904"/>
      <c r="J656" s="1904"/>
      <c r="K656" s="1904"/>
      <c r="L656" s="1904"/>
      <c r="M656" s="1904"/>
      <c r="N656" s="1904"/>
      <c r="O656" s="1904"/>
      <c r="P656" s="1904"/>
      <c r="Q656" s="1904"/>
      <c r="R656" s="1904"/>
      <c r="S656" s="1904"/>
      <c r="T656" s="1904"/>
      <c r="U656" s="1904"/>
      <c r="V656" s="1904"/>
      <c r="W656" s="1904"/>
      <c r="X656" s="1904"/>
      <c r="Y656" s="1904"/>
      <c r="Z656" s="1904"/>
      <c r="AA656" s="1904"/>
      <c r="AB656" s="1904"/>
      <c r="AC656" s="1904"/>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04" t="s">
        <v>1531</v>
      </c>
      <c r="F658" s="1904"/>
      <c r="G658" s="1904"/>
      <c r="H658" s="1904"/>
      <c r="I658" s="1904"/>
      <c r="J658" s="1904"/>
      <c r="K658" s="1904"/>
      <c r="L658" s="1904"/>
      <c r="M658" s="1904"/>
      <c r="N658" s="1904"/>
      <c r="O658" s="1904"/>
      <c r="P658" s="1904"/>
      <c r="Q658" s="1904"/>
      <c r="R658" s="1904"/>
      <c r="S658" s="1904"/>
      <c r="T658" s="1904"/>
      <c r="U658" s="1904"/>
      <c r="V658" s="1904"/>
      <c r="W658" s="1904"/>
      <c r="X658" s="1904"/>
      <c r="Y658" s="1904"/>
      <c r="Z658" s="1904"/>
      <c r="AA658" s="1904"/>
      <c r="AB658" s="1904"/>
      <c r="AC658" s="1904"/>
      <c r="AD658" s="570"/>
      <c r="AE658" s="570"/>
      <c r="AF658" s="1984" t="s">
        <v>1509</v>
      </c>
      <c r="AG658" s="1984"/>
      <c r="AH658" s="1984"/>
      <c r="AI658" s="1984"/>
      <c r="AJ658" s="1984"/>
      <c r="AK658" s="1984"/>
      <c r="AL658" s="1984"/>
      <c r="AN658" s="631"/>
    </row>
    <row r="659" spans="1:42" s="584" customFormat="1" ht="12.75" customHeight="1">
      <c r="A659" s="704"/>
      <c r="B659" s="570"/>
      <c r="C659" s="982"/>
      <c r="D659" s="697"/>
      <c r="E659" s="1904"/>
      <c r="F659" s="1904"/>
      <c r="G659" s="1904"/>
      <c r="H659" s="1904"/>
      <c r="I659" s="1904"/>
      <c r="J659" s="1904"/>
      <c r="K659" s="1904"/>
      <c r="L659" s="1904"/>
      <c r="M659" s="1904"/>
      <c r="N659" s="1904"/>
      <c r="O659" s="1904"/>
      <c r="P659" s="1904"/>
      <c r="Q659" s="1904"/>
      <c r="R659" s="1904"/>
      <c r="S659" s="1904"/>
      <c r="T659" s="1904"/>
      <c r="U659" s="1904"/>
      <c r="V659" s="1904"/>
      <c r="W659" s="1904"/>
      <c r="X659" s="1904"/>
      <c r="Y659" s="1904"/>
      <c r="Z659" s="1904"/>
      <c r="AA659" s="1904"/>
      <c r="AB659" s="1904"/>
      <c r="AC659" s="190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4"/>
      <c r="F660" s="1904"/>
      <c r="G660" s="1904"/>
      <c r="H660" s="1904"/>
      <c r="I660" s="1904"/>
      <c r="J660" s="1904"/>
      <c r="K660" s="1904"/>
      <c r="L660" s="1904"/>
      <c r="M660" s="1904"/>
      <c r="N660" s="1904"/>
      <c r="O660" s="1904"/>
      <c r="P660" s="1904"/>
      <c r="Q660" s="1904"/>
      <c r="R660" s="1904"/>
      <c r="S660" s="1904"/>
      <c r="T660" s="1904"/>
      <c r="U660" s="1904"/>
      <c r="V660" s="1904"/>
      <c r="W660" s="1904"/>
      <c r="X660" s="1904"/>
      <c r="Y660" s="1904"/>
      <c r="Z660" s="1904"/>
      <c r="AA660" s="1904"/>
      <c r="AB660" s="1904"/>
      <c r="AC660" s="190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04" t="s">
        <v>1532</v>
      </c>
      <c r="F662" s="1904"/>
      <c r="G662" s="1904"/>
      <c r="H662" s="1904"/>
      <c r="I662" s="1904"/>
      <c r="J662" s="1904"/>
      <c r="K662" s="1904"/>
      <c r="L662" s="1904"/>
      <c r="M662" s="1904"/>
      <c r="N662" s="1904"/>
      <c r="O662" s="1904"/>
      <c r="P662" s="1904"/>
      <c r="Q662" s="1904"/>
      <c r="R662" s="1904"/>
      <c r="S662" s="1904"/>
      <c r="T662" s="1904"/>
      <c r="U662" s="1904"/>
      <c r="V662" s="1904"/>
      <c r="W662" s="1904"/>
      <c r="X662" s="1904"/>
      <c r="Y662" s="1904"/>
      <c r="Z662" s="1904"/>
      <c r="AA662" s="1904"/>
      <c r="AB662" s="1904"/>
      <c r="AC662" s="1904"/>
      <c r="AD662" s="570"/>
      <c r="AE662" s="570"/>
      <c r="AF662" s="1984" t="s">
        <v>1462</v>
      </c>
      <c r="AG662" s="1984"/>
      <c r="AH662" s="1984"/>
      <c r="AI662" s="1984"/>
      <c r="AJ662" s="1984"/>
      <c r="AK662" s="1984"/>
      <c r="AL662" s="1984"/>
      <c r="AM662" s="630"/>
      <c r="AN662" s="631"/>
    </row>
    <row r="663" spans="1:42" s="584" customFormat="1" ht="12.75" customHeight="1">
      <c r="B663" s="570"/>
      <c r="C663" s="966"/>
      <c r="D663" s="697"/>
      <c r="E663" s="1904"/>
      <c r="F663" s="1904"/>
      <c r="G663" s="1904"/>
      <c r="H663" s="1904"/>
      <c r="I663" s="1904"/>
      <c r="J663" s="1904"/>
      <c r="K663" s="1904"/>
      <c r="L663" s="1904"/>
      <c r="M663" s="1904"/>
      <c r="N663" s="1904"/>
      <c r="O663" s="1904"/>
      <c r="P663" s="1904"/>
      <c r="Q663" s="1904"/>
      <c r="R663" s="1904"/>
      <c r="S663" s="1904"/>
      <c r="T663" s="1904"/>
      <c r="U663" s="1904"/>
      <c r="V663" s="1904"/>
      <c r="W663" s="1904"/>
      <c r="X663" s="1904"/>
      <c r="Y663" s="1904"/>
      <c r="Z663" s="1904"/>
      <c r="AA663" s="1904"/>
      <c r="AB663" s="1904"/>
      <c r="AC663" s="1904"/>
      <c r="AD663" s="570"/>
      <c r="AE663" s="570"/>
      <c r="AF663" s="570"/>
      <c r="AG663" s="570"/>
      <c r="AH663" s="570"/>
      <c r="AI663" s="570"/>
      <c r="AJ663" s="570"/>
      <c r="AK663" s="570"/>
      <c r="AL663" s="570"/>
      <c r="AM663" s="630"/>
      <c r="AN663" s="631"/>
    </row>
    <row r="664" spans="1:42" s="584" customFormat="1" ht="12.75" customHeight="1">
      <c r="B664" s="570"/>
      <c r="C664" s="966"/>
      <c r="D664" s="697"/>
      <c r="E664" s="1904"/>
      <c r="F664" s="1904"/>
      <c r="G664" s="1904"/>
      <c r="H664" s="1904"/>
      <c r="I664" s="1904"/>
      <c r="J664" s="1904"/>
      <c r="K664" s="1904"/>
      <c r="L664" s="1904"/>
      <c r="M664" s="1904"/>
      <c r="N664" s="1904"/>
      <c r="O664" s="1904"/>
      <c r="P664" s="1904"/>
      <c r="Q664" s="1904"/>
      <c r="R664" s="1904"/>
      <c r="S664" s="1904"/>
      <c r="T664" s="1904"/>
      <c r="U664" s="1904"/>
      <c r="V664" s="1904"/>
      <c r="W664" s="1904"/>
      <c r="X664" s="1904"/>
      <c r="Y664" s="1904"/>
      <c r="Z664" s="1904"/>
      <c r="AA664" s="1904"/>
      <c r="AB664" s="1904"/>
      <c r="AC664" s="190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04" t="s">
        <v>1533</v>
      </c>
      <c r="F666" s="1904"/>
      <c r="G666" s="1904"/>
      <c r="H666" s="1904"/>
      <c r="I666" s="1904"/>
      <c r="J666" s="1904"/>
      <c r="K666" s="1904"/>
      <c r="L666" s="1904"/>
      <c r="M666" s="1904"/>
      <c r="N666" s="1904"/>
      <c r="O666" s="1904"/>
      <c r="P666" s="1904"/>
      <c r="Q666" s="1904"/>
      <c r="R666" s="1904"/>
      <c r="S666" s="1904"/>
      <c r="T666" s="1904"/>
      <c r="U666" s="1904"/>
      <c r="V666" s="1904"/>
      <c r="W666" s="1904"/>
      <c r="X666" s="1904"/>
      <c r="Y666" s="1904"/>
      <c r="Z666" s="1904"/>
      <c r="AA666" s="1904"/>
      <c r="AB666" s="1904"/>
      <c r="AC666" s="1904"/>
      <c r="AD666" s="570"/>
      <c r="AE666" s="570"/>
      <c r="AF666" s="1984" t="s">
        <v>1518</v>
      </c>
      <c r="AG666" s="1984"/>
      <c r="AH666" s="1984"/>
      <c r="AI666" s="1984"/>
      <c r="AJ666" s="1984"/>
      <c r="AK666" s="1984"/>
      <c r="AL666" s="1984"/>
      <c r="AM666" s="630"/>
      <c r="AN666" s="631"/>
    </row>
    <row r="667" spans="1:42" s="584" customFormat="1" ht="12.75" customHeight="1">
      <c r="A667" s="713"/>
      <c r="B667" s="570"/>
      <c r="C667" s="966"/>
      <c r="D667" s="697"/>
      <c r="E667" s="1904"/>
      <c r="F667" s="1904"/>
      <c r="G667" s="1904"/>
      <c r="H667" s="1904"/>
      <c r="I667" s="1904"/>
      <c r="J667" s="1904"/>
      <c r="K667" s="1904"/>
      <c r="L667" s="1904"/>
      <c r="M667" s="1904"/>
      <c r="N667" s="1904"/>
      <c r="O667" s="1904"/>
      <c r="P667" s="1904"/>
      <c r="Q667" s="1904"/>
      <c r="R667" s="1904"/>
      <c r="S667" s="1904"/>
      <c r="T667" s="1904"/>
      <c r="U667" s="1904"/>
      <c r="V667" s="1904"/>
      <c r="W667" s="1904"/>
      <c r="X667" s="1904"/>
      <c r="Y667" s="1904"/>
      <c r="Z667" s="1904"/>
      <c r="AA667" s="1904"/>
      <c r="AB667" s="1904"/>
      <c r="AC667" s="190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4"/>
      <c r="F668" s="1904"/>
      <c r="G668" s="1904"/>
      <c r="H668" s="1904"/>
      <c r="I668" s="1904"/>
      <c r="J668" s="1904"/>
      <c r="K668" s="1904"/>
      <c r="L668" s="1904"/>
      <c r="M668" s="1904"/>
      <c r="N668" s="1904"/>
      <c r="O668" s="1904"/>
      <c r="P668" s="1904"/>
      <c r="Q668" s="1904"/>
      <c r="R668" s="1904"/>
      <c r="S668" s="1904"/>
      <c r="T668" s="1904"/>
      <c r="U668" s="1904"/>
      <c r="V668" s="1904"/>
      <c r="W668" s="1904"/>
      <c r="X668" s="1904"/>
      <c r="Y668" s="1904"/>
      <c r="Z668" s="1904"/>
      <c r="AA668" s="1904"/>
      <c r="AB668" s="1904"/>
      <c r="AC668" s="190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04" t="s">
        <v>1534</v>
      </c>
      <c r="F670" s="1904"/>
      <c r="G670" s="1904"/>
      <c r="H670" s="1904"/>
      <c r="I670" s="1904"/>
      <c r="J670" s="1904"/>
      <c r="K670" s="1904"/>
      <c r="L670" s="1904"/>
      <c r="M670" s="1904"/>
      <c r="N670" s="1904"/>
      <c r="O670" s="1904"/>
      <c r="P670" s="1904"/>
      <c r="Q670" s="1904"/>
      <c r="R670" s="1904"/>
      <c r="S670" s="1904"/>
      <c r="T670" s="1904"/>
      <c r="U670" s="1904"/>
      <c r="V670" s="1904"/>
      <c r="W670" s="1904"/>
      <c r="X670" s="1904"/>
      <c r="Y670" s="1904"/>
      <c r="Z670" s="1904"/>
      <c r="AA670" s="1904"/>
      <c r="AB670" s="1904"/>
      <c r="AC670" s="1904"/>
      <c r="AD670" s="570"/>
      <c r="AE670" s="570"/>
      <c r="AF670" s="1984" t="s">
        <v>1535</v>
      </c>
      <c r="AG670" s="1984"/>
      <c r="AH670" s="1984"/>
      <c r="AI670" s="1984"/>
      <c r="AJ670" s="1984"/>
      <c r="AK670" s="1984"/>
      <c r="AL670" s="1984"/>
      <c r="AM670" s="630"/>
      <c r="AN670" s="631"/>
      <c r="AO670" s="645" t="s">
        <v>697</v>
      </c>
      <c r="AP670" s="584">
        <v>3</v>
      </c>
    </row>
    <row r="671" spans="1:42" s="584" customFormat="1" ht="12.75" customHeight="1">
      <c r="A671" s="713"/>
      <c r="B671" s="570"/>
      <c r="C671" s="966"/>
      <c r="D671" s="697"/>
      <c r="E671" s="1904"/>
      <c r="F671" s="1904"/>
      <c r="G671" s="1904"/>
      <c r="H671" s="1904"/>
      <c r="I671" s="1904"/>
      <c r="J671" s="1904"/>
      <c r="K671" s="1904"/>
      <c r="L671" s="1904"/>
      <c r="M671" s="1904"/>
      <c r="N671" s="1904"/>
      <c r="O671" s="1904"/>
      <c r="P671" s="1904"/>
      <c r="Q671" s="1904"/>
      <c r="R671" s="1904"/>
      <c r="S671" s="1904"/>
      <c r="T671" s="1904"/>
      <c r="U671" s="1904"/>
      <c r="V671" s="1904"/>
      <c r="W671" s="1904"/>
      <c r="X671" s="1904"/>
      <c r="Y671" s="1904"/>
      <c r="Z671" s="1904"/>
      <c r="AA671" s="1904"/>
      <c r="AB671" s="1904"/>
      <c r="AC671" s="1904"/>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04"/>
      <c r="F672" s="1904"/>
      <c r="G672" s="1904"/>
      <c r="H672" s="1904"/>
      <c r="I672" s="1904"/>
      <c r="J672" s="1904"/>
      <c r="K672" s="1904"/>
      <c r="L672" s="1904"/>
      <c r="M672" s="1904"/>
      <c r="N672" s="1904"/>
      <c r="O672" s="1904"/>
      <c r="P672" s="1904"/>
      <c r="Q672" s="1904"/>
      <c r="R672" s="1904"/>
      <c r="S672" s="1904"/>
      <c r="T672" s="1904"/>
      <c r="U672" s="1904"/>
      <c r="V672" s="1904"/>
      <c r="W672" s="1904"/>
      <c r="X672" s="1904"/>
      <c r="Y672" s="1904"/>
      <c r="Z672" s="1904"/>
      <c r="AA672" s="1904"/>
      <c r="AB672" s="1904"/>
      <c r="AC672" s="190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28" t="s">
        <v>518</v>
      </c>
      <c r="I674" s="1928"/>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1">
        <f>VLOOKUP($H$674,$AO$622:$AP$629,2,FALSE)</f>
        <v>4</v>
      </c>
      <c r="AK676" s="1913"/>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105</v>
      </c>
    </row>
    <row r="680" spans="1:51" s="584" customFormat="1" ht="12.75" customHeight="1">
      <c r="A680" s="713"/>
      <c r="B680" s="570"/>
      <c r="C680" s="983"/>
      <c r="D680" s="697" t="s">
        <v>697</v>
      </c>
      <c r="E680" s="2019" t="s">
        <v>2551</v>
      </c>
      <c r="F680" s="2019"/>
      <c r="G680" s="2019"/>
      <c r="H680" s="2019"/>
      <c r="I680" s="2019"/>
      <c r="J680" s="2019"/>
      <c r="K680" s="2019"/>
      <c r="L680" s="2019"/>
      <c r="M680" s="2019"/>
      <c r="N680" s="2019"/>
      <c r="O680" s="2019"/>
      <c r="P680" s="2019"/>
      <c r="Q680" s="2019"/>
      <c r="R680" s="2019"/>
      <c r="S680" s="2019"/>
      <c r="T680" s="2019"/>
      <c r="U680" s="2019"/>
      <c r="V680" s="2019"/>
      <c r="W680" s="2019"/>
      <c r="X680" s="2019"/>
      <c r="Y680" s="2019"/>
      <c r="Z680" s="2019"/>
      <c r="AA680" s="2019"/>
      <c r="AB680" s="2019"/>
      <c r="AC680" s="570"/>
      <c r="AD680" s="570"/>
      <c r="AE680" s="570"/>
      <c r="AF680" s="1984" t="s">
        <v>1462</v>
      </c>
      <c r="AG680" s="1984"/>
      <c r="AH680" s="1984"/>
      <c r="AI680" s="1984"/>
      <c r="AJ680" s="1984"/>
      <c r="AK680" s="1984"/>
      <c r="AL680" s="1984"/>
      <c r="AN680" s="631"/>
      <c r="AW680" s="22" t="s">
        <v>2546</v>
      </c>
      <c r="AX680" s="584">
        <f>Application!CC632</f>
        <v>42</v>
      </c>
    </row>
    <row r="681" spans="1:51" s="584" customFormat="1" ht="12.75" customHeight="1">
      <c r="A681" s="713"/>
      <c r="B681" s="570"/>
      <c r="C681" s="983"/>
      <c r="D681" s="697"/>
      <c r="E681" s="2019"/>
      <c r="F681" s="2019"/>
      <c r="G681" s="2019"/>
      <c r="H681" s="2019"/>
      <c r="I681" s="2019"/>
      <c r="J681" s="2019"/>
      <c r="K681" s="2019"/>
      <c r="L681" s="2019"/>
      <c r="M681" s="2019"/>
      <c r="N681" s="2019"/>
      <c r="O681" s="2019"/>
      <c r="P681" s="2019"/>
      <c r="Q681" s="2019"/>
      <c r="R681" s="2019"/>
      <c r="S681" s="2019"/>
      <c r="T681" s="2019"/>
      <c r="U681" s="2019"/>
      <c r="V681" s="2019"/>
      <c r="W681" s="2019"/>
      <c r="X681" s="2019"/>
      <c r="Y681" s="2019"/>
      <c r="Z681" s="2019"/>
      <c r="AA681" s="2019"/>
      <c r="AB681" s="2019"/>
      <c r="AC681" s="570"/>
      <c r="AD681" s="570"/>
      <c r="AE681" s="570"/>
      <c r="AF681" s="570"/>
      <c r="AG681" s="570"/>
      <c r="AH681" s="570"/>
      <c r="AI681" s="570"/>
      <c r="AJ681" s="570"/>
      <c r="AK681" s="570"/>
      <c r="AL681" s="570"/>
      <c r="AN681" s="631"/>
      <c r="AW681" s="22" t="s">
        <v>2547</v>
      </c>
      <c r="AX681" s="584">
        <f>Application!CH632</f>
        <v>8</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04" t="s">
        <v>2452</v>
      </c>
      <c r="F683" s="1904"/>
      <c r="G683" s="1904"/>
      <c r="H683" s="1904"/>
      <c r="I683" s="1904"/>
      <c r="J683" s="1904"/>
      <c r="K683" s="1904"/>
      <c r="L683" s="1904"/>
      <c r="M683" s="1904"/>
      <c r="N683" s="1904"/>
      <c r="O683" s="1904"/>
      <c r="P683" s="1904"/>
      <c r="Q683" s="1904"/>
      <c r="R683" s="1904"/>
      <c r="S683" s="1904"/>
      <c r="T683" s="1904"/>
      <c r="U683" s="1904"/>
      <c r="V683" s="1904"/>
      <c r="W683" s="1904"/>
      <c r="X683" s="1904"/>
      <c r="Y683" s="1904"/>
      <c r="Z683" s="1904"/>
      <c r="AA683" s="1904"/>
      <c r="AB683" s="1904"/>
      <c r="AC683" s="570"/>
      <c r="AD683" s="570"/>
      <c r="AE683" s="570"/>
      <c r="AF683" s="1984" t="s">
        <v>1462</v>
      </c>
      <c r="AG683" s="1984"/>
      <c r="AH683" s="1984"/>
      <c r="AI683" s="1984"/>
      <c r="AJ683" s="1984"/>
      <c r="AK683" s="1984"/>
      <c r="AL683" s="1984"/>
      <c r="AN683" s="631"/>
      <c r="AW683" s="22" t="s">
        <v>2549</v>
      </c>
      <c r="AX683" s="584">
        <f>AX680+AX681+AX682</f>
        <v>50</v>
      </c>
    </row>
    <row r="684" spans="1:51" s="584" customFormat="1" ht="12.75" customHeight="1">
      <c r="B684" s="570"/>
      <c r="C684" s="975"/>
      <c r="D684" s="697"/>
      <c r="E684" s="1904"/>
      <c r="F684" s="1904"/>
      <c r="G684" s="1904"/>
      <c r="H684" s="1904"/>
      <c r="I684" s="1904"/>
      <c r="J684" s="1904"/>
      <c r="K684" s="1904"/>
      <c r="L684" s="1904"/>
      <c r="M684" s="1904"/>
      <c r="N684" s="1904"/>
      <c r="O684" s="1904"/>
      <c r="P684" s="1904"/>
      <c r="Q684" s="1904"/>
      <c r="R684" s="1904"/>
      <c r="S684" s="1904"/>
      <c r="T684" s="1904"/>
      <c r="U684" s="1904"/>
      <c r="V684" s="1904"/>
      <c r="W684" s="1904"/>
      <c r="X684" s="1904"/>
      <c r="Y684" s="1904"/>
      <c r="Z684" s="1904"/>
      <c r="AA684" s="1904"/>
      <c r="AB684" s="1904"/>
      <c r="AC684" s="570"/>
      <c r="AD684" s="570"/>
      <c r="AE684" s="650"/>
      <c r="AF684" s="570"/>
      <c r="AG684" s="570"/>
      <c r="AH684" s="570"/>
      <c r="AI684" s="570"/>
      <c r="AJ684" s="570"/>
      <c r="AK684" s="570"/>
      <c r="AL684" s="570"/>
      <c r="AN684" s="631"/>
      <c r="AO684" s="1919" t="b">
        <f>IF(Application!D211="Special Needs",IF(AY684&gt;=0.25,TRUE,FALSE),IF(AX684&gt;=0.25,TRUE,FALSE))</f>
        <v>1</v>
      </c>
      <c r="AP684" s="1919"/>
      <c r="AW684" s="22" t="s">
        <v>2550</v>
      </c>
      <c r="AX684" s="584">
        <f>IFERROR(AX683/AX679,0)</f>
        <v>0.47619047619047616</v>
      </c>
      <c r="AY684" s="584">
        <f>IFERROR(AX683/(AX679-AX678),0)</f>
        <v>0.47619047619047616</v>
      </c>
    </row>
    <row r="685" spans="1:51" s="584" customFormat="1" ht="12.75" customHeight="1">
      <c r="B685" s="570"/>
      <c r="C685" s="975"/>
      <c r="E685" s="1904"/>
      <c r="F685" s="1904"/>
      <c r="G685" s="1904"/>
      <c r="H685" s="1904"/>
      <c r="I685" s="1904"/>
      <c r="J685" s="1904"/>
      <c r="K685" s="1904"/>
      <c r="L685" s="1904"/>
      <c r="M685" s="1904"/>
      <c r="N685" s="1904"/>
      <c r="O685" s="1904"/>
      <c r="P685" s="1904"/>
      <c r="Q685" s="1904"/>
      <c r="R685" s="1904"/>
      <c r="S685" s="1904"/>
      <c r="T685" s="1904"/>
      <c r="U685" s="1904"/>
      <c r="V685" s="1904"/>
      <c r="W685" s="1904"/>
      <c r="X685" s="1904"/>
      <c r="Y685" s="1904"/>
      <c r="Z685" s="1904"/>
      <c r="AA685" s="1904"/>
      <c r="AB685" s="190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4"/>
      <c r="F686" s="1904"/>
      <c r="G686" s="1904"/>
      <c r="H686" s="1904"/>
      <c r="I686" s="1904"/>
      <c r="J686" s="1904"/>
      <c r="K686" s="1904"/>
      <c r="L686" s="1904"/>
      <c r="M686" s="1904"/>
      <c r="N686" s="1904"/>
      <c r="O686" s="1904"/>
      <c r="P686" s="1904"/>
      <c r="Q686" s="1904"/>
      <c r="R686" s="1904"/>
      <c r="S686" s="1904"/>
      <c r="T686" s="1904"/>
      <c r="U686" s="1904"/>
      <c r="V686" s="1904"/>
      <c r="W686" s="1904"/>
      <c r="X686" s="1904"/>
      <c r="Y686" s="1904"/>
      <c r="Z686" s="1904"/>
      <c r="AA686" s="1904"/>
      <c r="AB686" s="1904"/>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04" t="s">
        <v>2453</v>
      </c>
      <c r="F688" s="1904"/>
      <c r="G688" s="1904"/>
      <c r="H688" s="1904"/>
      <c r="I688" s="1904"/>
      <c r="J688" s="1904"/>
      <c r="K688" s="1904"/>
      <c r="L688" s="1904"/>
      <c r="M688" s="1904"/>
      <c r="N688" s="1904"/>
      <c r="O688" s="1904"/>
      <c r="P688" s="1904"/>
      <c r="Q688" s="1904"/>
      <c r="R688" s="1904"/>
      <c r="S688" s="1904"/>
      <c r="T688" s="1904"/>
      <c r="U688" s="1904"/>
      <c r="V688" s="1904"/>
      <c r="W688" s="1904"/>
      <c r="X688" s="1904"/>
      <c r="Y688" s="1904"/>
      <c r="Z688" s="1904"/>
      <c r="AA688" s="1904"/>
      <c r="AB688" s="1904"/>
      <c r="AC688" s="570"/>
      <c r="AD688" s="570"/>
      <c r="AE688" s="570"/>
      <c r="AF688" s="1984" t="s">
        <v>1518</v>
      </c>
      <c r="AG688" s="1984"/>
      <c r="AH688" s="1984"/>
      <c r="AI688" s="1984"/>
      <c r="AJ688" s="1984"/>
      <c r="AK688" s="1984"/>
      <c r="AL688" s="1984"/>
      <c r="AN688" s="631"/>
      <c r="AO688" s="645" t="s">
        <v>518</v>
      </c>
      <c r="AP688" s="584">
        <v>1</v>
      </c>
    </row>
    <row r="689" spans="1:42" s="584" customFormat="1" ht="12" customHeight="1">
      <c r="B689" s="570"/>
      <c r="C689" s="966"/>
      <c r="E689" s="1904"/>
      <c r="F689" s="1904"/>
      <c r="G689" s="1904"/>
      <c r="H689" s="1904"/>
      <c r="I689" s="1904"/>
      <c r="J689" s="1904"/>
      <c r="K689" s="1904"/>
      <c r="L689" s="1904"/>
      <c r="M689" s="1904"/>
      <c r="N689" s="1904"/>
      <c r="O689" s="1904"/>
      <c r="P689" s="1904"/>
      <c r="Q689" s="1904"/>
      <c r="R689" s="1904"/>
      <c r="S689" s="1904"/>
      <c r="T689" s="1904"/>
      <c r="U689" s="1904"/>
      <c r="V689" s="1904"/>
      <c r="W689" s="1904"/>
      <c r="X689" s="1904"/>
      <c r="Y689" s="1904"/>
      <c r="Z689" s="1904"/>
      <c r="AA689" s="1904"/>
      <c r="AB689" s="1904"/>
      <c r="AC689" s="570"/>
      <c r="AD689" s="570"/>
      <c r="AE689" s="650"/>
      <c r="AF689" s="570"/>
      <c r="AG689" s="570"/>
      <c r="AH689" s="570"/>
      <c r="AI689" s="570"/>
      <c r="AJ689" s="570"/>
      <c r="AK689" s="570"/>
      <c r="AL689" s="570"/>
      <c r="AN689" s="631"/>
    </row>
    <row r="690" spans="1:42" s="584" customFormat="1" ht="12" customHeight="1">
      <c r="B690" s="570"/>
      <c r="C690" s="966"/>
      <c r="D690" s="570"/>
      <c r="E690" s="1904"/>
      <c r="F690" s="1904"/>
      <c r="G690" s="1904"/>
      <c r="H690" s="1904"/>
      <c r="I690" s="1904"/>
      <c r="J690" s="1904"/>
      <c r="K690" s="1904"/>
      <c r="L690" s="1904"/>
      <c r="M690" s="1904"/>
      <c r="N690" s="1904"/>
      <c r="O690" s="1904"/>
      <c r="P690" s="1904"/>
      <c r="Q690" s="1904"/>
      <c r="R690" s="1904"/>
      <c r="S690" s="1904"/>
      <c r="T690" s="1904"/>
      <c r="U690" s="1904"/>
      <c r="V690" s="1904"/>
      <c r="W690" s="1904"/>
      <c r="X690" s="1904"/>
      <c r="Y690" s="1904"/>
      <c r="Z690" s="1904"/>
      <c r="AA690" s="1904"/>
      <c r="AB690" s="1904"/>
      <c r="AC690" s="570"/>
      <c r="AD690" s="570"/>
      <c r="AE690" s="650"/>
      <c r="AF690" s="570"/>
      <c r="AG690" s="570"/>
      <c r="AH690" s="570"/>
      <c r="AI690" s="570"/>
      <c r="AJ690" s="570"/>
      <c r="AK690" s="570"/>
      <c r="AL690" s="570"/>
      <c r="AN690" s="631"/>
    </row>
    <row r="691" spans="1:42" s="584" customFormat="1" ht="12" customHeight="1">
      <c r="B691" s="570"/>
      <c r="C691" s="966"/>
      <c r="D691" s="570"/>
      <c r="E691" s="1904"/>
      <c r="F691" s="1904"/>
      <c r="G691" s="1904"/>
      <c r="H691" s="1904"/>
      <c r="I691" s="1904"/>
      <c r="J691" s="1904"/>
      <c r="K691" s="1904"/>
      <c r="L691" s="1904"/>
      <c r="M691" s="1904"/>
      <c r="N691" s="1904"/>
      <c r="O691" s="1904"/>
      <c r="P691" s="1904"/>
      <c r="Q691" s="1904"/>
      <c r="R691" s="1904"/>
      <c r="S691" s="1904"/>
      <c r="T691" s="1904"/>
      <c r="U691" s="1904"/>
      <c r="V691" s="1904"/>
      <c r="W691" s="1904"/>
      <c r="X691" s="1904"/>
      <c r="Y691" s="1904"/>
      <c r="Z691" s="1904"/>
      <c r="AA691" s="1904"/>
      <c r="AB691" s="1904"/>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4"/>
      <c r="F692" s="1904"/>
      <c r="G692" s="1904"/>
      <c r="H692" s="1904"/>
      <c r="I692" s="1904"/>
      <c r="J692" s="1904"/>
      <c r="K692" s="1904"/>
      <c r="L692" s="1904"/>
      <c r="M692" s="1904"/>
      <c r="N692" s="1904"/>
      <c r="O692" s="1904"/>
      <c r="P692" s="1904"/>
      <c r="Q692" s="1904"/>
      <c r="R692" s="1904"/>
      <c r="S692" s="1904"/>
      <c r="T692" s="1904"/>
      <c r="U692" s="1904"/>
      <c r="V692" s="1904"/>
      <c r="W692" s="1904"/>
      <c r="X692" s="1904"/>
      <c r="Y692" s="1904"/>
      <c r="Z692" s="1904"/>
      <c r="AA692" s="1904"/>
      <c r="AB692" s="1904"/>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04" t="s">
        <v>1882</v>
      </c>
      <c r="F694" s="1904"/>
      <c r="G694" s="1904"/>
      <c r="H694" s="1904"/>
      <c r="I694" s="1904"/>
      <c r="J694" s="1904"/>
      <c r="K694" s="1904"/>
      <c r="L694" s="1904"/>
      <c r="M694" s="1904"/>
      <c r="N694" s="1904"/>
      <c r="O694" s="1904"/>
      <c r="P694" s="1904"/>
      <c r="Q694" s="1904"/>
      <c r="R694" s="1904"/>
      <c r="S694" s="1904"/>
      <c r="T694" s="1904"/>
      <c r="U694" s="1904"/>
      <c r="V694" s="1904"/>
      <c r="W694" s="1904"/>
      <c r="X694" s="1904"/>
      <c r="Y694" s="1904"/>
      <c r="Z694" s="1904"/>
      <c r="AA694" s="1904"/>
      <c r="AB694" s="1904"/>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04"/>
      <c r="F695" s="1904"/>
      <c r="G695" s="1904"/>
      <c r="H695" s="1904"/>
      <c r="I695" s="1904"/>
      <c r="J695" s="1904"/>
      <c r="K695" s="1904"/>
      <c r="L695" s="1904"/>
      <c r="M695" s="1904"/>
      <c r="N695" s="1904"/>
      <c r="O695" s="1904"/>
      <c r="P695" s="1904"/>
      <c r="Q695" s="1904"/>
      <c r="R695" s="1904"/>
      <c r="S695" s="1904"/>
      <c r="T695" s="1904"/>
      <c r="U695" s="1904"/>
      <c r="V695" s="1904"/>
      <c r="W695" s="1904"/>
      <c r="X695" s="1904"/>
      <c r="Y695" s="1904"/>
      <c r="Z695" s="1904"/>
      <c r="AA695" s="1904"/>
      <c r="AB695" s="1904"/>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04"/>
      <c r="F696" s="1904"/>
      <c r="G696" s="1904"/>
      <c r="H696" s="1904"/>
      <c r="I696" s="1904"/>
      <c r="J696" s="1904"/>
      <c r="K696" s="1904"/>
      <c r="L696" s="1904"/>
      <c r="M696" s="1904"/>
      <c r="N696" s="1904"/>
      <c r="O696" s="1904"/>
      <c r="P696" s="1904"/>
      <c r="Q696" s="1904"/>
      <c r="R696" s="1904"/>
      <c r="S696" s="1904"/>
      <c r="T696" s="1904"/>
      <c r="U696" s="1904"/>
      <c r="V696" s="1904"/>
      <c r="W696" s="1904"/>
      <c r="X696" s="1904"/>
      <c r="Y696" s="1904"/>
      <c r="Z696" s="1904"/>
      <c r="AA696" s="1904"/>
      <c r="AB696" s="190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28" t="s">
        <v>518</v>
      </c>
      <c r="I698" s="1928"/>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1">
        <f>VLOOKUP($H$698,$AO$692:$AP$695,2,FALSE)</f>
        <v>3</v>
      </c>
      <c r="AK700" s="1913"/>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17" t="s">
        <v>1884</v>
      </c>
      <c r="F704" s="2017"/>
      <c r="G704" s="2017"/>
      <c r="H704" s="2017"/>
      <c r="I704" s="2017"/>
      <c r="J704" s="2017"/>
      <c r="K704" s="2017"/>
      <c r="L704" s="2017"/>
      <c r="M704" s="2017"/>
      <c r="N704" s="2017"/>
      <c r="O704" s="2017"/>
      <c r="P704" s="2017"/>
      <c r="Q704" s="2017"/>
      <c r="R704" s="2017"/>
      <c r="S704" s="2017"/>
      <c r="T704" s="2017"/>
      <c r="U704" s="2017"/>
      <c r="V704" s="2017"/>
      <c r="W704" s="2017"/>
      <c r="X704" s="2017"/>
      <c r="Y704" s="2017"/>
      <c r="Z704" s="2017"/>
      <c r="AA704" s="2017"/>
      <c r="AB704" s="2017"/>
      <c r="AC704" s="570"/>
      <c r="AD704" s="570"/>
      <c r="AE704" s="570"/>
      <c r="AF704" s="1984" t="s">
        <v>1462</v>
      </c>
      <c r="AG704" s="1984"/>
      <c r="AH704" s="1984"/>
      <c r="AI704" s="1984"/>
      <c r="AJ704" s="1984"/>
      <c r="AK704" s="1984"/>
      <c r="AL704" s="1984"/>
      <c r="AM704" s="584"/>
      <c r="AN704" s="718"/>
      <c r="AP704" s="604" t="s">
        <v>1542</v>
      </c>
    </row>
    <row r="705" spans="1:52" s="604" customFormat="1" ht="11.85" customHeight="1">
      <c r="A705" s="584"/>
      <c r="B705" s="570"/>
      <c r="C705" s="968"/>
      <c r="D705" s="697"/>
      <c r="E705" s="2017"/>
      <c r="F705" s="2017"/>
      <c r="G705" s="2017"/>
      <c r="H705" s="2017"/>
      <c r="I705" s="2017"/>
      <c r="J705" s="2017"/>
      <c r="K705" s="2017"/>
      <c r="L705" s="2017"/>
      <c r="M705" s="2017"/>
      <c r="N705" s="2017"/>
      <c r="O705" s="2017"/>
      <c r="P705" s="2017"/>
      <c r="Q705" s="2017"/>
      <c r="R705" s="2017"/>
      <c r="S705" s="2017"/>
      <c r="T705" s="2017"/>
      <c r="U705" s="2017"/>
      <c r="V705" s="2017"/>
      <c r="W705" s="2017"/>
      <c r="X705" s="2017"/>
      <c r="Y705" s="2017"/>
      <c r="Z705" s="2017"/>
      <c r="AA705" s="2017"/>
      <c r="AB705" s="2017"/>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17"/>
      <c r="F706" s="2017"/>
      <c r="G706" s="2017"/>
      <c r="H706" s="2017"/>
      <c r="I706" s="2017"/>
      <c r="J706" s="2017"/>
      <c r="K706" s="2017"/>
      <c r="L706" s="2017"/>
      <c r="M706" s="2017"/>
      <c r="N706" s="2017"/>
      <c r="O706" s="2017"/>
      <c r="P706" s="2017"/>
      <c r="Q706" s="2017"/>
      <c r="R706" s="2017"/>
      <c r="S706" s="2017"/>
      <c r="T706" s="2017"/>
      <c r="U706" s="2017"/>
      <c r="V706" s="2017"/>
      <c r="W706" s="2017"/>
      <c r="X706" s="2017"/>
      <c r="Y706" s="2017"/>
      <c r="Z706" s="2017"/>
      <c r="AA706" s="2017"/>
      <c r="AB706" s="2017"/>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18" t="s">
        <v>1545</v>
      </c>
      <c r="F708" s="2018"/>
      <c r="G708" s="2018"/>
      <c r="H708" s="2018"/>
      <c r="I708" s="2018"/>
      <c r="J708" s="2018"/>
      <c r="K708" s="2018"/>
      <c r="L708" s="2018"/>
      <c r="M708" s="2018"/>
      <c r="N708" s="2018"/>
      <c r="O708" s="2018"/>
      <c r="P708" s="2018"/>
      <c r="Q708" s="2018"/>
      <c r="R708" s="2018"/>
      <c r="S708" s="2018"/>
      <c r="T708" s="2018"/>
      <c r="U708" s="2018"/>
      <c r="V708" s="2018"/>
      <c r="W708" s="2018"/>
      <c r="X708" s="2018"/>
      <c r="Y708" s="2018"/>
      <c r="Z708" s="2018"/>
      <c r="AA708" s="2018"/>
      <c r="AB708" s="2018"/>
      <c r="AC708" s="570"/>
      <c r="AD708" s="570"/>
      <c r="AE708" s="570"/>
      <c r="AF708" s="1984" t="s">
        <v>1518</v>
      </c>
      <c r="AG708" s="1984"/>
      <c r="AH708" s="1984"/>
      <c r="AI708" s="1984"/>
      <c r="AJ708" s="1984"/>
      <c r="AK708" s="1984"/>
      <c r="AL708" s="1984"/>
      <c r="AM708" s="584"/>
      <c r="AN708" s="719"/>
    </row>
    <row r="709" spans="1:52" s="604" customFormat="1" ht="12.75" customHeight="1">
      <c r="A709" s="584"/>
      <c r="B709" s="570"/>
      <c r="C709" s="968"/>
      <c r="D709" s="570"/>
      <c r="E709" s="2018"/>
      <c r="F709" s="2018"/>
      <c r="G709" s="2018"/>
      <c r="H709" s="2018"/>
      <c r="I709" s="2018"/>
      <c r="J709" s="2018"/>
      <c r="K709" s="2018"/>
      <c r="L709" s="2018"/>
      <c r="M709" s="2018"/>
      <c r="N709" s="2018"/>
      <c r="O709" s="2018"/>
      <c r="P709" s="2018"/>
      <c r="Q709" s="2018"/>
      <c r="R709" s="2018"/>
      <c r="S709" s="2018"/>
      <c r="T709" s="2018"/>
      <c r="U709" s="2018"/>
      <c r="V709" s="2018"/>
      <c r="W709" s="2018"/>
      <c r="X709" s="2018"/>
      <c r="Y709" s="2018"/>
      <c r="Z709" s="2018"/>
      <c r="AA709" s="2018"/>
      <c r="AB709" s="2018"/>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18"/>
      <c r="F710" s="2018"/>
      <c r="G710" s="2018"/>
      <c r="H710" s="2018"/>
      <c r="I710" s="2018"/>
      <c r="J710" s="2018"/>
      <c r="K710" s="2018"/>
      <c r="L710" s="2018"/>
      <c r="M710" s="2018"/>
      <c r="N710" s="2018"/>
      <c r="O710" s="2018"/>
      <c r="P710" s="2018"/>
      <c r="Q710" s="2018"/>
      <c r="R710" s="2018"/>
      <c r="S710" s="2018"/>
      <c r="T710" s="2018"/>
      <c r="U710" s="2018"/>
      <c r="V710" s="2018"/>
      <c r="W710" s="2018"/>
      <c r="X710" s="2018"/>
      <c r="Y710" s="2018"/>
      <c r="Z710" s="2018"/>
      <c r="AA710" s="2018"/>
      <c r="AB710" s="2018"/>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1928" t="s">
        <v>600</v>
      </c>
      <c r="I712" s="1928"/>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1">
        <f>VLOOKUP($H$712,$AP$709:$AQ$711,2,FALSE)</f>
        <v>0</v>
      </c>
      <c r="AK714" s="1913"/>
      <c r="AL714" s="629"/>
      <c r="AM714" s="584"/>
      <c r="AN714" s="718"/>
      <c r="AP714" s="1911"/>
      <c r="AQ714" s="1913"/>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04" t="s">
        <v>1885</v>
      </c>
      <c r="F718" s="1904"/>
      <c r="G718" s="1904"/>
      <c r="H718" s="1904"/>
      <c r="I718" s="1904"/>
      <c r="J718" s="1904"/>
      <c r="K718" s="1904"/>
      <c r="L718" s="1904"/>
      <c r="M718" s="1904"/>
      <c r="N718" s="1904"/>
      <c r="O718" s="1904"/>
      <c r="P718" s="1904"/>
      <c r="Q718" s="1904"/>
      <c r="R718" s="1904"/>
      <c r="S718" s="1904"/>
      <c r="T718" s="1904"/>
      <c r="U718" s="1904"/>
      <c r="V718" s="1904"/>
      <c r="W718" s="1904"/>
      <c r="X718" s="1904"/>
      <c r="Y718" s="1904"/>
      <c r="Z718" s="1904"/>
      <c r="AA718" s="1904"/>
      <c r="AB718" s="1904"/>
      <c r="AC718" s="570"/>
      <c r="AD718" s="570"/>
      <c r="AE718" s="570"/>
      <c r="AF718" s="1984" t="s">
        <v>1462</v>
      </c>
      <c r="AG718" s="1984"/>
      <c r="AH718" s="1984"/>
      <c r="AI718" s="1984"/>
      <c r="AJ718" s="1984"/>
      <c r="AK718" s="1984"/>
      <c r="AL718" s="1984"/>
      <c r="AM718" s="584"/>
      <c r="AN718" s="718"/>
      <c r="AT718" s="14"/>
      <c r="AU718" s="14"/>
      <c r="AV718" s="14"/>
      <c r="AW718" s="14"/>
      <c r="AX718" s="14"/>
      <c r="AY718" s="14"/>
      <c r="AZ718" s="14"/>
    </row>
    <row r="719" spans="1:52" s="604" customFormat="1">
      <c r="A719" s="584"/>
      <c r="B719" s="570"/>
      <c r="C719" s="968"/>
      <c r="D719" s="697"/>
      <c r="E719" s="1904"/>
      <c r="F719" s="1904"/>
      <c r="G719" s="1904"/>
      <c r="H719" s="1904"/>
      <c r="I719" s="1904"/>
      <c r="J719" s="1904"/>
      <c r="K719" s="1904"/>
      <c r="L719" s="1904"/>
      <c r="M719" s="1904"/>
      <c r="N719" s="1904"/>
      <c r="O719" s="1904"/>
      <c r="P719" s="1904"/>
      <c r="Q719" s="1904"/>
      <c r="R719" s="1904"/>
      <c r="S719" s="1904"/>
      <c r="T719" s="1904"/>
      <c r="U719" s="1904"/>
      <c r="V719" s="1904"/>
      <c r="W719" s="1904"/>
      <c r="X719" s="1904"/>
      <c r="Y719" s="1904"/>
      <c r="Z719" s="1904"/>
      <c r="AA719" s="1904"/>
      <c r="AB719" s="190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04" t="s">
        <v>1549</v>
      </c>
      <c r="F721" s="1904"/>
      <c r="G721" s="1904"/>
      <c r="H721" s="1904"/>
      <c r="I721" s="1904"/>
      <c r="J721" s="1904"/>
      <c r="K721" s="1904"/>
      <c r="L721" s="1904"/>
      <c r="M721" s="1904"/>
      <c r="N721" s="1904"/>
      <c r="O721" s="1904"/>
      <c r="P721" s="1904"/>
      <c r="Q721" s="1904"/>
      <c r="R721" s="1904"/>
      <c r="S721" s="1904"/>
      <c r="T721" s="1904"/>
      <c r="U721" s="1904"/>
      <c r="V721" s="1904"/>
      <c r="W721" s="1904"/>
      <c r="X721" s="1904"/>
      <c r="Y721" s="1904"/>
      <c r="Z721" s="1904"/>
      <c r="AA721" s="1904"/>
      <c r="AB721" s="1904"/>
      <c r="AC721" s="570"/>
      <c r="AD721" s="570"/>
      <c r="AE721" s="570"/>
      <c r="AF721" s="1984" t="s">
        <v>1518</v>
      </c>
      <c r="AG721" s="1984"/>
      <c r="AH721" s="1984"/>
      <c r="AI721" s="1984"/>
      <c r="AJ721" s="1984"/>
      <c r="AK721" s="1984"/>
      <c r="AL721" s="1984"/>
      <c r="AM721" s="584"/>
      <c r="AN721" s="718"/>
      <c r="AT721" s="14"/>
      <c r="AU721" s="14"/>
      <c r="AV721" s="14"/>
      <c r="AW721" s="14"/>
      <c r="AX721" s="14"/>
      <c r="AY721" s="14"/>
      <c r="AZ721" s="14"/>
    </row>
    <row r="722" spans="1:81" s="604" customFormat="1">
      <c r="A722" s="584"/>
      <c r="B722" s="570"/>
      <c r="C722" s="968"/>
      <c r="D722" s="570"/>
      <c r="E722" s="1904"/>
      <c r="F722" s="1904"/>
      <c r="G722" s="1904"/>
      <c r="H722" s="1904"/>
      <c r="I722" s="1904"/>
      <c r="J722" s="1904"/>
      <c r="K722" s="1904"/>
      <c r="L722" s="1904"/>
      <c r="M722" s="1904"/>
      <c r="N722" s="1904"/>
      <c r="O722" s="1904"/>
      <c r="P722" s="1904"/>
      <c r="Q722" s="1904"/>
      <c r="R722" s="1904"/>
      <c r="S722" s="1904"/>
      <c r="T722" s="1904"/>
      <c r="U722" s="1904"/>
      <c r="V722" s="1904"/>
      <c r="W722" s="1904"/>
      <c r="X722" s="1904"/>
      <c r="Y722" s="1904"/>
      <c r="Z722" s="1904"/>
      <c r="AA722" s="1904"/>
      <c r="AB722" s="190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28" t="s">
        <v>600</v>
      </c>
      <c r="I724" s="1928"/>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1">
        <f>VLOOKUP($H$724,$AO$655:$AP$657,2,FALSE)</f>
        <v>0</v>
      </c>
      <c r="AK726" s="1913"/>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04" t="s">
        <v>1552</v>
      </c>
      <c r="F730" s="1904"/>
      <c r="G730" s="1904"/>
      <c r="H730" s="1904"/>
      <c r="I730" s="1904"/>
      <c r="J730" s="1904"/>
      <c r="K730" s="1904"/>
      <c r="L730" s="1904"/>
      <c r="M730" s="1904"/>
      <c r="N730" s="1904"/>
      <c r="O730" s="1904"/>
      <c r="P730" s="1904"/>
      <c r="Q730" s="1904"/>
      <c r="R730" s="1904"/>
      <c r="S730" s="1904"/>
      <c r="T730" s="1904"/>
      <c r="U730" s="1904"/>
      <c r="V730" s="1904"/>
      <c r="W730" s="1904"/>
      <c r="X730" s="1904"/>
      <c r="Y730" s="1904"/>
      <c r="Z730" s="1904"/>
      <c r="AA730" s="1904"/>
      <c r="AB730" s="1904"/>
      <c r="AC730" s="570"/>
      <c r="AD730" s="570"/>
      <c r="AE730" s="570"/>
      <c r="AF730" s="1984" t="s">
        <v>1462</v>
      </c>
      <c r="AG730" s="1984"/>
      <c r="AH730" s="1984"/>
      <c r="AI730" s="1984"/>
      <c r="AJ730" s="1984"/>
      <c r="AK730" s="1984"/>
      <c r="AL730" s="1984"/>
      <c r="AM730" s="584"/>
      <c r="AN730" s="718"/>
      <c r="AT730" s="14"/>
      <c r="AU730" s="14"/>
      <c r="AV730" s="14"/>
      <c r="AW730" s="14"/>
      <c r="AX730" s="14"/>
      <c r="AY730" s="14"/>
      <c r="AZ730" s="14"/>
    </row>
    <row r="731" spans="1:81" s="604" customFormat="1">
      <c r="A731" s="584"/>
      <c r="B731" s="570"/>
      <c r="C731" s="966"/>
      <c r="D731" s="697"/>
      <c r="E731" s="1904"/>
      <c r="F731" s="1904"/>
      <c r="G731" s="1904"/>
      <c r="H731" s="1904"/>
      <c r="I731" s="1904"/>
      <c r="J731" s="1904"/>
      <c r="K731" s="1904"/>
      <c r="L731" s="1904"/>
      <c r="M731" s="1904"/>
      <c r="N731" s="1904"/>
      <c r="O731" s="1904"/>
      <c r="P731" s="1904"/>
      <c r="Q731" s="1904"/>
      <c r="R731" s="1904"/>
      <c r="S731" s="1904"/>
      <c r="T731" s="1904"/>
      <c r="U731" s="1904"/>
      <c r="V731" s="1904"/>
      <c r="W731" s="1904"/>
      <c r="X731" s="1904"/>
      <c r="Y731" s="1904"/>
      <c r="Z731" s="1904"/>
      <c r="AA731" s="1904"/>
      <c r="AB731" s="190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4"/>
      <c r="F732" s="1904"/>
      <c r="G732" s="1904"/>
      <c r="H732" s="1904"/>
      <c r="I732" s="1904"/>
      <c r="J732" s="1904"/>
      <c r="K732" s="1904"/>
      <c r="L732" s="1904"/>
      <c r="M732" s="1904"/>
      <c r="N732" s="1904"/>
      <c r="O732" s="1904"/>
      <c r="P732" s="1904"/>
      <c r="Q732" s="1904"/>
      <c r="R732" s="1904"/>
      <c r="S732" s="1904"/>
      <c r="T732" s="1904"/>
      <c r="U732" s="1904"/>
      <c r="V732" s="1904"/>
      <c r="W732" s="1904"/>
      <c r="X732" s="1904"/>
      <c r="Y732" s="1904"/>
      <c r="Z732" s="1904"/>
      <c r="AA732" s="1904"/>
      <c r="AB732" s="190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4"/>
      <c r="F733" s="1904"/>
      <c r="G733" s="1904"/>
      <c r="H733" s="1904"/>
      <c r="I733" s="1904"/>
      <c r="J733" s="1904"/>
      <c r="K733" s="1904"/>
      <c r="L733" s="1904"/>
      <c r="M733" s="1904"/>
      <c r="N733" s="1904"/>
      <c r="O733" s="1904"/>
      <c r="P733" s="1904"/>
      <c r="Q733" s="1904"/>
      <c r="R733" s="1904"/>
      <c r="S733" s="1904"/>
      <c r="T733" s="1904"/>
      <c r="U733" s="1904"/>
      <c r="V733" s="1904"/>
      <c r="W733" s="1904"/>
      <c r="X733" s="1904"/>
      <c r="Y733" s="1904"/>
      <c r="Z733" s="1904"/>
      <c r="AA733" s="1904"/>
      <c r="AB733" s="190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04" t="s">
        <v>1553</v>
      </c>
      <c r="F735" s="1904"/>
      <c r="G735" s="1904"/>
      <c r="H735" s="1904"/>
      <c r="I735" s="1904"/>
      <c r="J735" s="1904"/>
      <c r="K735" s="1904"/>
      <c r="L735" s="1904"/>
      <c r="M735" s="1904"/>
      <c r="N735" s="1904"/>
      <c r="O735" s="1904"/>
      <c r="P735" s="1904"/>
      <c r="Q735" s="1904"/>
      <c r="R735" s="1904"/>
      <c r="S735" s="1904"/>
      <c r="T735" s="1904"/>
      <c r="U735" s="1904"/>
      <c r="V735" s="1904"/>
      <c r="W735" s="1904"/>
      <c r="X735" s="1904"/>
      <c r="Y735" s="1904"/>
      <c r="Z735" s="1904"/>
      <c r="AA735" s="1904"/>
      <c r="AB735" s="609"/>
      <c r="AC735" s="570"/>
      <c r="AD735" s="570"/>
      <c r="AE735" s="570"/>
      <c r="AF735" s="1984" t="s">
        <v>1518</v>
      </c>
      <c r="AG735" s="1984"/>
      <c r="AH735" s="1984"/>
      <c r="AI735" s="1984"/>
      <c r="AJ735" s="1984"/>
      <c r="AK735" s="1984"/>
      <c r="AL735" s="1984"/>
      <c r="AM735" s="584"/>
      <c r="AN735" s="718"/>
      <c r="AO735" s="30"/>
      <c r="AP735" s="14"/>
    </row>
    <row r="736" spans="1:81" s="604" customFormat="1">
      <c r="A736" s="584"/>
      <c r="B736" s="570"/>
      <c r="C736" s="966"/>
      <c r="D736" s="697"/>
      <c r="E736" s="1904"/>
      <c r="F736" s="1904"/>
      <c r="G736" s="1904"/>
      <c r="H736" s="1904"/>
      <c r="I736" s="1904"/>
      <c r="J736" s="1904"/>
      <c r="K736" s="1904"/>
      <c r="L736" s="1904"/>
      <c r="M736" s="1904"/>
      <c r="N736" s="1904"/>
      <c r="O736" s="1904"/>
      <c r="P736" s="1904"/>
      <c r="Q736" s="1904"/>
      <c r="R736" s="1904"/>
      <c r="S736" s="1904"/>
      <c r="T736" s="1904"/>
      <c r="U736" s="1904"/>
      <c r="V736" s="1904"/>
      <c r="W736" s="1904"/>
      <c r="X736" s="1904"/>
      <c r="Y736" s="1904"/>
      <c r="Z736" s="1904"/>
      <c r="AA736" s="190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4"/>
      <c r="F737" s="1904"/>
      <c r="G737" s="1904"/>
      <c r="H737" s="1904"/>
      <c r="I737" s="1904"/>
      <c r="J737" s="1904"/>
      <c r="K737" s="1904"/>
      <c r="L737" s="1904"/>
      <c r="M737" s="1904"/>
      <c r="N737" s="1904"/>
      <c r="O737" s="1904"/>
      <c r="P737" s="1904"/>
      <c r="Q737" s="1904"/>
      <c r="R737" s="1904"/>
      <c r="S737" s="1904"/>
      <c r="T737" s="1904"/>
      <c r="U737" s="1904"/>
      <c r="V737" s="1904"/>
      <c r="W737" s="1904"/>
      <c r="X737" s="1904"/>
      <c r="Y737" s="1904"/>
      <c r="Z737" s="1904"/>
      <c r="AA737" s="190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4"/>
      <c r="F738" s="1904"/>
      <c r="G738" s="1904"/>
      <c r="H738" s="1904"/>
      <c r="I738" s="1904"/>
      <c r="J738" s="1904"/>
      <c r="K738" s="1904"/>
      <c r="L738" s="1904"/>
      <c r="M738" s="1904"/>
      <c r="N738" s="1904"/>
      <c r="O738" s="1904"/>
      <c r="P738" s="1904"/>
      <c r="Q738" s="1904"/>
      <c r="R738" s="1904"/>
      <c r="S738" s="1904"/>
      <c r="T738" s="1904"/>
      <c r="U738" s="1904"/>
      <c r="V738" s="1904"/>
      <c r="W738" s="1904"/>
      <c r="X738" s="1904"/>
      <c r="Y738" s="1904"/>
      <c r="Z738" s="1904"/>
      <c r="AA738" s="190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28" t="s">
        <v>518</v>
      </c>
      <c r="I740" s="1928"/>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1">
        <f>VLOOKUP($H$740,$AO$669:$AP$671,2,FALSE)</f>
        <v>2</v>
      </c>
      <c r="AK742" s="1913"/>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04" t="s">
        <v>1555</v>
      </c>
      <c r="F746" s="1904"/>
      <c r="G746" s="1904"/>
      <c r="H746" s="1904"/>
      <c r="I746" s="1904"/>
      <c r="J746" s="1904"/>
      <c r="K746" s="1904"/>
      <c r="L746" s="1904"/>
      <c r="M746" s="1904"/>
      <c r="N746" s="1904"/>
      <c r="O746" s="1904"/>
      <c r="P746" s="1904"/>
      <c r="Q746" s="1904"/>
      <c r="R746" s="1904"/>
      <c r="S746" s="1904"/>
      <c r="T746" s="1904"/>
      <c r="U746" s="1904"/>
      <c r="V746" s="1904"/>
      <c r="W746" s="1904"/>
      <c r="X746" s="1904"/>
      <c r="Y746" s="1904"/>
      <c r="Z746" s="1904"/>
      <c r="AA746" s="1904"/>
      <c r="AB746" s="1904"/>
      <c r="AC746" s="570"/>
      <c r="AD746" s="570"/>
      <c r="AE746" s="570"/>
      <c r="AF746" s="1984" t="s">
        <v>1518</v>
      </c>
      <c r="AG746" s="1984"/>
      <c r="AH746" s="1984"/>
      <c r="AI746" s="1984"/>
      <c r="AJ746" s="1984"/>
      <c r="AK746" s="1984"/>
      <c r="AL746" s="1984"/>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4"/>
      <c r="F747" s="1904"/>
      <c r="G747" s="1904"/>
      <c r="H747" s="1904"/>
      <c r="I747" s="1904"/>
      <c r="J747" s="1904"/>
      <c r="K747" s="1904"/>
      <c r="L747" s="1904"/>
      <c r="M747" s="1904"/>
      <c r="N747" s="1904"/>
      <c r="O747" s="1904"/>
      <c r="P747" s="1904"/>
      <c r="Q747" s="1904"/>
      <c r="R747" s="1904"/>
      <c r="S747" s="1904"/>
      <c r="T747" s="1904"/>
      <c r="U747" s="1904"/>
      <c r="V747" s="1904"/>
      <c r="W747" s="1904"/>
      <c r="X747" s="1904"/>
      <c r="Y747" s="1904"/>
      <c r="Z747" s="1904"/>
      <c r="AA747" s="1904"/>
      <c r="AB747" s="190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04" t="s">
        <v>1556</v>
      </c>
      <c r="F749" s="1904"/>
      <c r="G749" s="1904"/>
      <c r="H749" s="1904"/>
      <c r="I749" s="1904"/>
      <c r="J749" s="1904"/>
      <c r="K749" s="1904"/>
      <c r="L749" s="1904"/>
      <c r="M749" s="1904"/>
      <c r="N749" s="1904"/>
      <c r="O749" s="1904"/>
      <c r="P749" s="1904"/>
      <c r="Q749" s="1904"/>
      <c r="R749" s="1904"/>
      <c r="S749" s="1904"/>
      <c r="T749" s="1904"/>
      <c r="U749" s="1904"/>
      <c r="V749" s="1904"/>
      <c r="W749" s="1904"/>
      <c r="X749" s="1904"/>
      <c r="Y749" s="1904"/>
      <c r="Z749" s="1904"/>
      <c r="AA749" s="1904"/>
      <c r="AB749" s="1904"/>
      <c r="AC749" s="570"/>
      <c r="AD749" s="570"/>
      <c r="AE749" s="570"/>
      <c r="AF749" s="1984" t="s">
        <v>1535</v>
      </c>
      <c r="AG749" s="1984"/>
      <c r="AH749" s="1984"/>
      <c r="AI749" s="1984"/>
      <c r="AJ749" s="1984"/>
      <c r="AK749" s="1984"/>
      <c r="AL749" s="1984"/>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4"/>
      <c r="F750" s="1904"/>
      <c r="G750" s="1904"/>
      <c r="H750" s="1904"/>
      <c r="I750" s="1904"/>
      <c r="J750" s="1904"/>
      <c r="K750" s="1904"/>
      <c r="L750" s="1904"/>
      <c r="M750" s="1904"/>
      <c r="N750" s="1904"/>
      <c r="O750" s="1904"/>
      <c r="P750" s="1904"/>
      <c r="Q750" s="1904"/>
      <c r="R750" s="1904"/>
      <c r="S750" s="1904"/>
      <c r="T750" s="1904"/>
      <c r="U750" s="1904"/>
      <c r="V750" s="1904"/>
      <c r="W750" s="1904"/>
      <c r="X750" s="1904"/>
      <c r="Y750" s="1904"/>
      <c r="Z750" s="1904"/>
      <c r="AA750" s="1904"/>
      <c r="AB750" s="190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28" t="s">
        <v>518</v>
      </c>
      <c r="I752" s="1928"/>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1">
        <f>VLOOKUP($H$752,$AO$686:$AP$688,2,FALSE)</f>
        <v>1</v>
      </c>
      <c r="AK754" s="1913"/>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04" t="s">
        <v>1881</v>
      </c>
      <c r="F758" s="1904"/>
      <c r="G758" s="1904"/>
      <c r="H758" s="1904"/>
      <c r="I758" s="1904"/>
      <c r="J758" s="1904"/>
      <c r="K758" s="1904"/>
      <c r="L758" s="1904"/>
      <c r="M758" s="1904"/>
      <c r="N758" s="1904"/>
      <c r="O758" s="1904"/>
      <c r="P758" s="1904"/>
      <c r="Q758" s="1904"/>
      <c r="R758" s="1904"/>
      <c r="S758" s="1904"/>
      <c r="T758" s="1904"/>
      <c r="U758" s="1904"/>
      <c r="V758" s="1904"/>
      <c r="W758" s="1904"/>
      <c r="X758" s="1904"/>
      <c r="Y758" s="1904"/>
      <c r="Z758" s="1904"/>
      <c r="AA758" s="1904"/>
      <c r="AB758" s="1904"/>
      <c r="AC758" s="1904"/>
      <c r="AD758" s="1904"/>
      <c r="AE758" s="570"/>
      <c r="AF758" s="1984" t="s">
        <v>1518</v>
      </c>
      <c r="AG758" s="1984"/>
      <c r="AH758" s="1984"/>
      <c r="AI758" s="1984"/>
      <c r="AJ758" s="1984"/>
      <c r="AK758" s="1984"/>
      <c r="AL758" s="1984"/>
      <c r="AM758" s="647"/>
      <c r="AN758" s="718"/>
      <c r="AO758" s="584" t="s">
        <v>600</v>
      </c>
      <c r="AP758" s="707">
        <v>0</v>
      </c>
    </row>
    <row r="759" spans="1:74" s="604" customFormat="1" ht="13.7" customHeight="1">
      <c r="A759" s="584"/>
      <c r="B759" s="650"/>
      <c r="C759" s="975"/>
      <c r="D759" s="697"/>
      <c r="E759" s="1904"/>
      <c r="F759" s="1904"/>
      <c r="G759" s="1904"/>
      <c r="H759" s="1904"/>
      <c r="I759" s="1904"/>
      <c r="J759" s="1904"/>
      <c r="K759" s="1904"/>
      <c r="L759" s="1904"/>
      <c r="M759" s="1904"/>
      <c r="N759" s="1904"/>
      <c r="O759" s="1904"/>
      <c r="P759" s="1904"/>
      <c r="Q759" s="1904"/>
      <c r="R759" s="1904"/>
      <c r="S759" s="1904"/>
      <c r="T759" s="1904"/>
      <c r="U759" s="1904"/>
      <c r="V759" s="1904"/>
      <c r="W759" s="1904"/>
      <c r="X759" s="1904"/>
      <c r="Y759" s="1904"/>
      <c r="Z759" s="1904"/>
      <c r="AA759" s="1904"/>
      <c r="AB759" s="1904"/>
      <c r="AC759" s="1904"/>
      <c r="AD759" s="1904"/>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04"/>
      <c r="F760" s="1904"/>
      <c r="G760" s="1904"/>
      <c r="H760" s="1904"/>
      <c r="I760" s="1904"/>
      <c r="J760" s="1904"/>
      <c r="K760" s="1904"/>
      <c r="L760" s="1904"/>
      <c r="M760" s="1904"/>
      <c r="N760" s="1904"/>
      <c r="O760" s="1904"/>
      <c r="P760" s="1904"/>
      <c r="Q760" s="1904"/>
      <c r="R760" s="1904"/>
      <c r="S760" s="1904"/>
      <c r="T760" s="1904"/>
      <c r="U760" s="1904"/>
      <c r="V760" s="1904"/>
      <c r="W760" s="1904"/>
      <c r="X760" s="1904"/>
      <c r="Y760" s="1904"/>
      <c r="Z760" s="1904"/>
      <c r="AA760" s="1904"/>
      <c r="AB760" s="1904"/>
      <c r="AC760" s="1904"/>
      <c r="AD760" s="1904"/>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4"/>
      <c r="F761" s="1904"/>
      <c r="G761" s="1904"/>
      <c r="H761" s="1904"/>
      <c r="I761" s="1904"/>
      <c r="J761" s="1904"/>
      <c r="K761" s="1904"/>
      <c r="L761" s="1904"/>
      <c r="M761" s="1904"/>
      <c r="N761" s="1904"/>
      <c r="O761" s="1904"/>
      <c r="P761" s="1904"/>
      <c r="Q761" s="1904"/>
      <c r="R761" s="1904"/>
      <c r="S761" s="1904"/>
      <c r="T761" s="1904"/>
      <c r="U761" s="1904"/>
      <c r="V761" s="1904"/>
      <c r="W761" s="1904"/>
      <c r="X761" s="1904"/>
      <c r="Y761" s="1904"/>
      <c r="Z761" s="1904"/>
      <c r="AA761" s="1904"/>
      <c r="AB761" s="1904"/>
      <c r="AC761" s="1904"/>
      <c r="AD761" s="190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16" t="s">
        <v>1886</v>
      </c>
      <c r="F763" s="2016"/>
      <c r="G763" s="2016"/>
      <c r="H763" s="2016"/>
      <c r="I763" s="2016"/>
      <c r="J763" s="2016"/>
      <c r="K763" s="2016"/>
      <c r="L763" s="2016"/>
      <c r="M763" s="2016"/>
      <c r="N763" s="2016"/>
      <c r="O763" s="2016"/>
      <c r="P763" s="2016"/>
      <c r="Q763" s="2016"/>
      <c r="R763" s="2016"/>
      <c r="S763" s="2016"/>
      <c r="T763" s="2016"/>
      <c r="U763" s="2016"/>
      <c r="V763" s="2016"/>
      <c r="W763" s="2016"/>
      <c r="X763" s="2016"/>
      <c r="Y763" s="2016"/>
      <c r="Z763" s="2016"/>
      <c r="AA763" s="2016"/>
      <c r="AB763" s="2016"/>
      <c r="AC763" s="2016"/>
      <c r="AD763" s="2016"/>
      <c r="AE763" s="570"/>
      <c r="AF763" s="1984" t="s">
        <v>1462</v>
      </c>
      <c r="AG763" s="1984"/>
      <c r="AH763" s="1984"/>
      <c r="AI763" s="1984"/>
      <c r="AJ763" s="1984"/>
      <c r="AK763" s="1984"/>
      <c r="AL763" s="1984"/>
      <c r="AM763" s="647"/>
      <c r="AN763" s="631"/>
    </row>
    <row r="764" spans="1:74" s="584" customFormat="1" ht="12.75" customHeight="1">
      <c r="B764" s="650"/>
      <c r="C764" s="975"/>
      <c r="D764" s="697"/>
      <c r="E764" s="2016"/>
      <c r="F764" s="2016"/>
      <c r="G764" s="2016"/>
      <c r="H764" s="2016"/>
      <c r="I764" s="2016"/>
      <c r="J764" s="2016"/>
      <c r="K764" s="2016"/>
      <c r="L764" s="2016"/>
      <c r="M764" s="2016"/>
      <c r="N764" s="2016"/>
      <c r="O764" s="2016"/>
      <c r="P764" s="2016"/>
      <c r="Q764" s="2016"/>
      <c r="R764" s="2016"/>
      <c r="S764" s="2016"/>
      <c r="T764" s="2016"/>
      <c r="U764" s="2016"/>
      <c r="V764" s="2016"/>
      <c r="W764" s="2016"/>
      <c r="X764" s="2016"/>
      <c r="Y764" s="2016"/>
      <c r="Z764" s="2016"/>
      <c r="AA764" s="2016"/>
      <c r="AB764" s="2016"/>
      <c r="AC764" s="2016"/>
      <c r="AD764" s="2016"/>
      <c r="AE764" s="628"/>
      <c r="AF764" s="628"/>
      <c r="AG764" s="628"/>
      <c r="AH764" s="628"/>
      <c r="AI764" s="628"/>
      <c r="AJ764" s="628"/>
      <c r="AK764" s="628"/>
      <c r="AL764" s="628"/>
      <c r="AM764" s="647"/>
      <c r="AN764" s="631"/>
    </row>
    <row r="765" spans="1:74" s="584" customFormat="1" ht="12.75" customHeight="1">
      <c r="B765" s="650"/>
      <c r="C765" s="975"/>
      <c r="D765" s="697"/>
      <c r="E765" s="2016"/>
      <c r="F765" s="2016"/>
      <c r="G765" s="2016"/>
      <c r="H765" s="2016"/>
      <c r="I765" s="2016"/>
      <c r="J765" s="2016"/>
      <c r="K765" s="2016"/>
      <c r="L765" s="2016"/>
      <c r="M765" s="2016"/>
      <c r="N765" s="2016"/>
      <c r="O765" s="2016"/>
      <c r="P765" s="2016"/>
      <c r="Q765" s="2016"/>
      <c r="R765" s="2016"/>
      <c r="S765" s="2016"/>
      <c r="T765" s="2016"/>
      <c r="U765" s="2016"/>
      <c r="V765" s="2016"/>
      <c r="W765" s="2016"/>
      <c r="X765" s="2016"/>
      <c r="Y765" s="2016"/>
      <c r="Z765" s="2016"/>
      <c r="AA765" s="2016"/>
      <c r="AB765" s="2016"/>
      <c r="AC765" s="2016"/>
      <c r="AD765" s="2016"/>
      <c r="AE765" s="628"/>
      <c r="AF765" s="628"/>
      <c r="AG765" s="628"/>
      <c r="AH765" s="628"/>
      <c r="AI765" s="628"/>
      <c r="AJ765" s="628"/>
      <c r="AK765" s="628"/>
      <c r="AL765" s="628"/>
      <c r="AM765" s="647"/>
      <c r="AN765" s="631"/>
    </row>
    <row r="766" spans="1:74" s="584" customFormat="1" ht="12.75" customHeight="1">
      <c r="B766" s="650"/>
      <c r="C766" s="975"/>
      <c r="D766" s="697"/>
      <c r="E766" s="2016"/>
      <c r="F766" s="2016"/>
      <c r="G766" s="2016"/>
      <c r="H766" s="2016"/>
      <c r="I766" s="2016"/>
      <c r="J766" s="2016"/>
      <c r="K766" s="2016"/>
      <c r="L766" s="2016"/>
      <c r="M766" s="2016"/>
      <c r="N766" s="2016"/>
      <c r="O766" s="2016"/>
      <c r="P766" s="2016"/>
      <c r="Q766" s="2016"/>
      <c r="R766" s="2016"/>
      <c r="S766" s="2016"/>
      <c r="T766" s="2016"/>
      <c r="U766" s="2016"/>
      <c r="V766" s="2016"/>
      <c r="W766" s="2016"/>
      <c r="X766" s="2016"/>
      <c r="Y766" s="2016"/>
      <c r="Z766" s="2016"/>
      <c r="AA766" s="2016"/>
      <c r="AB766" s="2016"/>
      <c r="AC766" s="2016"/>
      <c r="AD766" s="2016"/>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28" t="s">
        <v>600</v>
      </c>
      <c r="I768" s="1928"/>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1">
        <f>VLOOKUP($H$768,$AO$758:$AP$760,2,FALSE)</f>
        <v>0</v>
      </c>
      <c r="AK770" s="1913"/>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04" t="s">
        <v>2346</v>
      </c>
      <c r="F774" s="1904"/>
      <c r="G774" s="1904"/>
      <c r="H774" s="1904"/>
      <c r="I774" s="1904"/>
      <c r="J774" s="1904"/>
      <c r="K774" s="1904"/>
      <c r="L774" s="1904"/>
      <c r="M774" s="1904"/>
      <c r="N774" s="1904"/>
      <c r="O774" s="1904"/>
      <c r="P774" s="1904"/>
      <c r="Q774" s="1904"/>
      <c r="R774" s="1904"/>
      <c r="S774" s="1904"/>
      <c r="T774" s="1904"/>
      <c r="U774" s="1904"/>
      <c r="V774" s="1904"/>
      <c r="W774" s="1904"/>
      <c r="X774" s="1904"/>
      <c r="Y774" s="1904"/>
      <c r="Z774" s="1904"/>
      <c r="AA774" s="1904"/>
      <c r="AB774" s="1904"/>
      <c r="AC774" s="1904"/>
      <c r="AD774" s="1904"/>
      <c r="AE774" s="570"/>
      <c r="AF774" s="1984" t="s">
        <v>1462</v>
      </c>
      <c r="AG774" s="1984"/>
      <c r="AH774" s="1984"/>
      <c r="AI774" s="1984"/>
      <c r="AJ774" s="1984"/>
      <c r="AK774" s="1984"/>
      <c r="AL774" s="1984"/>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04"/>
      <c r="F775" s="1904"/>
      <c r="G775" s="1904"/>
      <c r="H775" s="1904"/>
      <c r="I775" s="1904"/>
      <c r="J775" s="1904"/>
      <c r="K775" s="1904"/>
      <c r="L775" s="1904"/>
      <c r="M775" s="1904"/>
      <c r="N775" s="1904"/>
      <c r="O775" s="1904"/>
      <c r="P775" s="1904"/>
      <c r="Q775" s="1904"/>
      <c r="R775" s="1904"/>
      <c r="S775" s="1904"/>
      <c r="T775" s="1904"/>
      <c r="U775" s="1904"/>
      <c r="V775" s="1904"/>
      <c r="W775" s="1904"/>
      <c r="X775" s="1904"/>
      <c r="Y775" s="1904"/>
      <c r="Z775" s="1904"/>
      <c r="AA775" s="1904"/>
      <c r="AB775" s="1904"/>
      <c r="AC775" s="1904"/>
      <c r="AD775" s="190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4"/>
      <c r="F776" s="1904"/>
      <c r="G776" s="1904"/>
      <c r="H776" s="1904"/>
      <c r="I776" s="1904"/>
      <c r="J776" s="1904"/>
      <c r="K776" s="1904"/>
      <c r="L776" s="1904"/>
      <c r="M776" s="1904"/>
      <c r="N776" s="1904"/>
      <c r="O776" s="1904"/>
      <c r="P776" s="1904"/>
      <c r="Q776" s="1904"/>
      <c r="R776" s="1904"/>
      <c r="S776" s="1904"/>
      <c r="T776" s="1904"/>
      <c r="U776" s="1904"/>
      <c r="V776" s="1904"/>
      <c r="W776" s="1904"/>
      <c r="X776" s="1904"/>
      <c r="Y776" s="1904"/>
      <c r="Z776" s="1904"/>
      <c r="AA776" s="1904"/>
      <c r="AB776" s="1904"/>
      <c r="AC776" s="1904"/>
      <c r="AD776" s="190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4"/>
      <c r="F777" s="1904"/>
      <c r="G777" s="1904"/>
      <c r="H777" s="1904"/>
      <c r="I777" s="1904"/>
      <c r="J777" s="1904"/>
      <c r="K777" s="1904"/>
      <c r="L777" s="1904"/>
      <c r="M777" s="1904"/>
      <c r="N777" s="1904"/>
      <c r="O777" s="1904"/>
      <c r="P777" s="1904"/>
      <c r="Q777" s="1904"/>
      <c r="R777" s="1904"/>
      <c r="S777" s="1904"/>
      <c r="T777" s="1904"/>
      <c r="U777" s="1904"/>
      <c r="V777" s="1904"/>
      <c r="W777" s="1904"/>
      <c r="X777" s="1904"/>
      <c r="Y777" s="1904"/>
      <c r="Z777" s="1904"/>
      <c r="AA777" s="1904"/>
      <c r="AB777" s="1904"/>
      <c r="AC777" s="1904"/>
      <c r="AD777" s="190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28" t="s">
        <v>600</v>
      </c>
      <c r="I779" s="1928"/>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1">
        <f>VLOOKUP($H$779,$AO$773:$AP$774,2,FALSE)</f>
        <v>0</v>
      </c>
      <c r="AK781" s="1913"/>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1">
        <f>IF(($AJ$610+$AJ$629+$AJ$641+$AJ$676+$AJ$700+$AJ$714+$AJ$726+$AJ$742+$AJ$754+$AJ$770+AJ781)&gt;10,10,($AJ$610+$AJ$629+$AJ$641+$AJ$676+$AJ$700+$AJ$714+$AJ$726+$AJ$742+$AJ$754+$AJ$770+AJ781))</f>
        <v>10</v>
      </c>
      <c r="AL783" s="1912"/>
      <c r="AM783" s="1913"/>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5" t="s">
        <v>1679</v>
      </c>
      <c r="B786" s="1976"/>
      <c r="C786" s="1976"/>
      <c r="D786" s="1976"/>
      <c r="E786" s="1976"/>
      <c r="F786" s="1976"/>
      <c r="G786" s="1976"/>
      <c r="H786" s="1976"/>
      <c r="I786" s="1976"/>
      <c r="J786" s="1976"/>
      <c r="K786" s="1976"/>
      <c r="L786" s="1976"/>
      <c r="M786" s="1976"/>
      <c r="N786" s="1976"/>
      <c r="O786" s="1976"/>
      <c r="P786" s="1976"/>
      <c r="Q786" s="1976"/>
      <c r="R786" s="1976"/>
      <c r="S786" s="1976"/>
      <c r="T786" s="1976"/>
      <c r="U786" s="1976"/>
      <c r="V786" s="1976"/>
      <c r="W786" s="1976"/>
      <c r="X786" s="1976"/>
      <c r="Y786" s="1976"/>
      <c r="Z786" s="1976"/>
      <c r="AA786" s="1976"/>
      <c r="AB786" s="1976"/>
      <c r="AC786" s="1976"/>
      <c r="AD786" s="1976"/>
      <c r="AE786" s="1976"/>
      <c r="AF786" s="1976"/>
      <c r="AG786" s="1976"/>
      <c r="AH786" s="1976"/>
      <c r="AI786" s="1976"/>
      <c r="AJ786" s="1976"/>
      <c r="AK786" s="1976"/>
      <c r="AL786" s="1976"/>
      <c r="AM786" s="1976"/>
    </row>
    <row r="787" spans="1:43">
      <c r="A787" s="1977"/>
      <c r="B787" s="1977"/>
      <c r="C787" s="1977"/>
      <c r="D787" s="1977"/>
      <c r="E787" s="1977"/>
      <c r="F787" s="1977"/>
      <c r="G787" s="1977"/>
      <c r="H787" s="1977"/>
      <c r="I787" s="1977"/>
      <c r="J787" s="1977"/>
      <c r="K787" s="1977"/>
      <c r="L787" s="1977"/>
      <c r="M787" s="1977"/>
      <c r="N787" s="1977"/>
      <c r="O787" s="1977"/>
      <c r="P787" s="1977"/>
      <c r="Q787" s="1977"/>
      <c r="R787" s="1977"/>
      <c r="S787" s="1977"/>
      <c r="T787" s="1977"/>
      <c r="U787" s="1977"/>
      <c r="V787" s="1977"/>
      <c r="W787" s="1977"/>
      <c r="X787" s="1977"/>
      <c r="Y787" s="1977"/>
      <c r="Z787" s="1977"/>
      <c r="AA787" s="1977"/>
      <c r="AB787" s="1977"/>
      <c r="AC787" s="1977"/>
      <c r="AD787" s="1977"/>
      <c r="AE787" s="1977"/>
      <c r="AF787" s="1977"/>
      <c r="AG787" s="1977"/>
      <c r="AH787" s="1977"/>
      <c r="AI787" s="1977"/>
      <c r="AJ787" s="1977"/>
      <c r="AK787" s="1977"/>
      <c r="AL787" s="1977"/>
      <c r="AM787" s="197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4"/>
      <c r="B789" s="1914"/>
      <c r="C789" s="1914"/>
      <c r="D789" s="1914"/>
      <c r="E789" s="1914"/>
      <c r="F789" s="1914"/>
      <c r="G789" s="1914"/>
      <c r="H789" s="1914"/>
      <c r="I789" s="1914"/>
      <c r="J789" s="1914"/>
      <c r="K789" s="1914"/>
      <c r="L789" s="1914"/>
      <c r="M789" s="1914"/>
      <c r="N789" s="1914"/>
      <c r="O789" s="1914"/>
      <c r="P789" s="1914"/>
      <c r="Q789" s="1914"/>
      <c r="R789" s="1914"/>
      <c r="S789" s="1914"/>
      <c r="T789" s="1914"/>
      <c r="U789" s="1914"/>
      <c r="V789" s="1914"/>
      <c r="W789" s="1914"/>
      <c r="X789" s="1914"/>
      <c r="Y789" s="1914"/>
      <c r="Z789" s="1914"/>
      <c r="AA789" s="1914"/>
      <c r="AB789" s="1914"/>
      <c r="AC789" s="1914"/>
      <c r="AD789" s="1914"/>
      <c r="AE789" s="1914"/>
      <c r="AF789" s="1914"/>
      <c r="AG789" s="1914"/>
      <c r="AH789" s="1914"/>
      <c r="AI789" s="1914"/>
      <c r="AJ789" s="1914"/>
      <c r="AK789" s="1914"/>
      <c r="AL789" s="1914"/>
      <c r="AM789" s="1914"/>
      <c r="AP789" s="850"/>
      <c r="AQ789" s="850"/>
    </row>
    <row r="790" spans="1:43">
      <c r="A790" s="1914"/>
      <c r="B790" s="1914"/>
      <c r="C790" s="1914"/>
      <c r="D790" s="1914"/>
      <c r="E790" s="1914"/>
      <c r="F790" s="1914"/>
      <c r="G790" s="1914"/>
      <c r="H790" s="1914"/>
      <c r="I790" s="1914"/>
      <c r="J790" s="1914"/>
      <c r="K790" s="1914"/>
      <c r="L790" s="1914"/>
      <c r="M790" s="1914"/>
      <c r="N790" s="1914"/>
      <c r="O790" s="1914"/>
      <c r="P790" s="1914"/>
      <c r="Q790" s="1914"/>
      <c r="R790" s="1914"/>
      <c r="S790" s="1914"/>
      <c r="T790" s="1914"/>
      <c r="U790" s="1914"/>
      <c r="V790" s="1914"/>
      <c r="W790" s="1914"/>
      <c r="X790" s="1914"/>
      <c r="Y790" s="1914"/>
      <c r="Z790" s="1914"/>
      <c r="AA790" s="1914"/>
      <c r="AB790" s="1914"/>
      <c r="AC790" s="1914"/>
      <c r="AD790" s="1914"/>
      <c r="AE790" s="1914"/>
      <c r="AF790" s="1914"/>
      <c r="AG790" s="1914"/>
      <c r="AH790" s="1914"/>
      <c r="AI790" s="1914"/>
      <c r="AJ790" s="1914"/>
      <c r="AK790" s="1914"/>
      <c r="AL790" s="1914"/>
      <c r="AM790" s="1914"/>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78" t="s">
        <v>1680</v>
      </c>
      <c r="U791" s="1979"/>
      <c r="V791" s="1979"/>
      <c r="W791" s="1979"/>
      <c r="X791" s="1979"/>
      <c r="Y791" s="1980"/>
      <c r="Z791" s="1978" t="s">
        <v>1681</v>
      </c>
      <c r="AA791" s="1979"/>
      <c r="AB791" s="1979"/>
      <c r="AC791" s="1979"/>
      <c r="AD791" s="1979"/>
      <c r="AE791" s="1980"/>
      <c r="AF791" s="1978" t="s">
        <v>1682</v>
      </c>
      <c r="AG791" s="1979"/>
      <c r="AH791" s="1979"/>
      <c r="AI791" s="1979"/>
      <c r="AJ791" s="1979"/>
      <c r="AK791" s="198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1"/>
      <c r="U792" s="1982"/>
      <c r="V792" s="1982"/>
      <c r="W792" s="1982"/>
      <c r="X792" s="1982"/>
      <c r="Y792" s="1983"/>
      <c r="Z792" s="1981"/>
      <c r="AA792" s="1982"/>
      <c r="AB792" s="1982"/>
      <c r="AC792" s="1982"/>
      <c r="AD792" s="1982"/>
      <c r="AE792" s="1983"/>
      <c r="AF792" s="1981"/>
      <c r="AG792" s="1982"/>
      <c r="AH792" s="1982"/>
      <c r="AI792" s="1982"/>
      <c r="AJ792" s="1982"/>
      <c r="AK792" s="1983"/>
      <c r="AL792" s="852"/>
      <c r="AM792" s="630"/>
      <c r="AO792" s="850"/>
      <c r="AP792" s="850"/>
      <c r="AQ792" s="850"/>
    </row>
    <row r="793" spans="1:43">
      <c r="A793" s="853" t="s">
        <v>767</v>
      </c>
      <c r="B793" s="1935" t="s">
        <v>1414</v>
      </c>
      <c r="C793" s="1935"/>
      <c r="D793" s="1935"/>
      <c r="E793" s="1935"/>
      <c r="F793" s="1935"/>
      <c r="G793" s="1935"/>
      <c r="H793" s="1935"/>
      <c r="I793" s="1935"/>
      <c r="J793" s="1935"/>
      <c r="K793" s="1935"/>
      <c r="L793" s="1935"/>
      <c r="M793" s="1935"/>
      <c r="N793" s="1935"/>
      <c r="O793" s="1935"/>
      <c r="P793" s="1935"/>
      <c r="Q793" s="1935"/>
      <c r="R793" s="1935"/>
      <c r="S793" s="1936"/>
      <c r="T793" s="1963">
        <f>AK56</f>
        <v>0</v>
      </c>
      <c r="U793" s="1939"/>
      <c r="V793" s="1939"/>
      <c r="W793" s="1939"/>
      <c r="X793" s="1939"/>
      <c r="Y793" s="1940"/>
      <c r="Z793" s="1938">
        <v>20</v>
      </c>
      <c r="AA793" s="1939"/>
      <c r="AB793" s="1939"/>
      <c r="AC793" s="1939"/>
      <c r="AD793" s="1939"/>
      <c r="AE793" s="1940"/>
      <c r="AF793" s="1924">
        <f>IF(T793&gt;Z793,Z793,T793)</f>
        <v>0</v>
      </c>
      <c r="AG793" s="1924"/>
      <c r="AH793" s="1924"/>
      <c r="AI793" s="1924"/>
      <c r="AJ793" s="1924"/>
      <c r="AK793" s="1924"/>
      <c r="AL793" s="852"/>
      <c r="AM793" s="630"/>
      <c r="AO793" s="850"/>
      <c r="AP793" s="850"/>
      <c r="AQ793" s="850"/>
    </row>
    <row r="794" spans="1:43">
      <c r="A794" s="853" t="s">
        <v>1652</v>
      </c>
      <c r="B794" s="1935" t="s">
        <v>1423</v>
      </c>
      <c r="C794" s="1935"/>
      <c r="D794" s="1935"/>
      <c r="E794" s="1935"/>
      <c r="F794" s="1935"/>
      <c r="G794" s="1935"/>
      <c r="H794" s="1935"/>
      <c r="I794" s="1935"/>
      <c r="J794" s="1935"/>
      <c r="K794" s="1935"/>
      <c r="L794" s="1935"/>
      <c r="M794" s="1935"/>
      <c r="N794" s="1935"/>
      <c r="O794" s="1935"/>
      <c r="P794" s="1935"/>
      <c r="Q794" s="1935"/>
      <c r="R794" s="1935"/>
      <c r="S794" s="1936"/>
      <c r="T794" s="1963">
        <f>AK78</f>
        <v>0</v>
      </c>
      <c r="U794" s="1939"/>
      <c r="V794" s="1939"/>
      <c r="W794" s="1939"/>
      <c r="X794" s="1939"/>
      <c r="Y794" s="1940"/>
      <c r="Z794" s="1938">
        <v>10</v>
      </c>
      <c r="AA794" s="1939"/>
      <c r="AB794" s="1939"/>
      <c r="AC794" s="1939"/>
      <c r="AD794" s="1939"/>
      <c r="AE794" s="1940"/>
      <c r="AF794" s="1924">
        <f>IF(T794&gt;Z794,Z794,T794)</f>
        <v>0</v>
      </c>
      <c r="AG794" s="1924"/>
      <c r="AH794" s="1924"/>
      <c r="AI794" s="1924"/>
      <c r="AJ794" s="1924"/>
      <c r="AK794" s="1924"/>
      <c r="AL794" s="852"/>
      <c r="AM794" s="630"/>
      <c r="AO794" s="850"/>
      <c r="AP794" s="850"/>
      <c r="AQ794" s="850"/>
    </row>
    <row r="795" spans="1:43">
      <c r="A795" s="853" t="s">
        <v>1661</v>
      </c>
      <c r="B795" s="1935" t="s">
        <v>1433</v>
      </c>
      <c r="C795" s="1935"/>
      <c r="D795" s="1935"/>
      <c r="E795" s="1935"/>
      <c r="F795" s="1935"/>
      <c r="G795" s="1935"/>
      <c r="H795" s="1935"/>
      <c r="I795" s="1935"/>
      <c r="J795" s="1935"/>
      <c r="K795" s="1935"/>
      <c r="L795" s="1935"/>
      <c r="M795" s="1935"/>
      <c r="N795" s="1935"/>
      <c r="O795" s="1935"/>
      <c r="P795" s="1935"/>
      <c r="Q795" s="1935"/>
      <c r="R795" s="1935"/>
      <c r="S795" s="1936"/>
      <c r="T795" s="1963">
        <f ca="1">AK103</f>
        <v>20</v>
      </c>
      <c r="U795" s="1939"/>
      <c r="V795" s="1939"/>
      <c r="W795" s="1939"/>
      <c r="X795" s="1939"/>
      <c r="Y795" s="1940"/>
      <c r="Z795" s="1938">
        <v>20</v>
      </c>
      <c r="AA795" s="1939"/>
      <c r="AB795" s="1939"/>
      <c r="AC795" s="1939"/>
      <c r="AD795" s="1939"/>
      <c r="AE795" s="1940"/>
      <c r="AF795" s="1924">
        <f ca="1">IF(T795&gt;Z795,Z795,T795)</f>
        <v>20</v>
      </c>
      <c r="AG795" s="1924"/>
      <c r="AH795" s="1924"/>
      <c r="AI795" s="1924"/>
      <c r="AJ795" s="1924"/>
      <c r="AK795" s="1924"/>
      <c r="AL795" s="852"/>
      <c r="AM795" s="630"/>
      <c r="AO795" s="850"/>
      <c r="AP795" s="850"/>
      <c r="AQ795" s="850"/>
    </row>
    <row r="796" spans="1:43">
      <c r="A796" s="853" t="s">
        <v>1683</v>
      </c>
      <c r="B796" s="1935" t="s">
        <v>1443</v>
      </c>
      <c r="C796" s="1935"/>
      <c r="D796" s="1935"/>
      <c r="E796" s="1935"/>
      <c r="F796" s="1935"/>
      <c r="G796" s="1935"/>
      <c r="H796" s="1935"/>
      <c r="I796" s="1935"/>
      <c r="J796" s="1935"/>
      <c r="K796" s="1935"/>
      <c r="L796" s="1935"/>
      <c r="M796" s="1935"/>
      <c r="N796" s="1935"/>
      <c r="O796" s="1935"/>
      <c r="P796" s="1935"/>
      <c r="Q796" s="1935"/>
      <c r="R796" s="1935"/>
      <c r="S796" s="1936"/>
      <c r="T796" s="1963">
        <f>AK137</f>
        <v>10</v>
      </c>
      <c r="U796" s="1939"/>
      <c r="V796" s="1939"/>
      <c r="W796" s="1939"/>
      <c r="X796" s="1939"/>
      <c r="Y796" s="1940"/>
      <c r="Z796" s="1938">
        <v>10</v>
      </c>
      <c r="AA796" s="1939"/>
      <c r="AB796" s="1939"/>
      <c r="AC796" s="1939"/>
      <c r="AD796" s="1939"/>
      <c r="AE796" s="1940"/>
      <c r="AF796" s="1924">
        <f>IF(T796&gt;Z796,Z796,T796)</f>
        <v>10</v>
      </c>
      <c r="AG796" s="1924"/>
      <c r="AH796" s="1924"/>
      <c r="AI796" s="1924"/>
      <c r="AJ796" s="1924"/>
      <c r="AK796" s="1924"/>
      <c r="AL796" s="852"/>
      <c r="AM796" s="630"/>
      <c r="AO796" s="850"/>
      <c r="AP796" s="850"/>
      <c r="AQ796" s="850"/>
    </row>
    <row r="797" spans="1:43">
      <c r="A797" s="854" t="s">
        <v>1684</v>
      </c>
      <c r="B797" s="1935" t="s">
        <v>1685</v>
      </c>
      <c r="C797" s="1935"/>
      <c r="D797" s="1935"/>
      <c r="E797" s="1935"/>
      <c r="F797" s="1935"/>
      <c r="G797" s="1935"/>
      <c r="H797" s="1935"/>
      <c r="I797" s="1935"/>
      <c r="J797" s="1935"/>
      <c r="K797" s="1935"/>
      <c r="L797" s="1935"/>
      <c r="M797" s="1935"/>
      <c r="N797" s="1935"/>
      <c r="O797" s="1935"/>
      <c r="P797" s="1935"/>
      <c r="Q797" s="1935"/>
      <c r="R797" s="1935"/>
      <c r="S797" s="1936"/>
      <c r="T797" s="1937">
        <f>SUM(T798:Y799)</f>
        <v>10</v>
      </c>
      <c r="U797" s="1937"/>
      <c r="V797" s="1937"/>
      <c r="W797" s="1937"/>
      <c r="X797" s="1937"/>
      <c r="Y797" s="1937"/>
      <c r="Z797" s="1924">
        <v>10</v>
      </c>
      <c r="AA797" s="1924"/>
      <c r="AB797" s="1924"/>
      <c r="AC797" s="1924"/>
      <c r="AD797" s="1924"/>
      <c r="AE797" s="1924"/>
      <c r="AF797" s="1924">
        <f>IF(T797&gt;Z797,Z797,T797)</f>
        <v>10</v>
      </c>
      <c r="AG797" s="1924"/>
      <c r="AH797" s="1924"/>
      <c r="AI797" s="1924"/>
      <c r="AJ797" s="1924"/>
      <c r="AK797" s="1924"/>
      <c r="AL797" s="852"/>
      <c r="AM797" s="630"/>
    </row>
    <row r="798" spans="1:43">
      <c r="A798" s="569"/>
      <c r="B798" s="635"/>
      <c r="C798" s="1941" t="s">
        <v>1686</v>
      </c>
      <c r="D798" s="1941"/>
      <c r="E798" s="1941"/>
      <c r="F798" s="1941"/>
      <c r="G798" s="1941"/>
      <c r="H798" s="1941"/>
      <c r="I798" s="1941"/>
      <c r="J798" s="1941"/>
      <c r="K798" s="1941"/>
      <c r="L798" s="1941"/>
      <c r="M798" s="1941"/>
      <c r="N798" s="1941"/>
      <c r="O798" s="1941"/>
      <c r="P798" s="1941"/>
      <c r="Q798" s="1941"/>
      <c r="R798" s="1941"/>
      <c r="S798" s="1942"/>
      <c r="T798" s="1943">
        <f>AJ155</f>
        <v>7</v>
      </c>
      <c r="U798" s="1943"/>
      <c r="V798" s="1943"/>
      <c r="W798" s="1943"/>
      <c r="X798" s="1943"/>
      <c r="Y798" s="1943"/>
      <c r="Z798" s="1944">
        <v>7</v>
      </c>
      <c r="AA798" s="1944"/>
      <c r="AB798" s="1944"/>
      <c r="AC798" s="1944"/>
      <c r="AD798" s="1944"/>
      <c r="AE798" s="1944"/>
      <c r="AF798" s="1945"/>
      <c r="AG798" s="1945"/>
      <c r="AH798" s="1945"/>
      <c r="AI798" s="1945"/>
      <c r="AJ798" s="1945"/>
      <c r="AK798" s="1945"/>
      <c r="AL798" s="852"/>
      <c r="AM798" s="630"/>
    </row>
    <row r="799" spans="1:43">
      <c r="A799" s="634"/>
      <c r="B799" s="635"/>
      <c r="C799" s="1941" t="s">
        <v>1687</v>
      </c>
      <c r="D799" s="1941"/>
      <c r="E799" s="1941"/>
      <c r="F799" s="1941"/>
      <c r="G799" s="1941"/>
      <c r="H799" s="1941"/>
      <c r="I799" s="1941"/>
      <c r="J799" s="1941"/>
      <c r="K799" s="1941"/>
      <c r="L799" s="1941"/>
      <c r="M799" s="1941"/>
      <c r="N799" s="1941"/>
      <c r="O799" s="1941"/>
      <c r="P799" s="1941"/>
      <c r="Q799" s="1941"/>
      <c r="R799" s="1941"/>
      <c r="S799" s="1942"/>
      <c r="T799" s="1943">
        <f>AJ169</f>
        <v>3</v>
      </c>
      <c r="U799" s="1943"/>
      <c r="V799" s="1943"/>
      <c r="W799" s="1943"/>
      <c r="X799" s="1943"/>
      <c r="Y799" s="1943"/>
      <c r="Z799" s="1944">
        <v>3</v>
      </c>
      <c r="AA799" s="1944"/>
      <c r="AB799" s="1944"/>
      <c r="AC799" s="1944"/>
      <c r="AD799" s="1944"/>
      <c r="AE799" s="1944"/>
      <c r="AF799" s="1945"/>
      <c r="AG799" s="1945"/>
      <c r="AH799" s="1945"/>
      <c r="AI799" s="1945"/>
      <c r="AJ799" s="1945"/>
      <c r="AK799" s="1945"/>
      <c r="AL799" s="852"/>
      <c r="AM799" s="630"/>
      <c r="AO799" s="584"/>
    </row>
    <row r="800" spans="1:43">
      <c r="A800" s="854" t="s">
        <v>1471</v>
      </c>
      <c r="B800" s="1935" t="s">
        <v>1688</v>
      </c>
      <c r="C800" s="1935"/>
      <c r="D800" s="1935"/>
      <c r="E800" s="1935"/>
      <c r="F800" s="1935"/>
      <c r="G800" s="1935"/>
      <c r="H800" s="1935"/>
      <c r="I800" s="1935"/>
      <c r="J800" s="1935"/>
      <c r="K800" s="1935"/>
      <c r="L800" s="1935"/>
      <c r="M800" s="1935"/>
      <c r="N800" s="1935"/>
      <c r="O800" s="1935"/>
      <c r="P800" s="1935"/>
      <c r="Q800" s="1935"/>
      <c r="R800" s="1935"/>
      <c r="S800" s="1936"/>
      <c r="T800" s="1937">
        <f>AK180</f>
        <v>0</v>
      </c>
      <c r="U800" s="1937"/>
      <c r="V800" s="1937"/>
      <c r="W800" s="1937"/>
      <c r="X800" s="1937"/>
      <c r="Y800" s="1937"/>
      <c r="Z800" s="1924">
        <v>10</v>
      </c>
      <c r="AA800" s="1924"/>
      <c r="AB800" s="1924"/>
      <c r="AC800" s="1924"/>
      <c r="AD800" s="1924"/>
      <c r="AE800" s="1924"/>
      <c r="AF800" s="1924">
        <f>IF(T800&gt;Z800,Z800,T800)</f>
        <v>0</v>
      </c>
      <c r="AG800" s="1924"/>
      <c r="AH800" s="1924"/>
      <c r="AI800" s="1924"/>
      <c r="AJ800" s="1924"/>
      <c r="AK800" s="1924"/>
      <c r="AL800" s="852"/>
      <c r="AM800" s="630"/>
    </row>
    <row r="801" spans="1:81">
      <c r="A801" s="853" t="s">
        <v>1480</v>
      </c>
      <c r="B801" s="1935" t="s">
        <v>1481</v>
      </c>
      <c r="C801" s="1935"/>
      <c r="D801" s="1935"/>
      <c r="E801" s="1935"/>
      <c r="F801" s="1935"/>
      <c r="G801" s="1935"/>
      <c r="H801" s="1935"/>
      <c r="I801" s="1935"/>
      <c r="J801" s="1935"/>
      <c r="K801" s="1935"/>
      <c r="L801" s="1935"/>
      <c r="M801" s="1935"/>
      <c r="N801" s="1935"/>
      <c r="O801" s="1935"/>
      <c r="P801" s="1935"/>
      <c r="Q801" s="1935"/>
      <c r="R801" s="1935"/>
      <c r="S801" s="1936"/>
      <c r="T801" s="1937">
        <f>AK262</f>
        <v>8</v>
      </c>
      <c r="U801" s="1937"/>
      <c r="V801" s="1937"/>
      <c r="W801" s="1937"/>
      <c r="X801" s="1937"/>
      <c r="Y801" s="1937"/>
      <c r="Z801" s="1938">
        <v>8</v>
      </c>
      <c r="AA801" s="1939"/>
      <c r="AB801" s="1939"/>
      <c r="AC801" s="1939"/>
      <c r="AD801" s="1939"/>
      <c r="AE801" s="1940"/>
      <c r="AF801" s="1924">
        <f>IF(T801&gt;Z801,Z801,T801)</f>
        <v>8</v>
      </c>
      <c r="AG801" s="1924"/>
      <c r="AH801" s="1924"/>
      <c r="AI801" s="1924"/>
      <c r="AJ801" s="1924"/>
      <c r="AK801" s="1924"/>
      <c r="AL801" s="852"/>
      <c r="AM801" s="630"/>
    </row>
    <row r="802" spans="1:81" s="568" customFormat="1" hidden="1">
      <c r="A802" s="854" t="s">
        <v>598</v>
      </c>
      <c r="B802" s="1935" t="s">
        <v>1689</v>
      </c>
      <c r="C802" s="1935"/>
      <c r="D802" s="1935"/>
      <c r="E802" s="1935"/>
      <c r="F802" s="1935"/>
      <c r="G802" s="1935"/>
      <c r="H802" s="1935"/>
      <c r="I802" s="1935"/>
      <c r="J802" s="1935"/>
      <c r="K802" s="1935"/>
      <c r="L802" s="1935"/>
      <c r="M802" s="1935"/>
      <c r="N802" s="1935"/>
      <c r="O802" s="1935"/>
      <c r="P802" s="1935"/>
      <c r="Q802" s="1935"/>
      <c r="R802" s="1935"/>
      <c r="S802" s="1936"/>
      <c r="T802" s="1937">
        <f>IF(AK524&gt;5,5,AK524)</f>
        <v>0</v>
      </c>
      <c r="U802" s="1937"/>
      <c r="V802" s="1937"/>
      <c r="W802" s="1937"/>
      <c r="X802" s="1937"/>
      <c r="Y802" s="1937"/>
      <c r="Z802" s="1924">
        <v>5</v>
      </c>
      <c r="AA802" s="1924"/>
      <c r="AB802" s="1924"/>
      <c r="AC802" s="1924"/>
      <c r="AD802" s="1924"/>
      <c r="AE802" s="1924"/>
      <c r="AF802" s="1924">
        <f>IF(T802&gt;Z802,5,T802)</f>
        <v>0</v>
      </c>
      <c r="AG802" s="1924"/>
      <c r="AH802" s="1924"/>
      <c r="AI802" s="1924"/>
      <c r="AJ802" s="1924"/>
      <c r="AK802" s="1924"/>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35" t="s">
        <v>1690</v>
      </c>
      <c r="C803" s="1935"/>
      <c r="D803" s="1935"/>
      <c r="E803" s="1935"/>
      <c r="F803" s="1935"/>
      <c r="G803" s="1935"/>
      <c r="H803" s="1935"/>
      <c r="I803" s="1935"/>
      <c r="J803" s="1935"/>
      <c r="K803" s="1935"/>
      <c r="L803" s="1935"/>
      <c r="M803" s="1935"/>
      <c r="N803" s="1935"/>
      <c r="O803" s="1935"/>
      <c r="P803" s="1935"/>
      <c r="Q803" s="1935"/>
      <c r="R803" s="1935"/>
      <c r="S803" s="1936"/>
      <c r="T803" s="1937">
        <f>AK274</f>
        <v>10</v>
      </c>
      <c r="U803" s="1937"/>
      <c r="V803" s="1937"/>
      <c r="W803" s="1937"/>
      <c r="X803" s="1937"/>
      <c r="Y803" s="1937"/>
      <c r="Z803" s="1924">
        <v>10</v>
      </c>
      <c r="AA803" s="1924"/>
      <c r="AB803" s="1924"/>
      <c r="AC803" s="1924"/>
      <c r="AD803" s="1924"/>
      <c r="AE803" s="1924"/>
      <c r="AF803" s="1946">
        <f>IF(T803&gt;Z803,Z803,T803)</f>
        <v>10</v>
      </c>
      <c r="AG803" s="1947"/>
      <c r="AH803" s="1947"/>
      <c r="AI803" s="1947"/>
      <c r="AJ803" s="1947"/>
      <c r="AK803" s="1948"/>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35" t="s">
        <v>1491</v>
      </c>
      <c r="C804" s="1935"/>
      <c r="D804" s="1935"/>
      <c r="E804" s="1935"/>
      <c r="F804" s="1935"/>
      <c r="G804" s="1935"/>
      <c r="H804" s="1935"/>
      <c r="I804" s="1935"/>
      <c r="J804" s="1935"/>
      <c r="K804" s="1935"/>
      <c r="L804" s="1935"/>
      <c r="M804" s="1935"/>
      <c r="N804" s="1935"/>
      <c r="O804" s="1935"/>
      <c r="P804" s="1935"/>
      <c r="Q804" s="1935"/>
      <c r="R804" s="1935"/>
      <c r="S804" s="1936"/>
      <c r="T804" s="1937">
        <f>AK327</f>
        <v>0</v>
      </c>
      <c r="U804" s="1937"/>
      <c r="V804" s="1937"/>
      <c r="W804" s="1937"/>
      <c r="X804" s="1937"/>
      <c r="Y804" s="1937"/>
      <c r="Z804" s="1946">
        <v>10</v>
      </c>
      <c r="AA804" s="1947"/>
      <c r="AB804" s="1947"/>
      <c r="AC804" s="1947"/>
      <c r="AD804" s="1947"/>
      <c r="AE804" s="1948"/>
      <c r="AF804" s="1946">
        <f>IF(T804&gt;Z804,Z804,T804)</f>
        <v>0</v>
      </c>
      <c r="AG804" s="1947"/>
      <c r="AH804" s="1947"/>
      <c r="AI804" s="1947"/>
      <c r="AJ804" s="1947"/>
      <c r="AK804" s="1948"/>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3">
        <f>AK327</f>
        <v>0</v>
      </c>
      <c r="U805" s="1943"/>
      <c r="V805" s="1943"/>
      <c r="W805" s="1943"/>
      <c r="X805" s="1943"/>
      <c r="Y805" s="1943"/>
      <c r="Z805" s="1911">
        <v>20</v>
      </c>
      <c r="AA805" s="1912"/>
      <c r="AB805" s="1912"/>
      <c r="AC805" s="1912"/>
      <c r="AD805" s="1912"/>
      <c r="AE805" s="1913"/>
      <c r="AF805" s="1945"/>
      <c r="AG805" s="1945"/>
      <c r="AH805" s="1945"/>
      <c r="AI805" s="1945"/>
      <c r="AJ805" s="1945"/>
      <c r="AK805" s="1945"/>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35" t="s">
        <v>857</v>
      </c>
      <c r="C806" s="1935"/>
      <c r="D806" s="1935"/>
      <c r="E806" s="1935"/>
      <c r="F806" s="1935"/>
      <c r="G806" s="1935"/>
      <c r="H806" s="1935"/>
      <c r="I806" s="1935"/>
      <c r="J806" s="1935"/>
      <c r="K806" s="1935"/>
      <c r="L806" s="1935"/>
      <c r="M806" s="1935"/>
      <c r="N806" s="1935"/>
      <c r="O806" s="1935"/>
      <c r="P806" s="1935"/>
      <c r="Q806" s="1935"/>
      <c r="R806" s="1935"/>
      <c r="S806" s="1936"/>
      <c r="T806" s="1937">
        <f>AK458</f>
        <v>10</v>
      </c>
      <c r="U806" s="1937"/>
      <c r="V806" s="1937"/>
      <c r="W806" s="1937"/>
      <c r="X806" s="1937"/>
      <c r="Y806" s="1937"/>
      <c r="Z806" s="1946">
        <v>10</v>
      </c>
      <c r="AA806" s="1947"/>
      <c r="AB806" s="1947"/>
      <c r="AC806" s="1947"/>
      <c r="AD806" s="1947"/>
      <c r="AE806" s="1948"/>
      <c r="AF806" s="1924">
        <f>IF(T806&gt;Z806,Z806,T806)</f>
        <v>10</v>
      </c>
      <c r="AG806" s="1924"/>
      <c r="AH806" s="1924"/>
      <c r="AI806" s="1924"/>
      <c r="AJ806" s="1924"/>
      <c r="AK806" s="1924"/>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35" t="s">
        <v>1670</v>
      </c>
      <c r="C807" s="1935"/>
      <c r="D807" s="1935"/>
      <c r="E807" s="1935"/>
      <c r="F807" s="1935"/>
      <c r="G807" s="1935"/>
      <c r="H807" s="1935"/>
      <c r="I807" s="1935"/>
      <c r="J807" s="1935"/>
      <c r="K807" s="1935"/>
      <c r="L807" s="1935"/>
      <c r="M807" s="1935"/>
      <c r="N807" s="1935"/>
      <c r="O807" s="1935"/>
      <c r="P807" s="1935"/>
      <c r="Q807" s="1935"/>
      <c r="R807" s="1935"/>
      <c r="S807" s="1936"/>
      <c r="T807" s="1937">
        <f>AK548</f>
        <v>12</v>
      </c>
      <c r="U807" s="1937"/>
      <c r="V807" s="1937"/>
      <c r="W807" s="1937"/>
      <c r="X807" s="1937"/>
      <c r="Y807" s="1937"/>
      <c r="Z807" s="1946">
        <v>12</v>
      </c>
      <c r="AA807" s="1947"/>
      <c r="AB807" s="1947"/>
      <c r="AC807" s="1947"/>
      <c r="AD807" s="1947"/>
      <c r="AE807" s="1948"/>
      <c r="AF807" s="1924">
        <f>IF(T807&gt;Z807,Z807,T807)</f>
        <v>12</v>
      </c>
      <c r="AG807" s="1924"/>
      <c r="AH807" s="1924"/>
      <c r="AI807" s="1924"/>
      <c r="AJ807" s="1924"/>
      <c r="AK807" s="1924"/>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35" t="s">
        <v>1692</v>
      </c>
      <c r="C808" s="1935"/>
      <c r="D808" s="1935"/>
      <c r="E808" s="1935"/>
      <c r="F808" s="1935"/>
      <c r="G808" s="1935"/>
      <c r="H808" s="1935"/>
      <c r="I808" s="1935"/>
      <c r="J808" s="1935"/>
      <c r="K808" s="1935"/>
      <c r="L808" s="1935"/>
      <c r="M808" s="1935"/>
      <c r="N808" s="1935"/>
      <c r="O808" s="1935"/>
      <c r="P808" s="1935"/>
      <c r="Q808" s="1935"/>
      <c r="R808" s="1935"/>
      <c r="S808" s="1936"/>
      <c r="T808" s="1937">
        <f>AK783</f>
        <v>10</v>
      </c>
      <c r="U808" s="1937"/>
      <c r="V808" s="1937"/>
      <c r="W808" s="1937"/>
      <c r="X808" s="1937"/>
      <c r="Y808" s="1937"/>
      <c r="Z808" s="1946">
        <v>10</v>
      </c>
      <c r="AA808" s="1947"/>
      <c r="AB808" s="1947"/>
      <c r="AC808" s="1947"/>
      <c r="AD808" s="1947"/>
      <c r="AE808" s="1948"/>
      <c r="AF808" s="1924">
        <f>IF(T808&gt;Z808,Z808,T808)</f>
        <v>10</v>
      </c>
      <c r="AG808" s="1924"/>
      <c r="AH808" s="1924"/>
      <c r="AI808" s="1924"/>
      <c r="AJ808" s="1924"/>
      <c r="AK808" s="1924"/>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49" t="s">
        <v>1693</v>
      </c>
      <c r="B809" s="1935"/>
      <c r="C809" s="1935"/>
      <c r="D809" s="1935"/>
      <c r="E809" s="1935"/>
      <c r="F809" s="1935"/>
      <c r="G809" s="1935"/>
      <c r="H809" s="1935"/>
      <c r="I809" s="1935"/>
      <c r="J809" s="1935"/>
      <c r="K809" s="1935"/>
      <c r="L809" s="1935"/>
      <c r="M809" s="1935"/>
      <c r="N809" s="1935"/>
      <c r="O809" s="1935"/>
      <c r="P809" s="1935"/>
      <c r="Q809" s="1935"/>
      <c r="R809" s="1935"/>
      <c r="S809" s="1936"/>
      <c r="T809" s="1950"/>
      <c r="U809" s="1950"/>
      <c r="V809" s="1950"/>
      <c r="W809" s="1950"/>
      <c r="X809" s="1950"/>
      <c r="Y809" s="1950"/>
      <c r="Z809" s="1944" t="s">
        <v>1694</v>
      </c>
      <c r="AA809" s="1944"/>
      <c r="AB809" s="1944"/>
      <c r="AC809" s="1944"/>
      <c r="AD809" s="1944"/>
      <c r="AE809" s="1944"/>
      <c r="AF809" s="1946">
        <f>IF(T809&gt;0,T809,0)</f>
        <v>0</v>
      </c>
      <c r="AG809" s="1947"/>
      <c r="AH809" s="1947"/>
      <c r="AI809" s="1947"/>
      <c r="AJ809" s="1947"/>
      <c r="AK809" s="1948"/>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1" t="s">
        <v>1695</v>
      </c>
      <c r="B810" s="1952"/>
      <c r="C810" s="1952"/>
      <c r="D810" s="1952"/>
      <c r="E810" s="1952"/>
      <c r="F810" s="1952"/>
      <c r="G810" s="1952"/>
      <c r="H810" s="1952"/>
      <c r="I810" s="1952"/>
      <c r="J810" s="1952"/>
      <c r="K810" s="1952"/>
      <c r="L810" s="1952"/>
      <c r="M810" s="1952"/>
      <c r="N810" s="1952"/>
      <c r="O810" s="1952"/>
      <c r="P810" s="1952"/>
      <c r="Q810" s="1952"/>
      <c r="R810" s="1952"/>
      <c r="S810" s="1952"/>
      <c r="T810" s="1952"/>
      <c r="U810" s="1952"/>
      <c r="V810" s="1952"/>
      <c r="W810" s="1952"/>
      <c r="X810" s="1952"/>
      <c r="Y810" s="1952"/>
      <c r="Z810" s="1952"/>
      <c r="AA810" s="1952"/>
      <c r="AB810" s="1952"/>
      <c r="AC810" s="1952"/>
      <c r="AD810" s="1952"/>
      <c r="AE810" s="1953"/>
      <c r="AF810" s="1957">
        <f ca="1">SUM(AF793:AK808)-AF809</f>
        <v>90</v>
      </c>
      <c r="AG810" s="1958"/>
      <c r="AH810" s="1958"/>
      <c r="AI810" s="1958"/>
      <c r="AJ810" s="1958"/>
      <c r="AK810" s="1959"/>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54"/>
      <c r="B811" s="1955"/>
      <c r="C811" s="1955"/>
      <c r="D811" s="1955"/>
      <c r="E811" s="1955"/>
      <c r="F811" s="1955"/>
      <c r="G811" s="1955"/>
      <c r="H811" s="1955"/>
      <c r="I811" s="1955"/>
      <c r="J811" s="1955"/>
      <c r="K811" s="1955"/>
      <c r="L811" s="1955"/>
      <c r="M811" s="1955"/>
      <c r="N811" s="1955"/>
      <c r="O811" s="1955"/>
      <c r="P811" s="1955"/>
      <c r="Q811" s="1955"/>
      <c r="R811" s="1955"/>
      <c r="S811" s="1955"/>
      <c r="T811" s="1955"/>
      <c r="U811" s="1955"/>
      <c r="V811" s="1955"/>
      <c r="W811" s="1955"/>
      <c r="X811" s="1955"/>
      <c r="Y811" s="1955"/>
      <c r="Z811" s="1955"/>
      <c r="AA811" s="1955"/>
      <c r="AB811" s="1955"/>
      <c r="AC811" s="1955"/>
      <c r="AD811" s="1955"/>
      <c r="AE811" s="1956"/>
      <c r="AF811" s="1960"/>
      <c r="AG811" s="1961"/>
      <c r="AH811" s="1961"/>
      <c r="AI811" s="1961"/>
      <c r="AJ811" s="1961"/>
      <c r="AK811" s="1962"/>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7" priority="1">
      <formula>AND(NOT($AO$684),OR($H$698="(ii)",$H$698="(iii)"))</formula>
    </cfRule>
  </conditionalFormatting>
  <conditionalFormatting sqref="Q595">
    <cfRule type="expression" dxfId="16" priority="2">
      <formula>$H$595="(iv)"</formula>
    </cfRule>
  </conditionalFormatting>
  <conditionalFormatting sqref="R595:W595">
    <cfRule type="expression" dxfId="15" priority="3">
      <formula>$H$595="(iv)"</formula>
    </cfRule>
  </conditionalFormatting>
  <conditionalFormatting sqref="T801:Y801">
    <cfRule type="expression" dxfId="14" priority="10" stopIfTrue="1">
      <formula>ISERROR(T801)</formula>
    </cfRule>
  </conditionalFormatting>
  <conditionalFormatting sqref="T806:Z808">
    <cfRule type="expression" dxfId="13" priority="4" stopIfTrue="1">
      <formula>ISERROR(T806)</formula>
    </cfRule>
  </conditionalFormatting>
  <conditionalFormatting sqref="AF793:AK796">
    <cfRule type="expression" dxfId="12" priority="6" stopIfTrue="1">
      <formula>ISERROR(AF793)</formula>
    </cfRule>
  </conditionalFormatting>
  <conditionalFormatting sqref="AF801:AK801">
    <cfRule type="expression" dxfId="11" priority="11" stopIfTrue="1">
      <formula>ISERROR(AF801)</formula>
    </cfRule>
  </conditionalFormatting>
  <conditionalFormatting sqref="AF806:AK808">
    <cfRule type="expression" dxfId="10" priority="12" stopIfTrue="1">
      <formula>ISERROR(AF806)</formula>
    </cfRule>
  </conditionalFormatting>
  <conditionalFormatting sqref="AN444:AN448 AU460 AV461:AV463 T797:AK797 T798:AF800 AG800:AK800 T802:AK804 T805:AF805 AF808:AF810 T809:AE809 AG809:AL809">
    <cfRule type="expression" dxfId="9" priority="16" stopIfTrue="1">
      <formula>ISERROR(T444)</formula>
    </cfRule>
  </conditionalFormatting>
  <conditionalFormatting sqref="AP460">
    <cfRule type="expression" dxfId="8" priority="15" stopIfTrue="1">
      <formula>ISERROR(AP460)</formula>
    </cfRule>
  </conditionalFormatting>
  <dataValidations disablePrompts="1"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54"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2131" t="s">
        <v>1335</v>
      </c>
      <c r="B1" s="2132"/>
      <c r="C1" s="2132"/>
      <c r="D1" s="2132"/>
      <c r="E1" s="2132"/>
      <c r="F1" s="2132"/>
      <c r="G1" s="2132"/>
      <c r="H1" s="2132"/>
      <c r="I1" s="2132"/>
      <c r="J1" s="2133"/>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1165000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1165000</v>
      </c>
      <c r="C8" s="392">
        <f>SUM(C4:C7)</f>
        <v>0</v>
      </c>
      <c r="D8" s="392">
        <f>SUM(D4:D7)</f>
        <v>0</v>
      </c>
      <c r="E8" s="394"/>
      <c r="F8" s="394"/>
      <c r="G8" s="394"/>
      <c r="H8" s="394"/>
      <c r="I8" s="394"/>
      <c r="J8" s="394"/>
      <c r="K8" s="390"/>
    </row>
    <row r="9" spans="1:11" s="391" customFormat="1">
      <c r="A9" s="395" t="s">
        <v>603</v>
      </c>
      <c r="B9" s="392">
        <f>'Sources and Uses Budget'!C9</f>
        <v>23835000</v>
      </c>
      <c r="C9" s="393"/>
      <c r="D9" s="393"/>
      <c r="E9" s="394"/>
      <c r="F9" s="394"/>
      <c r="G9" s="394"/>
      <c r="H9" s="392">
        <f>'Sources and Uses Budget'!T9</f>
        <v>23304401</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23835000</v>
      </c>
      <c r="C11" s="392">
        <f>SUM(C9:C10)</f>
        <v>0</v>
      </c>
      <c r="D11" s="392">
        <f>SUM(D9:D10)</f>
        <v>0</v>
      </c>
      <c r="E11" s="394"/>
      <c r="F11" s="394"/>
      <c r="G11" s="394"/>
      <c r="H11" s="392">
        <f>'Sources and Uses Budget'!T11</f>
        <v>23304401</v>
      </c>
      <c r="I11" s="392">
        <f>SUM(I9:I10)</f>
        <v>0</v>
      </c>
      <c r="J11" s="392">
        <f>SUM(J9:J10)</f>
        <v>0</v>
      </c>
      <c r="K11" s="390"/>
    </row>
    <row r="12" spans="1:11" s="391" customFormat="1">
      <c r="A12" s="396" t="s">
        <v>84</v>
      </c>
      <c r="B12" s="392">
        <f>'Sources and Uses Budget'!C12</f>
        <v>25000000</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1232250</v>
      </c>
      <c r="C17" s="393"/>
      <c r="D17" s="393"/>
      <c r="E17" s="392">
        <f>'Sources and Uses Budget'!S17</f>
        <v>1232250</v>
      </c>
      <c r="F17" s="393"/>
      <c r="G17" s="393"/>
      <c r="H17" s="392">
        <f>'Sources and Uses Budget'!T17</f>
        <v>0</v>
      </c>
      <c r="I17" s="393"/>
      <c r="J17" s="393"/>
      <c r="K17" s="390"/>
    </row>
    <row r="18" spans="1:11" s="391" customFormat="1">
      <c r="A18" s="395" t="s">
        <v>608</v>
      </c>
      <c r="B18" s="392">
        <f>'Sources and Uses Budget'!C18</f>
        <v>8733376</v>
      </c>
      <c r="C18" s="393"/>
      <c r="D18" s="393"/>
      <c r="E18" s="392">
        <f>'Sources and Uses Budget'!S18</f>
        <v>8733376</v>
      </c>
      <c r="F18" s="393"/>
      <c r="G18" s="393"/>
      <c r="H18" s="392">
        <f>'Sources and Uses Budget'!T18</f>
        <v>0</v>
      </c>
      <c r="I18" s="393"/>
      <c r="J18" s="393"/>
      <c r="K18" s="390"/>
    </row>
    <row r="19" spans="1:11" s="391" customFormat="1">
      <c r="A19" s="395" t="s">
        <v>609</v>
      </c>
      <c r="B19" s="392">
        <f>'Sources and Uses Budget'!C19</f>
        <v>597938</v>
      </c>
      <c r="C19" s="393"/>
      <c r="D19" s="393"/>
      <c r="E19" s="392">
        <f>'Sources and Uses Budget'!S19</f>
        <v>597938</v>
      </c>
      <c r="F19" s="393"/>
      <c r="G19" s="393"/>
      <c r="H19" s="392">
        <f>'Sources and Uses Budget'!T19</f>
        <v>0</v>
      </c>
      <c r="I19" s="393"/>
      <c r="J19" s="393"/>
      <c r="K19" s="390"/>
    </row>
    <row r="20" spans="1:11" s="391" customFormat="1">
      <c r="A20" s="395" t="s">
        <v>137</v>
      </c>
      <c r="B20" s="392">
        <f>'Sources and Uses Budget'!C20</f>
        <v>398774</v>
      </c>
      <c r="C20" s="393"/>
      <c r="D20" s="393"/>
      <c r="E20" s="392">
        <f>'Sources and Uses Budget'!S20</f>
        <v>398774</v>
      </c>
      <c r="F20" s="393"/>
      <c r="G20" s="393"/>
      <c r="H20" s="392">
        <f>'Sources and Uses Budget'!T20</f>
        <v>0</v>
      </c>
      <c r="I20" s="393"/>
      <c r="J20" s="393"/>
      <c r="K20" s="390"/>
    </row>
    <row r="21" spans="1:11" s="391" customFormat="1">
      <c r="A21" s="395" t="s">
        <v>138</v>
      </c>
      <c r="B21" s="392">
        <f>'Sources and Uses Budget'!C21</f>
        <v>398775</v>
      </c>
      <c r="C21" s="393"/>
      <c r="D21" s="393"/>
      <c r="E21" s="392">
        <f>'Sources and Uses Budget'!S21</f>
        <v>398774.5</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11361113</v>
      </c>
      <c r="C26" s="392">
        <f>SUM(C17:C25)</f>
        <v>0</v>
      </c>
      <c r="D26" s="392">
        <f>SUM(D17:D25)</f>
        <v>0</v>
      </c>
      <c r="E26" s="392">
        <f>'Sources and Uses Budget'!S26</f>
        <v>11361112.5</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170000</v>
      </c>
      <c r="C27" s="393"/>
      <c r="D27" s="393"/>
      <c r="E27" s="392">
        <f>'Sources and Uses Budget'!S27</f>
        <v>120000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240000</v>
      </c>
      <c r="C40" s="393"/>
      <c r="D40" s="393"/>
      <c r="E40" s="392">
        <f>'Sources and Uses Budget'!S40</f>
        <v>240000</v>
      </c>
      <c r="F40" s="393"/>
      <c r="G40" s="393"/>
      <c r="H40" s="392">
        <f>'Sources and Uses Budget'!T40</f>
        <v>0</v>
      </c>
      <c r="I40" s="393"/>
      <c r="J40" s="393"/>
      <c r="K40" s="390"/>
    </row>
    <row r="41" spans="1:11" s="391" customFormat="1">
      <c r="A41" s="395" t="s">
        <v>146</v>
      </c>
      <c r="B41" s="392">
        <f>'Sources and Uses Budget'!C41</f>
        <v>75000</v>
      </c>
      <c r="C41" s="393"/>
      <c r="D41" s="393"/>
      <c r="E41" s="392">
        <f>'Sources and Uses Budget'!S41</f>
        <v>75000</v>
      </c>
      <c r="F41" s="393"/>
      <c r="G41" s="393"/>
      <c r="H41" s="392">
        <f>'Sources and Uses Budget'!T41</f>
        <v>0</v>
      </c>
      <c r="I41" s="393"/>
      <c r="J41" s="393"/>
      <c r="K41" s="390"/>
    </row>
    <row r="42" spans="1:11" s="391" customFormat="1">
      <c r="A42" s="396" t="s">
        <v>147</v>
      </c>
      <c r="B42" s="392">
        <f>'Sources and Uses Budget'!C42</f>
        <v>315000</v>
      </c>
      <c r="C42" s="392">
        <f>SUM(C39:C41)</f>
        <v>0</v>
      </c>
      <c r="D42" s="392">
        <f>SUM(D39:D41)</f>
        <v>0</v>
      </c>
      <c r="E42" s="392">
        <f>'Sources and Uses Budget'!S42</f>
        <v>315000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0</v>
      </c>
      <c r="C43" s="393"/>
      <c r="D43" s="393"/>
      <c r="E43" s="392">
        <f>'Sources and Uses Budget'!S43</f>
        <v>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2175726</v>
      </c>
      <c r="C45" s="393"/>
      <c r="D45" s="393"/>
      <c r="E45" s="392">
        <f>'Sources and Uses Budget'!S45</f>
        <v>1140857</v>
      </c>
      <c r="F45" s="393"/>
      <c r="G45" s="393"/>
      <c r="H45" s="392">
        <f>'Sources and Uses Budget'!T45</f>
        <v>0</v>
      </c>
      <c r="I45" s="393"/>
      <c r="J45" s="393"/>
      <c r="K45" s="390"/>
    </row>
    <row r="46" spans="1:11" s="391" customFormat="1">
      <c r="A46" s="395" t="s">
        <v>151</v>
      </c>
      <c r="B46" s="392">
        <f>'Sources and Uses Budget'!C46</f>
        <v>63240</v>
      </c>
      <c r="C46" s="393"/>
      <c r="D46" s="393"/>
      <c r="E46" s="392">
        <f>'Sources and Uses Budget'!S46</f>
        <v>33160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229209</v>
      </c>
      <c r="C48" s="393"/>
      <c r="D48" s="393"/>
      <c r="E48" s="392">
        <f>'Sources and Uses Budget'!S48</f>
        <v>229209</v>
      </c>
      <c r="F48" s="393"/>
      <c r="G48" s="393"/>
      <c r="H48" s="392">
        <f>'Sources and Uses Budget'!T48</f>
        <v>0</v>
      </c>
      <c r="I48" s="393"/>
      <c r="J48" s="393"/>
      <c r="K48" s="390"/>
    </row>
    <row r="49" spans="1:11" s="391" customFormat="1">
      <c r="A49" s="304" t="s">
        <v>57</v>
      </c>
      <c r="B49" s="392">
        <f>'Sources and Uses Budget'!C49</f>
        <v>325890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200000</v>
      </c>
      <c r="C50" s="393"/>
      <c r="D50" s="393"/>
      <c r="E50" s="392">
        <f>'Sources and Uses Budget'!S50</f>
        <v>200000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62209</v>
      </c>
      <c r="C52" s="393"/>
      <c r="D52" s="393"/>
      <c r="E52" s="392">
        <f>'Sources and Uses Budget'!S52</f>
        <v>62209</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3056274</v>
      </c>
      <c r="C54" s="398">
        <f>SUM(C45:C53)</f>
        <v>0</v>
      </c>
      <c r="D54" s="398">
        <f>SUM(D45:D53)</f>
        <v>0</v>
      </c>
      <c r="E54" s="392">
        <f>'Sources and Uses Budget'!S54</f>
        <v>1665435</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238008</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150000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33197</v>
      </c>
      <c r="C60" s="393"/>
      <c r="D60" s="393"/>
      <c r="E60" s="394"/>
      <c r="F60" s="394"/>
      <c r="G60" s="394"/>
      <c r="H60" s="394"/>
      <c r="I60" s="394"/>
      <c r="J60" s="394"/>
      <c r="K60" s="390"/>
    </row>
    <row r="61" spans="1:11" s="391" customFormat="1">
      <c r="A61" s="395" t="str">
        <f>'Sources and Uses Budget'!$A61</f>
        <v>Equity Bridge Counsel</v>
      </c>
      <c r="B61" s="392">
        <f>'Sources and Uses Budget'!C61</f>
        <v>45000</v>
      </c>
      <c r="C61" s="393"/>
      <c r="D61" s="393"/>
      <c r="E61" s="394"/>
      <c r="F61" s="394"/>
      <c r="G61" s="394"/>
      <c r="H61" s="394"/>
      <c r="I61" s="394"/>
      <c r="J61" s="394"/>
      <c r="K61" s="390"/>
    </row>
    <row r="62" spans="1:11" s="391" customFormat="1" ht="13.7" customHeight="1">
      <c r="A62" s="396" t="s">
        <v>302</v>
      </c>
      <c r="B62" s="392">
        <f>'Sources and Uses Budget'!C62</f>
        <v>466205</v>
      </c>
      <c r="C62" s="392">
        <f>SUM(C56:C61)</f>
        <v>0</v>
      </c>
      <c r="D62" s="392">
        <f>SUM(D56:D61)</f>
        <v>0</v>
      </c>
      <c r="E62" s="394"/>
      <c r="F62" s="394"/>
      <c r="G62" s="394"/>
      <c r="H62" s="394"/>
      <c r="I62" s="394"/>
      <c r="J62" s="394"/>
      <c r="K62" s="390"/>
    </row>
    <row r="63" spans="1:11" s="391" customFormat="1">
      <c r="A63" s="401" t="s">
        <v>303</v>
      </c>
      <c r="B63" s="392">
        <f>'Sources and Uses Budget'!C63</f>
        <v>40368592</v>
      </c>
      <c r="C63" s="392">
        <f>SUM(C8+C11+C13+C14+C15+C26+C27+C38+C42+C43+C54+C62)</f>
        <v>0</v>
      </c>
      <c r="D63" s="392">
        <f>SUM(D8+D11+D13+D14+D15+D26+D27+D38+D42+D43+D54+D62)</f>
        <v>0</v>
      </c>
      <c r="E63" s="392">
        <f>'Sources and Uses Budget'!S63</f>
        <v>13461547.5</v>
      </c>
      <c r="F63" s="392">
        <f>SUM(F10+F13+F14+F15+F26+F27+F38+F42+F43+F54)</f>
        <v>0</v>
      </c>
      <c r="G63" s="392">
        <f>SUM(G10+G13+G14+G15+G26+G27+G38+G42+G43+G54)</f>
        <v>0</v>
      </c>
      <c r="H63" s="392">
        <f>'Sources and Uses Budget'!T63</f>
        <v>23304401</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415000</v>
      </c>
      <c r="C65" s="393"/>
      <c r="D65" s="393"/>
      <c r="E65" s="392">
        <f>'Sources and Uses Budget'!S65</f>
        <v>75000</v>
      </c>
      <c r="F65" s="393"/>
      <c r="G65" s="393"/>
      <c r="H65" s="392">
        <f>'Sources and Uses Budget'!T65</f>
        <v>25000</v>
      </c>
      <c r="I65" s="393"/>
      <c r="J65" s="393"/>
      <c r="K65" s="390"/>
    </row>
    <row r="66" spans="1:11" s="391" customFormat="1" ht="24">
      <c r="A66" s="304" t="s">
        <v>1753</v>
      </c>
      <c r="B66" s="392">
        <f>'Sources and Uses Budget'!C66</f>
        <v>316000</v>
      </c>
      <c r="C66" s="393"/>
      <c r="D66" s="393"/>
      <c r="E66" s="392">
        <f>'Sources and Uses Budget'!S66</f>
        <v>226000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Lender Inspection</v>
      </c>
      <c r="B69" s="392">
        <f>'Sources and Uses Budget'!C69</f>
        <v>18000</v>
      </c>
      <c r="C69" s="393"/>
      <c r="D69" s="393"/>
      <c r="E69" s="392">
        <f>'Sources and Uses Budget'!S69</f>
        <v>18000</v>
      </c>
      <c r="F69" s="393"/>
      <c r="G69" s="393"/>
      <c r="H69" s="392">
        <f>'Sources and Uses Budget'!T69</f>
        <v>0</v>
      </c>
      <c r="I69" s="393"/>
      <c r="J69" s="393"/>
      <c r="K69" s="390"/>
    </row>
    <row r="70" spans="1:11" s="391" customFormat="1">
      <c r="A70" s="396" t="s">
        <v>610</v>
      </c>
      <c r="B70" s="392">
        <f>'Sources and Uses Budget'!C70</f>
        <v>749000</v>
      </c>
      <c r="C70" s="392">
        <f>SUM(C64:C69)</f>
        <v>0</v>
      </c>
      <c r="D70" s="392">
        <f>SUM(D64:D69)</f>
        <v>0</v>
      </c>
      <c r="E70" s="392">
        <f>'Sources and Uses Budget'!S70</f>
        <v>319000</v>
      </c>
      <c r="F70" s="398">
        <f>SUM(F65:F69)</f>
        <v>0</v>
      </c>
      <c r="G70" s="398">
        <f>SUM(G65:G69)</f>
        <v>0</v>
      </c>
      <c r="H70" s="392">
        <f>'Sources and Uses Budget'!T70</f>
        <v>25000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31800</v>
      </c>
      <c r="C74" s="393"/>
      <c r="D74" s="393"/>
      <c r="E74" s="394"/>
      <c r="F74" s="394"/>
      <c r="G74" s="394"/>
      <c r="H74" s="394"/>
      <c r="I74" s="394"/>
      <c r="J74" s="394"/>
      <c r="K74" s="390"/>
    </row>
    <row r="75" spans="1:11" s="391" customFormat="1">
      <c r="A75" s="395" t="s">
        <v>614</v>
      </c>
      <c r="B75" s="392">
        <f>'Sources and Uses Budget'!C75</f>
        <v>566610</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598410</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1159032</v>
      </c>
      <c r="C79" s="393"/>
      <c r="D79" s="393"/>
      <c r="E79" s="392">
        <f>'Sources and Uses Budget'!S79</f>
        <v>1159032</v>
      </c>
      <c r="F79" s="393"/>
      <c r="G79" s="393"/>
      <c r="H79" s="392">
        <f>'Sources and Uses Budget'!T79</f>
        <v>0</v>
      </c>
      <c r="I79" s="393"/>
      <c r="J79" s="393"/>
      <c r="K79" s="390"/>
    </row>
    <row r="80" spans="1:11" s="391" customFormat="1">
      <c r="A80" s="395" t="s">
        <v>58</v>
      </c>
      <c r="B80" s="392">
        <f>'Sources and Uses Budget'!C80</f>
        <v>276711</v>
      </c>
      <c r="C80" s="393"/>
      <c r="D80" s="393"/>
      <c r="E80" s="392">
        <f>'Sources and Uses Budget'!S80</f>
        <v>276711</v>
      </c>
      <c r="F80" s="393"/>
      <c r="G80" s="393"/>
      <c r="H80" s="392">
        <f>'Sources and Uses Budget'!T80</f>
        <v>0</v>
      </c>
      <c r="I80" s="393"/>
      <c r="J80" s="393"/>
      <c r="K80" s="390"/>
    </row>
    <row r="81" spans="1:11" s="391" customFormat="1">
      <c r="A81" s="396" t="s">
        <v>1316</v>
      </c>
      <c r="B81" s="392">
        <f>'Sources and Uses Budget'!C81</f>
        <v>1435743</v>
      </c>
      <c r="C81" s="392">
        <f>SUM(C79:C80)</f>
        <v>0</v>
      </c>
      <c r="D81" s="392">
        <f>SUM(D79:D80)</f>
        <v>0</v>
      </c>
      <c r="E81" s="392">
        <f>'Sources and Uses Budget'!S81</f>
        <v>1435743</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102510</v>
      </c>
      <c r="C83" s="393"/>
      <c r="D83" s="393"/>
      <c r="E83" s="394"/>
      <c r="F83" s="394"/>
      <c r="G83" s="394"/>
      <c r="H83" s="394"/>
      <c r="I83" s="394"/>
      <c r="J83" s="394"/>
      <c r="K83" s="390"/>
    </row>
    <row r="84" spans="1:11" s="391" customFormat="1">
      <c r="A84" s="145" t="s">
        <v>777</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779</v>
      </c>
      <c r="B86" s="392">
        <f>'Sources and Uses Budget'!C86</f>
        <v>60000</v>
      </c>
      <c r="C86" s="393"/>
      <c r="D86" s="393"/>
      <c r="E86" s="392">
        <f>'Sources and Uses Budget'!S86</f>
        <v>60000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0</v>
      </c>
      <c r="C88" s="393"/>
      <c r="D88" s="393"/>
      <c r="E88" s="394"/>
      <c r="F88" s="394"/>
      <c r="G88" s="394"/>
      <c r="H88" s="394"/>
      <c r="I88" s="394"/>
      <c r="J88" s="394"/>
      <c r="K88" s="390"/>
    </row>
    <row r="89" spans="1:11" s="391" customFormat="1">
      <c r="A89" s="145" t="s">
        <v>782</v>
      </c>
      <c r="B89" s="392">
        <f>'Sources and Uses Budget'!C89</f>
        <v>40315</v>
      </c>
      <c r="C89" s="393"/>
      <c r="D89" s="393"/>
      <c r="E89" s="392">
        <f>'Sources and Uses Budget'!S89</f>
        <v>40315</v>
      </c>
      <c r="F89" s="393"/>
      <c r="G89" s="393"/>
      <c r="H89" s="392">
        <f>'Sources and Uses Budget'!T89</f>
        <v>0</v>
      </c>
      <c r="I89" s="393"/>
      <c r="J89" s="393"/>
      <c r="K89" s="390"/>
    </row>
    <row r="90" spans="1:11" s="391" customFormat="1">
      <c r="A90" s="145" t="s">
        <v>783</v>
      </c>
      <c r="B90" s="392">
        <f>'Sources and Uses Budget'!C90</f>
        <v>16950</v>
      </c>
      <c r="C90" s="393"/>
      <c r="D90" s="393"/>
      <c r="E90" s="392">
        <f>'Sources and Uses Budget'!S90</f>
        <v>16950</v>
      </c>
      <c r="F90" s="393"/>
      <c r="G90" s="393"/>
      <c r="H90" s="392">
        <f>'Sources and Uses Budget'!T90</f>
        <v>0</v>
      </c>
      <c r="I90" s="393"/>
      <c r="J90" s="393"/>
      <c r="K90" s="390"/>
    </row>
    <row r="91" spans="1:11" s="391" customFormat="1">
      <c r="A91" s="155" t="s">
        <v>373</v>
      </c>
      <c r="B91" s="392">
        <f>'Sources and Uses Budget'!C91</f>
        <v>50250</v>
      </c>
      <c r="C91" s="393"/>
      <c r="D91" s="393"/>
      <c r="E91" s="392">
        <f>'Sources and Uses Budget'!S91</f>
        <v>50250</v>
      </c>
      <c r="F91" s="393"/>
      <c r="G91" s="393"/>
      <c r="H91" s="392">
        <f>'Sources and Uses Budget'!T91</f>
        <v>0</v>
      </c>
      <c r="I91" s="393"/>
      <c r="J91" s="393"/>
      <c r="K91" s="390"/>
    </row>
    <row r="92" spans="1:11" s="391" customFormat="1">
      <c r="A92" s="542" t="s">
        <v>1318</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PNA</v>
      </c>
      <c r="B94" s="392">
        <f>'Sources and Uses Budget'!C94</f>
        <v>25000</v>
      </c>
      <c r="C94" s="393"/>
      <c r="D94" s="393"/>
      <c r="E94" s="392">
        <f>'Sources and Uses Budget'!S94</f>
        <v>25000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305025</v>
      </c>
      <c r="C96" s="392">
        <f>SUM(C83:C95)</f>
        <v>0</v>
      </c>
      <c r="D96" s="392">
        <f>SUM(D83:D95)</f>
        <v>0</v>
      </c>
      <c r="E96" s="392">
        <f>'Sources and Uses Budget'!S96</f>
        <v>202515</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43456770</v>
      </c>
      <c r="C97" s="392">
        <f>SUM(C63+C70+C77+C81+C96)</f>
        <v>0</v>
      </c>
      <c r="D97" s="392">
        <f>SUM(D63+D70+D77+D81+D96)</f>
        <v>0</v>
      </c>
      <c r="E97" s="392">
        <f>'Sources and Uses Budget'!S97</f>
        <v>15418805.5</v>
      </c>
      <c r="F97" s="398">
        <f>SUM(+F63+F70+F81+F96)</f>
        <v>0</v>
      </c>
      <c r="G97" s="398">
        <f>SUM(+G63+G70+G81+G96)</f>
        <v>0</v>
      </c>
      <c r="H97" s="392">
        <f>'Sources and Uses Budget'!T97</f>
        <v>23329401</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3479290</v>
      </c>
      <c r="C99" s="393"/>
      <c r="D99" s="393"/>
      <c r="E99" s="392">
        <f>'Sources and Uses Budget'!S99</f>
        <v>2312821</v>
      </c>
      <c r="F99" s="393"/>
      <c r="G99" s="393"/>
      <c r="H99" s="392">
        <f>'Sources and Uses Budget'!T99</f>
        <v>1166469</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3479290</v>
      </c>
      <c r="C104" s="392">
        <f>SUM(C99:C103)</f>
        <v>0</v>
      </c>
      <c r="D104" s="392">
        <f>SUM(D99:D103)</f>
        <v>0</v>
      </c>
      <c r="E104" s="392">
        <f>'Sources and Uses Budget'!S104</f>
        <v>2312821</v>
      </c>
      <c r="F104" s="398">
        <f>SUM(F99:F103)</f>
        <v>0</v>
      </c>
      <c r="G104" s="398">
        <f>SUM(G99:G103)</f>
        <v>0</v>
      </c>
      <c r="H104" s="392">
        <f>'Sources and Uses Budget'!T104</f>
        <v>1166469</v>
      </c>
      <c r="I104" s="398">
        <f>SUM(I99:I103)</f>
        <v>0</v>
      </c>
      <c r="J104" s="398">
        <f>SUM(J99:J103)</f>
        <v>0</v>
      </c>
      <c r="K104" s="390"/>
    </row>
    <row r="105" spans="1:11" s="391" customFormat="1">
      <c r="A105" s="396" t="s">
        <v>1055</v>
      </c>
      <c r="B105" s="392">
        <f>'Sources and Uses Budget'!C105</f>
        <v>46936060</v>
      </c>
      <c r="C105" s="398">
        <f>SUM(C97+C104)</f>
        <v>0</v>
      </c>
      <c r="D105" s="398">
        <f>SUM(D97+D104)</f>
        <v>0</v>
      </c>
      <c r="E105" s="392">
        <f>'Sources and Uses Budget'!S105</f>
        <v>17731626.5</v>
      </c>
      <c r="F105" s="398">
        <f>F97+F104</f>
        <v>0</v>
      </c>
      <c r="G105" s="398">
        <f>G97+G104</f>
        <v>0</v>
      </c>
      <c r="H105" s="392">
        <f>'Sources and Uses Budget'!T105</f>
        <v>24495870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17731626.5</v>
      </c>
      <c r="F107" s="398">
        <f>F105+F106</f>
        <v>0</v>
      </c>
      <c r="G107" s="398">
        <f>G105+G106</f>
        <v>0</v>
      </c>
      <c r="H107" s="392">
        <f>'Sources and Uses Budget'!T107</f>
        <v>24495870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2129"/>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2130"/>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7" priority="5" stopIfTrue="1" operator="notEqual">
      <formula>$C3+$D3</formula>
    </cfRule>
  </conditionalFormatting>
  <conditionalFormatting sqref="E3:E107">
    <cfRule type="cellIs" dxfId="6" priority="2" stopIfTrue="1" operator="notEqual">
      <formula>$F3+$G3</formula>
    </cfRule>
  </conditionalFormatting>
  <conditionalFormatting sqref="H3:H107">
    <cfRule type="cellIs" dxfId="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2" workbookViewId="0">
      <selection activeCell="O6" sqref="O6"/>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3" t="s">
        <v>1696</v>
      </c>
      <c r="B1" s="2143"/>
      <c r="C1" s="2143"/>
      <c r="D1" s="2143"/>
      <c r="E1" s="2143"/>
      <c r="F1" s="2143"/>
      <c r="G1" s="2143"/>
      <c r="H1" s="2143"/>
      <c r="I1" s="2143"/>
      <c r="J1" s="2143"/>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40024552</v>
      </c>
      <c r="I3" s="1145"/>
    </row>
    <row r="4" spans="1:13" s="1086" customFormat="1" ht="20.100000000000001" customHeight="1">
      <c r="B4" s="1134"/>
      <c r="D4" s="1148"/>
      <c r="F4" s="1132" t="s">
        <v>2301</v>
      </c>
      <c r="G4" s="1131" t="s">
        <v>2300</v>
      </c>
      <c r="H4" s="1133">
        <f>I16</f>
        <v>23157603.141748365</v>
      </c>
      <c r="I4" s="1135"/>
      <c r="K4" s="1090"/>
    </row>
    <row r="5" spans="1:13" s="1086" customFormat="1" ht="20.100000000000001" customHeight="1" thickBot="1">
      <c r="B5" s="1136"/>
      <c r="C5" s="1137"/>
      <c r="D5" s="1149"/>
      <c r="E5" s="1138"/>
      <c r="F5" s="1149" t="s">
        <v>2241</v>
      </c>
      <c r="G5" s="1150"/>
      <c r="H5" s="1146">
        <f>H3/H4</f>
        <v>1.7283546900345665</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4" t="s">
        <v>2239</v>
      </c>
      <c r="C8" s="2145"/>
      <c r="D8" s="2145"/>
      <c r="E8" s="2146"/>
      <c r="G8" s="2147" t="s">
        <v>2240</v>
      </c>
      <c r="H8" s="2148"/>
      <c r="I8" s="2149"/>
      <c r="K8" s="1092"/>
    </row>
    <row r="9" spans="1:13" ht="15" customHeight="1">
      <c r="A9" s="1081"/>
      <c r="B9" s="2138" t="s">
        <v>2278</v>
      </c>
      <c r="C9" s="2138"/>
      <c r="D9" s="2138"/>
      <c r="E9" s="1094">
        <f>G31</f>
        <v>6750000</v>
      </c>
      <c r="G9" s="2141" t="s">
        <v>2276</v>
      </c>
      <c r="H9" s="2141"/>
      <c r="I9" s="1095">
        <f>Application!AM554</f>
        <v>22831177</v>
      </c>
      <c r="K9" s="1096"/>
      <c r="M9" s="1097"/>
    </row>
    <row r="10" spans="1:13" ht="15" customHeight="1" thickBot="1">
      <c r="A10" s="1081"/>
      <c r="B10" s="2138" t="s">
        <v>2279</v>
      </c>
      <c r="C10" s="2138"/>
      <c r="D10" s="2138"/>
      <c r="E10" s="1095">
        <f>G40</f>
        <v>29274552.000000004</v>
      </c>
      <c r="G10" s="2141" t="s">
        <v>2242</v>
      </c>
      <c r="H10" s="2141"/>
      <c r="I10" s="1182">
        <f>'Basis &amp; Credits'!AB78</f>
        <v>0</v>
      </c>
      <c r="M10" s="1097"/>
    </row>
    <row r="11" spans="1:13" ht="15" customHeight="1">
      <c r="A11" s="1098"/>
      <c r="B11" s="2138" t="s">
        <v>2280</v>
      </c>
      <c r="C11" s="2138"/>
      <c r="D11" s="2138"/>
      <c r="E11" s="1095">
        <f>G49</f>
        <v>0</v>
      </c>
      <c r="G11" s="2141" t="s">
        <v>2291</v>
      </c>
      <c r="H11" s="2141"/>
      <c r="I11" s="1181">
        <f>I9+I10</f>
        <v>22831177</v>
      </c>
      <c r="M11" s="1097"/>
    </row>
    <row r="12" spans="1:13" ht="15" customHeight="1">
      <c r="A12" s="1084"/>
      <c r="B12" s="2138" t="s">
        <v>2281</v>
      </c>
      <c r="C12" s="2138"/>
      <c r="D12" s="2138"/>
      <c r="E12" s="1095">
        <f>G58</f>
        <v>220000</v>
      </c>
      <c r="G12" s="1183" t="s">
        <v>2316</v>
      </c>
      <c r="H12" s="1184"/>
      <c r="M12" s="1097"/>
    </row>
    <row r="13" spans="1:13" ht="15" customHeight="1">
      <c r="A13" s="1081"/>
      <c r="B13" s="2138" t="s">
        <v>2282</v>
      </c>
      <c r="C13" s="2138"/>
      <c r="D13" s="2138"/>
      <c r="E13" s="1100">
        <f>G83</f>
        <v>3780000</v>
      </c>
      <c r="G13" s="2142" t="s">
        <v>139</v>
      </c>
      <c r="H13" s="2142"/>
      <c r="I13" s="1099">
        <f>15%*(AND(G111="Yes",G113&lt;&gt;""))</f>
        <v>0</v>
      </c>
      <c r="M13" s="1097"/>
    </row>
    <row r="14" spans="1:13" ht="15" customHeight="1">
      <c r="A14" s="1081"/>
      <c r="B14" s="2138" t="s">
        <v>2283</v>
      </c>
      <c r="C14" s="2138"/>
      <c r="D14" s="2138"/>
      <c r="E14" s="1095">
        <f>IF(G96&gt;G106,G96,0)</f>
        <v>0</v>
      </c>
      <c r="G14" s="1179" t="s">
        <v>2292</v>
      </c>
      <c r="H14" s="1179"/>
      <c r="I14" s="1099">
        <f>IF(Application!AJ1031&gt;0,10%,IF(Application!AJ1035&gt;0,5%,0))</f>
        <v>0</v>
      </c>
      <c r="M14" s="1097"/>
    </row>
    <row r="15" spans="1:13" ht="15" customHeight="1" thickBot="1">
      <c r="A15" s="1081"/>
      <c r="B15" s="2139" t="s">
        <v>2302</v>
      </c>
      <c r="C15" s="2139"/>
      <c r="D15" s="2139"/>
      <c r="E15" s="1151">
        <f>IF(E14&gt;0,0,G106)</f>
        <v>0</v>
      </c>
      <c r="G15" s="2136" t="s">
        <v>2293</v>
      </c>
      <c r="H15" s="2137"/>
      <c r="I15" s="1153">
        <f>G123</f>
        <v>-1.4297385620915032E-2</v>
      </c>
      <c r="M15" s="1097"/>
    </row>
    <row r="16" spans="1:13" ht="15" customHeight="1">
      <c r="A16" s="1081"/>
      <c r="B16" s="2140" t="s">
        <v>2238</v>
      </c>
      <c r="C16" s="2140"/>
      <c r="D16" s="2140"/>
      <c r="E16" s="1152">
        <f>SUM(E9:E15)</f>
        <v>40024552</v>
      </c>
      <c r="G16" s="1180" t="s">
        <v>2277</v>
      </c>
      <c r="H16" s="1180"/>
      <c r="I16" s="1154">
        <f>I11-((I11*I13)+(I11*I14)+(I11*I15))</f>
        <v>23157603.141748365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105</v>
      </c>
      <c r="O18" s="1124" t="s">
        <v>591</v>
      </c>
      <c r="P18" s="1079">
        <f>MATCH(Application!T189,Application!BV490:BV547,0)</f>
        <v>34</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4" t="s">
        <v>2295</v>
      </c>
      <c r="D20" s="2134" t="s">
        <v>2296</v>
      </c>
      <c r="E20" s="2134" t="s">
        <v>2297</v>
      </c>
      <c r="F20" s="2134" t="s">
        <v>2298</v>
      </c>
      <c r="G20" s="2134" t="s">
        <v>2294</v>
      </c>
      <c r="H20" s="1108"/>
      <c r="I20" s="1107"/>
      <c r="L20" s="1079">
        <f>IFERROR(MIN(4,MATCH(Application!B718,UnitSizes,0)-1),"")</f>
        <v>0</v>
      </c>
      <c r="M20" s="1101">
        <f>Application!G718</f>
        <v>1</v>
      </c>
      <c r="N20" s="1109">
        <f>Application!AC718</f>
        <v>0.3</v>
      </c>
      <c r="O20" s="1109">
        <f>IF(Cdlac[[#This Row],[Quantity]]&gt;0,IF(Cdlac[[#This Row],[Federal]],30%,IF($G$36,40%,Cdlac[[#This Row],[iAMI]])),"")</f>
        <v>0.3</v>
      </c>
      <c r="P20" s="1101" cm="1">
        <f t="array" ref="P20">IF(Cdlac[[#This Row],[Quantity]]&gt;0,INDEX(TcacRents,$P$18,Cdlac[[#This Row],[Bedrooms]]+1)*Cdlac[[#This Row],[AMI]],"")</f>
        <v>619.19999999999993</v>
      </c>
      <c r="Q20" s="1101" cm="1">
        <f t="array" ref="Q20">IF(Cdlac[[#This Row],[Quantity]]&gt;0,INDEX(HudFmrs,$P$18,Cdlac[[#This Row],[Bedrooms]]+1),"")</f>
        <v>1543</v>
      </c>
      <c r="R20" s="1101">
        <f>IF(Cdlac[[#This Row],[Quantity]]&gt;0,MAX(0,Cdlac[[#This Row],[Fair Market Rent]]-Cdlac[[#This Row],[Restricted Rent]]),"")</f>
        <v>923.80000000000007</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35"/>
      <c r="D21" s="2135"/>
      <c r="E21" s="2135"/>
      <c r="F21" s="2135"/>
      <c r="G21" s="2135"/>
      <c r="H21" s="1108"/>
      <c r="I21" s="1107"/>
      <c r="L21" s="1079">
        <f>IFERROR(MIN(4,MATCH(Application!B719,UnitSizes,0)-1),"")</f>
        <v>0</v>
      </c>
      <c r="M21" s="1101">
        <f>Application!G719</f>
        <v>3</v>
      </c>
      <c r="N21" s="1109">
        <f>Application!AC719</f>
        <v>0.5</v>
      </c>
      <c r="O21" s="1109">
        <f>IF(Cdlac[[#This Row],[Quantity]]&gt;0,IF(Cdlac[[#This Row],[Federal]],30%,IF($G$36,40%,Cdlac[[#This Row],[iAMI]])),"")</f>
        <v>0.3</v>
      </c>
      <c r="P21" s="1101" cm="1">
        <f t="array" ref="P21">IF(Cdlac[[#This Row],[Quantity]]&gt;0,INDEX(TcacRents,$P$18,Cdlac[[#This Row],[Bedrooms]]+1)*Cdlac[[#This Row],[AMI]],"")</f>
        <v>619.19999999999993</v>
      </c>
      <c r="Q21" s="1101" cm="1">
        <f t="array" ref="Q21">IF(Cdlac[[#This Row],[Quantity]]&gt;0,INDEX(HudFmrs,$P$18,Cdlac[[#This Row],[Bedrooms]]+1),"")</f>
        <v>1543</v>
      </c>
      <c r="R21" s="1101">
        <f>IF(Cdlac[[#This Row],[Quantity]]&gt;0,MAX(0,Cdlac[[#This Row],[Fair Market Rent]]-Cdlac[[#This Row],[Restricted Rent]]),"")</f>
        <v>923.80000000000007</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10</v>
      </c>
      <c r="F22" s="1110">
        <f>E22</f>
        <v>10</v>
      </c>
      <c r="G22" s="1110">
        <f>D22*F22</f>
        <v>9</v>
      </c>
      <c r="L22" s="1079">
        <f>IFERROR(MIN(4,MATCH(Application!B720,UnitSizes,0)-1),"")</f>
        <v>0</v>
      </c>
      <c r="M22" s="1101">
        <f>Application!G720</f>
        <v>6</v>
      </c>
      <c r="N22" s="1109">
        <f>Application!AC720</f>
        <v>0.6</v>
      </c>
      <c r="O22" s="1109">
        <f>IF(Cdlac[[#This Row],[Quantity]]&gt;0,IF(Cdlac[[#This Row],[Federal]],30%,IF($G$36,40%,Cdlac[[#This Row],[iAMI]])),"")</f>
        <v>0.3</v>
      </c>
      <c r="P22" s="1101" cm="1">
        <f t="array" ref="P22">IF(Cdlac[[#This Row],[Quantity]]&gt;0,INDEX(TcacRents,$P$18,Cdlac[[#This Row],[Bedrooms]]+1)*Cdlac[[#This Row],[AMI]],"")</f>
        <v>619.19999999999993</v>
      </c>
      <c r="Q22" s="1101" cm="1">
        <f t="array" ref="Q22">IF(Cdlac[[#This Row],[Quantity]]&gt;0,INDEX(HudFmrs,$P$18,Cdlac[[#This Row],[Bedrooms]]+1),"")</f>
        <v>1543</v>
      </c>
      <c r="R22" s="1101">
        <f>IF(Cdlac[[#This Row],[Quantity]]&gt;0,MAX(0,Cdlac[[#This Row],[Fair Market Rent]]-Cdlac[[#This Row],[Restricted Rent]]),"")</f>
        <v>923.80000000000007</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18</v>
      </c>
      <c r="F23" s="1110">
        <f>E23</f>
        <v>18</v>
      </c>
      <c r="G23" s="1110">
        <f>D23*F23</f>
        <v>18</v>
      </c>
      <c r="L23" s="1079">
        <f>IFERROR(MIN(4,MATCH(Application!B721,UnitSizes,0)-1),"")</f>
        <v>1</v>
      </c>
      <c r="M23" s="1101">
        <f>Application!G721</f>
        <v>3</v>
      </c>
      <c r="N23" s="1109">
        <f>Application!AC721</f>
        <v>0.3</v>
      </c>
      <c r="O23" s="1109">
        <f>IF(Cdlac[[#This Row],[Quantity]]&gt;0,IF(Cdlac[[#This Row],[Federal]],30%,IF($G$36,40%,Cdlac[[#This Row],[iAMI]])),"")</f>
        <v>0.3</v>
      </c>
      <c r="P23" s="1101" cm="1">
        <f t="array" ref="P23">IF(Cdlac[[#This Row],[Quantity]]&gt;0,INDEX(TcacRents,$P$18,Cdlac[[#This Row],[Bedrooms]]+1)*Cdlac[[#This Row],[AMI]],"")</f>
        <v>663</v>
      </c>
      <c r="Q23" s="1101" cm="1">
        <f t="array" ref="Q23">IF(Cdlac[[#This Row],[Quantity]]&gt;0,INDEX(HudFmrs,$P$18,Cdlac[[#This Row],[Bedrooms]]+1),"")</f>
        <v>1666</v>
      </c>
      <c r="R23" s="1101">
        <f>IF(Cdlac[[#This Row],[Quantity]]&gt;0,MAX(0,Cdlac[[#This Row],[Fair Market Rent]]-Cdlac[[#This Row],[Restricted Rent]]),"")</f>
        <v>1003</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27</v>
      </c>
      <c r="F24" s="1113">
        <f>SUM(E24:E26)-SUM(F25:F26)</f>
        <v>38</v>
      </c>
      <c r="G24" s="1110">
        <f>D24*F24</f>
        <v>47.5</v>
      </c>
      <c r="H24" s="1112"/>
      <c r="I24" s="1112"/>
      <c r="L24" s="1079">
        <f>IFERROR(MIN(4,MATCH(Application!B722,UnitSizes,0)-1),"")</f>
        <v>1</v>
      </c>
      <c r="M24" s="1101">
        <f>Application!G722</f>
        <v>2</v>
      </c>
      <c r="N24" s="1109">
        <f>Application!AC722</f>
        <v>0.5</v>
      </c>
      <c r="O24" s="1109">
        <f>IF(Cdlac[[#This Row],[Quantity]]&gt;0,IF(Cdlac[[#This Row],[Federal]],30%,IF($G$36,40%,Cdlac[[#This Row],[iAMI]])),"")</f>
        <v>0.3</v>
      </c>
      <c r="P24" s="1101" cm="1">
        <f t="array" ref="P24">IF(Cdlac[[#This Row],[Quantity]]&gt;0,INDEX(TcacRents,$P$18,Cdlac[[#This Row],[Bedrooms]]+1)*Cdlac[[#This Row],[AMI]],"")</f>
        <v>663</v>
      </c>
      <c r="Q24" s="1101" cm="1">
        <f t="array" ref="Q24">IF(Cdlac[[#This Row],[Quantity]]&gt;0,INDEX(HudFmrs,$P$18,Cdlac[[#This Row],[Bedrooms]]+1),"")</f>
        <v>1666</v>
      </c>
      <c r="R24" s="1101">
        <f>IF(Cdlac[[#This Row],[Quantity]]&gt;0,MAX(0,Cdlac[[#This Row],[Fair Market Rent]]-Cdlac[[#This Row],[Restricted Rent]]),"")</f>
        <v>1003</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42</v>
      </c>
      <c r="F25" s="1113">
        <f>MIN(E25,ROUNDDOWN(E27*30%,0))</f>
        <v>31</v>
      </c>
      <c r="G25" s="1110">
        <f>D25*F25</f>
        <v>46.5</v>
      </c>
      <c r="H25" s="1112"/>
      <c r="I25" s="1112"/>
      <c r="L25" s="1079">
        <f>IFERROR(MIN(4,MATCH(Application!B723,UnitSizes,0)-1),"")</f>
        <v>1</v>
      </c>
      <c r="M25" s="1101">
        <f>Application!G723</f>
        <v>13</v>
      </c>
      <c r="N25" s="1109">
        <f>Application!AC723</f>
        <v>0.6</v>
      </c>
      <c r="O25" s="1109">
        <f>IF(Cdlac[[#This Row],[Quantity]]&gt;0,IF(Cdlac[[#This Row],[Federal]],30%,IF($G$36,40%,Cdlac[[#This Row],[iAMI]])),"")</f>
        <v>0.3</v>
      </c>
      <c r="P25" s="1101" cm="1">
        <f t="array" ref="P25">IF(Cdlac[[#This Row],[Quantity]]&gt;0,INDEX(TcacRents,$P$18,Cdlac[[#This Row],[Bedrooms]]+1)*Cdlac[[#This Row],[AMI]],"")</f>
        <v>663</v>
      </c>
      <c r="Q25" s="1101" cm="1">
        <f t="array" ref="Q25">IF(Cdlac[[#This Row],[Quantity]]&gt;0,INDEX(HudFmrs,$P$18,Cdlac[[#This Row],[Bedrooms]]+1),"")</f>
        <v>1666</v>
      </c>
      <c r="R25" s="1101">
        <f>IF(Cdlac[[#This Row],[Quantity]]&gt;0,MAX(0,Cdlac[[#This Row],[Fair Market Rent]]-Cdlac[[#This Row],[Restricted Rent]]),"")</f>
        <v>1003</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8</v>
      </c>
      <c r="F26" s="1126">
        <f>MIN(E26,ROUNDDOWN(E27*10%,0))</f>
        <v>8</v>
      </c>
      <c r="G26" s="1128">
        <f>D26*F26</f>
        <v>14</v>
      </c>
      <c r="H26" s="1112"/>
      <c r="I26" s="1112"/>
      <c r="L26" s="1079">
        <f>IFERROR(MIN(4,MATCH(Application!B724,UnitSizes,0)-1),"")</f>
        <v>2</v>
      </c>
      <c r="M26" s="1101">
        <f>Application!G724</f>
        <v>3</v>
      </c>
      <c r="N26" s="1109">
        <f>Application!AC724</f>
        <v>0.3</v>
      </c>
      <c r="O26" s="1109">
        <f>IF(Cdlac[[#This Row],[Quantity]]&gt;0,IF(Cdlac[[#This Row],[Federal]],30%,IF($G$36,40%,Cdlac[[#This Row],[iAMI]])),"")</f>
        <v>0.3</v>
      </c>
      <c r="P26" s="1101" cm="1">
        <f t="array" ref="P26">IF(Cdlac[[#This Row],[Quantity]]&gt;0,INDEX(TcacRents,$P$18,Cdlac[[#This Row],[Bedrooms]]+1)*Cdlac[[#This Row],[AMI]],"")</f>
        <v>795.6</v>
      </c>
      <c r="Q26" s="1101" cm="1">
        <f t="array" ref="Q26">IF(Cdlac[[#This Row],[Quantity]]&gt;0,INDEX(HudFmrs,$P$18,Cdlac[[#This Row],[Bedrooms]]+1),"")</f>
        <v>2072</v>
      </c>
      <c r="R26" s="1101">
        <f>IF(Cdlac[[#This Row],[Quantity]]&gt;0,MAX(0,Cdlac[[#This Row],[Fair Market Rent]]-Cdlac[[#This Row],[Restricted Rent]]),"")</f>
        <v>1276.4000000000001</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50" t="s">
        <v>1697</v>
      </c>
      <c r="D27" s="2151"/>
      <c r="E27" s="1129">
        <f>SUM(E22:E26)</f>
        <v>105</v>
      </c>
      <c r="F27" s="1129">
        <f>SUM(F22:F26)</f>
        <v>105</v>
      </c>
      <c r="G27" s="1130">
        <f>SUMPRODUCT(D22:D26,F22:F26)</f>
        <v>135</v>
      </c>
      <c r="H27" s="1112"/>
      <c r="I27" s="1112"/>
      <c r="L27" s="1079">
        <f>IFERROR(MIN(4,MATCH(Application!B725,UnitSizes,0)-1),"")</f>
        <v>2</v>
      </c>
      <c r="M27" s="1101">
        <f>Application!G725</f>
        <v>3</v>
      </c>
      <c r="N27" s="1109">
        <f>Application!AC725</f>
        <v>0.5</v>
      </c>
      <c r="O27" s="1109">
        <f>IF(Cdlac[[#This Row],[Quantity]]&gt;0,IF(Cdlac[[#This Row],[Federal]],30%,IF($G$36,40%,Cdlac[[#This Row],[iAMI]])),"")</f>
        <v>0.3</v>
      </c>
      <c r="P27" s="1101" cm="1">
        <f t="array" ref="P27">IF(Cdlac[[#This Row],[Quantity]]&gt;0,INDEX(TcacRents,$P$18,Cdlac[[#This Row],[Bedrooms]]+1)*Cdlac[[#This Row],[AMI]],"")</f>
        <v>795.6</v>
      </c>
      <c r="Q27" s="1101" cm="1">
        <f t="array" ref="Q27">IF(Cdlac[[#This Row],[Quantity]]&gt;0,INDEX(HudFmrs,$P$18,Cdlac[[#This Row],[Bedrooms]]+1),"")</f>
        <v>2072</v>
      </c>
      <c r="R27" s="1101">
        <f>IF(Cdlac[[#This Row],[Quantity]]&gt;0,MAX(0,Cdlac[[#This Row],[Fair Market Rent]]-Cdlac[[#This Row],[Restricted Rent]]),"")</f>
        <v>1276.4000000000001</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2</v>
      </c>
      <c r="M28" s="1101">
        <f>Application!G726</f>
        <v>21</v>
      </c>
      <c r="N28" s="1109">
        <f>Application!AC726</f>
        <v>0.6</v>
      </c>
      <c r="O28" s="1109">
        <f>IF(Cdlac[[#This Row],[Quantity]]&gt;0,IF(Cdlac[[#This Row],[Federal]],30%,IF($G$36,40%,Cdlac[[#This Row],[iAMI]])),"")</f>
        <v>0.3</v>
      </c>
      <c r="P28" s="1101" cm="1">
        <f t="array" ref="P28">IF(Cdlac[[#This Row],[Quantity]]&gt;0,INDEX(TcacRents,$P$18,Cdlac[[#This Row],[Bedrooms]]+1)*Cdlac[[#This Row],[AMI]],"")</f>
        <v>795.6</v>
      </c>
      <c r="Q28" s="1101" cm="1">
        <f t="array" ref="Q28">IF(Cdlac[[#This Row],[Quantity]]&gt;0,INDEX(HudFmrs,$P$18,Cdlac[[#This Row],[Bedrooms]]+1),"")</f>
        <v>2072</v>
      </c>
      <c r="R28" s="1101">
        <f>IF(Cdlac[[#This Row],[Quantity]]&gt;0,MAX(0,Cdlac[[#This Row],[Fair Market Rent]]-Cdlac[[#This Row],[Restricted Rent]]),"")</f>
        <v>1276.4000000000001</v>
      </c>
      <c r="S28" s="1079">
        <f>IF(Cdlac[[#This Row],[Quantity]]&gt;0,AND(Application!AK726&lt;&gt;"N/A",Application!AK726&lt;&gt;"")*Cdlac[[#This Row],[Quantity]],"")</f>
        <v>0</v>
      </c>
      <c r="T28" s="1079" t="b">
        <f>AND('Subsidy Contract Calculation'!F12&gt;0,'Subsidy Contract Calculation'!C12="Federal",Cdlac[[#This Row],[Quantity]]&gt;0)</f>
        <v>1</v>
      </c>
    </row>
    <row r="29" spans="1:20" ht="15" customHeight="1">
      <c r="A29" s="1112"/>
      <c r="E29" s="1159" t="s">
        <v>2294</v>
      </c>
      <c r="G29" s="1156">
        <f>G27</f>
        <v>135</v>
      </c>
      <c r="H29" s="1112"/>
      <c r="I29" s="1112"/>
      <c r="L29" s="1079">
        <f>IFERROR(MIN(4,MATCH(Application!B727,UnitSizes,0)-1),"")</f>
        <v>3</v>
      </c>
      <c r="M29" s="1101">
        <f>Application!G727</f>
        <v>3</v>
      </c>
      <c r="N29" s="1109">
        <f>Application!AC727</f>
        <v>0.3</v>
      </c>
      <c r="O29" s="1109">
        <f>IF(Cdlac[[#This Row],[Quantity]]&gt;0,IF(Cdlac[[#This Row],[Federal]],30%,IF($G$36,40%,Cdlac[[#This Row],[iAMI]])),"")</f>
        <v>0.3</v>
      </c>
      <c r="P29" s="1101" cm="1">
        <f t="array" ref="P29">IF(Cdlac[[#This Row],[Quantity]]&gt;0,INDEX(TcacRents,$P$18,Cdlac[[#This Row],[Bedrooms]]+1)*Cdlac[[#This Row],[AMI]],"")</f>
        <v>919.19999999999993</v>
      </c>
      <c r="Q29" s="1101" cm="1">
        <f t="array" ref="Q29">IF(Cdlac[[#This Row],[Quantity]]&gt;0,INDEX(HudFmrs,$P$18,Cdlac[[#This Row],[Bedrooms]]+1),"")</f>
        <v>2884</v>
      </c>
      <c r="R29" s="1101">
        <f>IF(Cdlac[[#This Row],[Quantity]]&gt;0,MAX(0,Cdlac[[#This Row],[Fair Market Rent]]-Cdlac[[#This Row],[Restricted Rent]]),"")</f>
        <v>1964.8000000000002</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2246</v>
      </c>
      <c r="F30" s="1155" t="s">
        <v>2303</v>
      </c>
      <c r="G30" s="1157">
        <v>50000</v>
      </c>
      <c r="H30" s="1112"/>
      <c r="I30" s="1112"/>
      <c r="L30" s="1079">
        <f>IFERROR(MIN(4,MATCH(Application!B728,UnitSizes,0)-1),"")</f>
        <v>3</v>
      </c>
      <c r="M30" s="1101">
        <f>Application!G728</f>
        <v>2</v>
      </c>
      <c r="N30" s="1109">
        <f>Application!AC728</f>
        <v>0.5</v>
      </c>
      <c r="O30" s="1109">
        <f>IF(Cdlac[[#This Row],[Quantity]]&gt;0,IF(Cdlac[[#This Row],[Federal]],30%,IF($G$36,40%,Cdlac[[#This Row],[iAMI]])),"")</f>
        <v>0.3</v>
      </c>
      <c r="P30" s="1101" cm="1">
        <f t="array" ref="P30">IF(Cdlac[[#This Row],[Quantity]]&gt;0,INDEX(TcacRents,$P$18,Cdlac[[#This Row],[Bedrooms]]+1)*Cdlac[[#This Row],[AMI]],"")</f>
        <v>919.19999999999993</v>
      </c>
      <c r="Q30" s="1101" cm="1">
        <f t="array" ref="Q30">IF(Cdlac[[#This Row],[Quantity]]&gt;0,INDEX(HudFmrs,$P$18,Cdlac[[#This Row],[Bedrooms]]+1),"")</f>
        <v>2884</v>
      </c>
      <c r="R30" s="1101">
        <f>IF(Cdlac[[#This Row],[Quantity]]&gt;0,MAX(0,Cdlac[[#This Row],[Fair Market Rent]]-Cdlac[[#This Row],[Restricted Rent]]),"")</f>
        <v>1964.8000000000002</v>
      </c>
      <c r="S30" s="1079">
        <f>IF(Cdlac[[#This Row],[Quantity]]&gt;0,AND(Application!AK728&lt;&gt;"N/A",Application!AK728&lt;&gt;"")*Cdlac[[#This Row],[Quantity]],"")</f>
        <v>0</v>
      </c>
      <c r="T30" s="1079" t="b">
        <f>AND('Subsidy Contract Calculation'!F14&gt;0,'Subsidy Contract Calculation'!C14="Federal",Cdlac[[#This Row],[Quantity]]&gt;0)</f>
        <v>1</v>
      </c>
    </row>
    <row r="31" spans="1:20" ht="15" customHeight="1">
      <c r="A31" s="1112"/>
      <c r="E31" s="1160" t="s">
        <v>2287</v>
      </c>
      <c r="F31" s="1081"/>
      <c r="G31" s="1161">
        <f>G30*G29</f>
        <v>6750000</v>
      </c>
      <c r="H31" s="1112"/>
      <c r="I31" s="1112"/>
      <c r="L31" s="1079">
        <f>IFERROR(MIN(4,MATCH(Application!B729,UnitSizes,0)-1),"")</f>
        <v>3</v>
      </c>
      <c r="M31" s="1101">
        <f>Application!G729</f>
        <v>37</v>
      </c>
      <c r="N31" s="1109">
        <f>Application!AC729</f>
        <v>0.6</v>
      </c>
      <c r="O31" s="1109">
        <f>IF(Cdlac[[#This Row],[Quantity]]&gt;0,IF(Cdlac[[#This Row],[Federal]],30%,IF($G$36,40%,Cdlac[[#This Row],[iAMI]])),"")</f>
        <v>0.3</v>
      </c>
      <c r="P31" s="1101" cm="1">
        <f t="array" ref="P31">IF(Cdlac[[#This Row],[Quantity]]&gt;0,INDEX(TcacRents,$P$18,Cdlac[[#This Row],[Bedrooms]]+1)*Cdlac[[#This Row],[AMI]],"")</f>
        <v>919.19999999999993</v>
      </c>
      <c r="Q31" s="1101" cm="1">
        <f t="array" ref="Q31">IF(Cdlac[[#This Row],[Quantity]]&gt;0,INDEX(HudFmrs,$P$18,Cdlac[[#This Row],[Bedrooms]]+1),"")</f>
        <v>2884</v>
      </c>
      <c r="R31" s="1101">
        <f>IF(Cdlac[[#This Row],[Quantity]]&gt;0,MAX(0,Cdlac[[#This Row],[Fair Market Rent]]-Cdlac[[#This Row],[Restricted Rent]]),"")</f>
        <v>1964.8000000000002</v>
      </c>
      <c r="S31" s="1079">
        <f>IF(Cdlac[[#This Row],[Quantity]]&gt;0,AND(Application!AK729&lt;&gt;"N/A",Application!AK729&lt;&gt;"")*Cdlac[[#This Row],[Quantity]],"")</f>
        <v>0</v>
      </c>
      <c r="T31" s="1079" t="b">
        <f>AND('Subsidy Contract Calculation'!F15&gt;0,'Subsidy Contract Calculation'!C15="Federal",Cdlac[[#This Row],[Quantity]]&gt;0)</f>
        <v>1</v>
      </c>
    </row>
    <row r="32" spans="1:20" ht="15" customHeight="1">
      <c r="A32" s="1112"/>
      <c r="B32" s="1112"/>
      <c r="C32" s="1112"/>
      <c r="D32" s="1112"/>
      <c r="E32" s="1112"/>
      <c r="F32" s="1112"/>
      <c r="G32" s="1112"/>
      <c r="H32" s="1112"/>
      <c r="I32" s="1112"/>
      <c r="L32" s="1079">
        <f>IFERROR(MIN(4,MATCH(Application!B730,UnitSizes,0)-1),"")</f>
        <v>4</v>
      </c>
      <c r="M32" s="1101">
        <f>Application!G730</f>
        <v>1</v>
      </c>
      <c r="N32" s="1109">
        <f>Application!AC730</f>
        <v>0.3</v>
      </c>
      <c r="O32" s="1109">
        <f>IF(Cdlac[[#This Row],[Quantity]]&gt;0,IF(Cdlac[[#This Row],[Federal]],30%,IF($G$36,40%,Cdlac[[#This Row],[iAMI]])),"")</f>
        <v>0.3</v>
      </c>
      <c r="P32" s="1101" cm="1">
        <f t="array" ref="P32">IF(Cdlac[[#This Row],[Quantity]]&gt;0,INDEX(TcacRents,$P$18,Cdlac[[#This Row],[Bedrooms]]+1)*Cdlac[[#This Row],[AMI]],"")</f>
        <v>1026</v>
      </c>
      <c r="Q32" s="1101" cm="1">
        <f t="array" ref="Q32">IF(Cdlac[[#This Row],[Quantity]]&gt;0,INDEX(HudFmrs,$P$18,Cdlac[[#This Row],[Bedrooms]]+1),"")</f>
        <v>3321</v>
      </c>
      <c r="R32" s="1101">
        <f>IF(Cdlac[[#This Row],[Quantity]]&gt;0,MAX(0,Cdlac[[#This Row],[Fair Market Rent]]-Cdlac[[#This Row],[Restricted Rent]]),"")</f>
        <v>2295</v>
      </c>
      <c r="S32" s="1079">
        <f>IF(Cdlac[[#This Row],[Quantity]]&gt;0,AND(Application!AK730&lt;&gt;"N/A",Application!AK730&lt;&gt;"")*Cdlac[[#This Row],[Quantity]],"")</f>
        <v>0</v>
      </c>
      <c r="T32" s="1079" t="b">
        <f>AND('Subsidy Contract Calculation'!F16&gt;0,'Subsidy Contract Calculation'!C16="Federal",Cdlac[[#This Row],[Quantity]]&gt;0)</f>
        <v>1</v>
      </c>
    </row>
    <row r="33" spans="2:20" ht="15" customHeight="1">
      <c r="B33" s="1104" t="str">
        <f>B10</f>
        <v>B. Rent Savings Benefit</v>
      </c>
      <c r="C33" s="1105"/>
      <c r="D33" s="1105"/>
      <c r="E33" s="1105"/>
      <c r="F33" s="1105"/>
      <c r="G33" s="1105"/>
      <c r="H33" s="1105"/>
      <c r="I33" s="1106"/>
      <c r="L33" s="1079">
        <f>IFERROR(MIN(4,MATCH(Application!B731,UnitSizes,0)-1),"")</f>
        <v>4</v>
      </c>
      <c r="M33" s="1101">
        <f>Application!G731</f>
        <v>7</v>
      </c>
      <c r="N33" s="1109">
        <f>Application!AC731</f>
        <v>0.6</v>
      </c>
      <c r="O33" s="1109">
        <f>IF(Cdlac[[#This Row],[Quantity]]&gt;0,IF(Cdlac[[#This Row],[Federal]],30%,IF($G$36,40%,Cdlac[[#This Row],[iAMI]])),"")</f>
        <v>0.3</v>
      </c>
      <c r="P33" s="1101" cm="1">
        <f t="array" ref="P33">IF(Cdlac[[#This Row],[Quantity]]&gt;0,INDEX(TcacRents,$P$18,Cdlac[[#This Row],[Bedrooms]]+1)*Cdlac[[#This Row],[AMI]],"")</f>
        <v>1026</v>
      </c>
      <c r="Q33" s="1101" cm="1">
        <f t="array" ref="Q33">IF(Cdlac[[#This Row],[Quantity]]&gt;0,INDEX(HudFmrs,$P$18,Cdlac[[#This Row],[Bedrooms]]+1),"")</f>
        <v>3321</v>
      </c>
      <c r="R33" s="1101">
        <f>IF(Cdlac[[#This Row],[Quantity]]&gt;0,MAX(0,Cdlac[[#This Row],[Fair Market Rent]]-Cdlac[[#This Row],[Restricted Rent]]),"")</f>
        <v>2295</v>
      </c>
      <c r="S33" s="1079">
        <f>IF(Cdlac[[#This Row],[Quantity]]&gt;0,AND(Application!AK731&lt;&gt;"N/A",Application!AK731&lt;&gt;"")*Cdlac[[#This Row],[Quantity]],"")</f>
        <v>0</v>
      </c>
      <c r="T33" s="1079" t="b">
        <f>AND('Subsidy Contract Calculation'!F17&gt;0,'Subsidy Contract Calculation'!C17="Federal",Cdlac[[#This Row],[Quantity]]&gt;0)</f>
        <v>1</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162636.40000000002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29274552.000000004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52</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11</v>
      </c>
    </row>
    <row r="54" spans="2:14" ht="15" customHeight="1">
      <c r="E54" s="1159" t="s">
        <v>2305</v>
      </c>
      <c r="G54" s="1117">
        <f>ROUNDDOWN(E27*50%,0)</f>
        <v>52</v>
      </c>
    </row>
    <row r="55" spans="2:14" ht="15" customHeight="1">
      <c r="E55" s="1159"/>
      <c r="G55" s="1117"/>
    </row>
    <row r="56" spans="2:14" ht="15" customHeight="1">
      <c r="E56" s="1159" t="s">
        <v>2256</v>
      </c>
      <c r="G56" s="1156">
        <f>MIN(G53:G54)</f>
        <v>11</v>
      </c>
    </row>
    <row r="57" spans="2:14" ht="15" customHeight="1">
      <c r="E57" s="1159" t="s">
        <v>2246</v>
      </c>
      <c r="F57" s="1155" t="s">
        <v>2303</v>
      </c>
      <c r="G57" s="1166">
        <v>20000</v>
      </c>
    </row>
    <row r="58" spans="2:14" ht="15" customHeight="1">
      <c r="E58" s="1160" t="s">
        <v>2285</v>
      </c>
      <c r="F58" s="1081"/>
      <c r="G58" s="1165">
        <f>G56*G57</f>
        <v>220000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6</v>
      </c>
      <c r="L62" s="1169" t="str">
        <f>'Points System'!H627</f>
        <v>(ii)</v>
      </c>
      <c r="M62" s="2152" t="s">
        <v>1515</v>
      </c>
      <c r="N62" s="2153"/>
    </row>
    <row r="63" spans="2:14" ht="15" customHeight="1">
      <c r="E63" s="1124" t="s">
        <v>2246</v>
      </c>
      <c r="F63" s="1155" t="s">
        <v>2303</v>
      </c>
      <c r="G63" s="1114">
        <v>4000</v>
      </c>
      <c r="L63" s="1170" t="str">
        <f>'Points System'!H639</f>
        <v>(ii)</v>
      </c>
      <c r="M63" s="2154" t="s">
        <v>2260</v>
      </c>
      <c r="N63" s="2155"/>
    </row>
    <row r="64" spans="2:14" ht="15" customHeight="1">
      <c r="E64" s="1124" t="s">
        <v>2307</v>
      </c>
      <c r="F64" s="1155" t="s">
        <v>2303</v>
      </c>
      <c r="G64" s="1168">
        <f>G27</f>
        <v>135</v>
      </c>
      <c r="L64" s="1170" t="str">
        <f>'Points System'!H674</f>
        <v>(ii)</v>
      </c>
      <c r="M64" s="2154" t="s">
        <v>2261</v>
      </c>
      <c r="N64" s="2155"/>
    </row>
    <row r="65" spans="2:14" ht="15" customHeight="1">
      <c r="E65" s="1160" t="s">
        <v>2265</v>
      </c>
      <c r="F65" s="1081"/>
      <c r="G65" s="1165">
        <f>G62*G63*G64</f>
        <v>3240000</v>
      </c>
      <c r="L65" s="1170" t="str">
        <f>IF(OR('Points System'!H698="(ii)",'Points System'!H698="(i)"),"(i)","N/A")</f>
        <v>(i)</v>
      </c>
      <c r="M65" s="2154" t="s">
        <v>2262</v>
      </c>
      <c r="N65" s="2155"/>
    </row>
    <row r="66" spans="2:14" ht="15" customHeight="1">
      <c r="C66" s="1115"/>
      <c r="G66" s="1156"/>
      <c r="L66" s="1171" t="str">
        <f>'Points System'!H712</f>
        <v>N/A</v>
      </c>
      <c r="M66" s="2154" t="s">
        <v>1541</v>
      </c>
      <c r="N66" s="2155"/>
    </row>
    <row r="67" spans="2:14" ht="15" customHeight="1">
      <c r="E67" s="1124" t="s">
        <v>2308</v>
      </c>
      <c r="G67" s="1168">
        <f>COUNTIFS(L62:L69,"(i)")</f>
        <v>1</v>
      </c>
      <c r="L67" s="1170" t="str">
        <f>'Points System'!H724</f>
        <v>N/A</v>
      </c>
      <c r="M67" s="2154" t="s">
        <v>2263</v>
      </c>
      <c r="N67" s="2155"/>
    </row>
    <row r="68" spans="2:14" ht="15" customHeight="1">
      <c r="E68" s="1124" t="s">
        <v>2246</v>
      </c>
      <c r="F68" s="1155" t="s">
        <v>2303</v>
      </c>
      <c r="G68" s="1166">
        <v>4000</v>
      </c>
      <c r="L68" s="1170" t="str">
        <f>'Points System'!H740</f>
        <v>(ii)</v>
      </c>
      <c r="M68" s="2154" t="s">
        <v>2264</v>
      </c>
      <c r="N68" s="2155"/>
    </row>
    <row r="69" spans="2:14" ht="15" customHeight="1" thickBot="1">
      <c r="E69" s="1160" t="s">
        <v>2266</v>
      </c>
      <c r="F69" s="1081"/>
      <c r="G69" s="1165">
        <f>G64*G67*G68</f>
        <v>540000</v>
      </c>
      <c r="L69" s="1172" t="str">
        <f>'Points System'!H752</f>
        <v>(ii)</v>
      </c>
      <c r="M69" s="2163" t="s">
        <v>1544</v>
      </c>
      <c r="N69" s="2164"/>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0</v>
      </c>
    </row>
    <row r="78" spans="2:14" ht="15" customHeight="1">
      <c r="E78" s="1115"/>
    </row>
    <row r="79" spans="2:14" ht="15" customHeight="1">
      <c r="E79" s="1124" t="s">
        <v>2307</v>
      </c>
      <c r="F79" s="1155" t="s">
        <v>2303</v>
      </c>
      <c r="G79" s="1156">
        <f>G27</f>
        <v>135</v>
      </c>
    </row>
    <row r="80" spans="2:14" ht="15" customHeight="1">
      <c r="E80" s="1124" t="s">
        <v>2246</v>
      </c>
      <c r="F80" s="1155" t="s">
        <v>2303</v>
      </c>
      <c r="G80" s="1166">
        <v>25000</v>
      </c>
    </row>
    <row r="81" spans="2:14" ht="15" customHeight="1">
      <c r="E81" s="1160" t="s">
        <v>2267</v>
      </c>
      <c r="F81" s="1081"/>
      <c r="G81" s="1165">
        <f>G77*G80*G64</f>
        <v>0</v>
      </c>
    </row>
    <row r="82" spans="2:14" ht="15" customHeight="1">
      <c r="C82" s="1115"/>
      <c r="E82" s="1115"/>
    </row>
    <row r="83" spans="2:14" ht="15" customHeight="1">
      <c r="E83" s="1160" t="s">
        <v>2244</v>
      </c>
      <c r="G83" s="1165">
        <f>G81+G69+G65</f>
        <v>3780000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678</v>
      </c>
      <c r="L87" s="2165" t="s">
        <v>2273</v>
      </c>
      <c r="M87" s="2166"/>
      <c r="N87" s="1173">
        <v>30000</v>
      </c>
    </row>
    <row r="88" spans="2:14" ht="15" customHeight="1">
      <c r="C88" s="1115" t="s">
        <v>2290</v>
      </c>
      <c r="G88" s="1119" t="str">
        <f>IF(Application!D211="Large Family","Yes","No")</f>
        <v>No</v>
      </c>
      <c r="L88" s="2159" t="s">
        <v>2237</v>
      </c>
      <c r="M88" s="2160"/>
      <c r="N88" s="1174">
        <v>20000</v>
      </c>
    </row>
    <row r="89" spans="2:14" ht="15" customHeight="1" thickBot="1">
      <c r="C89" s="1115" t="s">
        <v>2271</v>
      </c>
      <c r="G89" s="1078" t="s">
        <v>678</v>
      </c>
      <c r="L89" s="2161" t="s">
        <v>2274</v>
      </c>
      <c r="M89" s="2162"/>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135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678</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135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6" t="s">
        <v>2638</v>
      </c>
      <c r="D110" s="2156"/>
      <c r="E110" s="2156"/>
      <c r="F110" s="2156"/>
    </row>
    <row r="111" spans="2:9" ht="15" customHeight="1">
      <c r="C111" s="2156"/>
      <c r="D111" s="2156"/>
      <c r="E111" s="2156"/>
      <c r="F111" s="2156"/>
      <c r="G111" s="1078"/>
    </row>
    <row r="112" spans="2:9" ht="15" customHeight="1"/>
    <row r="113" spans="2:9" ht="15" customHeight="1">
      <c r="C113" s="1079" t="s">
        <v>2641</v>
      </c>
      <c r="G113" s="2157"/>
      <c r="H113" s="2157"/>
    </row>
    <row r="114" spans="2:9" ht="15" customHeight="1">
      <c r="G114" s="2157"/>
      <c r="H114" s="2157"/>
    </row>
    <row r="115" spans="2:9" ht="15" customHeight="1">
      <c r="G115" s="2158"/>
      <c r="H115" s="2158"/>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Sacramento</v>
      </c>
    </row>
    <row r="120" spans="2:9" ht="15" customHeight="1">
      <c r="E120" s="1124"/>
      <c r="G120" s="1116"/>
    </row>
    <row r="121" spans="2:9" ht="15" customHeight="1">
      <c r="E121" s="1124" t="str">
        <f>"2-Bedroom "&amp;G119&amp;" County Basis Limit"</f>
        <v>2-Bedroom Sacramento County Basis Limit</v>
      </c>
      <c r="G121" s="1116">
        <f>Application!R987</f>
        <v>461600</v>
      </c>
    </row>
    <row r="122" spans="2:9" ht="15" customHeight="1">
      <c r="E122" s="1124" t="s">
        <v>2311</v>
      </c>
      <c r="G122" s="1116">
        <f>MEDIAN((Application!BR806:BR863))</f>
        <v>489600</v>
      </c>
    </row>
    <row r="123" spans="2:9" ht="15" customHeight="1">
      <c r="D123" s="1081"/>
      <c r="E123" s="1160" t="s">
        <v>2313</v>
      </c>
      <c r="F123" s="1176"/>
      <c r="G123" s="1177">
        <f>((G121-G122)/G122)*0.25</f>
        <v>-1.4297385620915032E-2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Points System</vt:lpstr>
      <vt:lpstr>Sources and Basis Breakdown</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Tawana Aguilar</cp:lastModifiedBy>
  <cp:lastPrinted>2024-08-24T14:27:01Z</cp:lastPrinted>
  <dcterms:created xsi:type="dcterms:W3CDTF">2007-12-27T18:26:28Z</dcterms:created>
  <dcterms:modified xsi:type="dcterms:W3CDTF">2024-08-27T00:53:52Z</dcterms:modified>
</cp:coreProperties>
</file>